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firstSheet="29" activeTab="30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1. melléklet" sheetId="5" r:id="rId5"/>
    <sheet name="2. melléklet" sheetId="6" r:id="rId6"/>
    <sheet name="3. melléklet" sheetId="7" r:id="rId7"/>
    <sheet name="4. melléklet" sheetId="8" r:id="rId8"/>
    <sheet name="5. melléklet" sheetId="9" r:id="rId9"/>
    <sheet name="6,7,8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" sheetId="15" r:id="rId15"/>
    <sheet name="14. melléklet" sheetId="16" r:id="rId16"/>
    <sheet name="15. Óvoda" sheetId="17" r:id="rId17"/>
    <sheet name="16. Műv. ház" sheetId="18" r:id="rId18"/>
    <sheet name="17. Hivatal" sheetId="19" r:id="rId19"/>
    <sheet name="18. VÜKI" sheetId="20" r:id="rId20"/>
    <sheet name="19 önkormányzat" sheetId="21" r:id="rId21"/>
    <sheet name="20. melléklet" sheetId="22" r:id="rId22"/>
    <sheet name="20.1. melléklet" sheetId="23" r:id="rId23"/>
    <sheet name="20.2.melléklet" sheetId="24" r:id="rId24"/>
    <sheet name="20.3. melléklet" sheetId="25" r:id="rId25"/>
    <sheet name="20.4.mellékelt" sheetId="26" r:id="rId26"/>
    <sheet name="20.5.melléklet" sheetId="27" r:id="rId27"/>
    <sheet name="21 kötelező feladat" sheetId="28" state="hidden" r:id="rId28"/>
    <sheet name="21. céltartalék" sheetId="29" r:id="rId29"/>
    <sheet name="22. EU-s beruh." sheetId="30" r:id="rId30"/>
    <sheet name="ÖNK ÖSSZESITŐ" sheetId="31" r:id="rId31"/>
    <sheet name="Munkalap27" sheetId="32" state="hidden" r:id="rId32"/>
  </sheets>
  <externalReferences>
    <externalReference r:id="rId35"/>
  </externalReferences>
  <definedNames>
    <definedName name="_4__sz__sor_részletezése">#REF!</definedName>
    <definedName name="Excel_BuiltIn__FilterDatabase" localSheetId="21">'20. melléklet'!$A$10:$E$10</definedName>
    <definedName name="Excel_BuiltIn__FilterDatabase" localSheetId="27">NA()</definedName>
    <definedName name="Excel_BuiltIn__FilterDatabase" localSheetId="9">'6,7,8 Melléklet'!$A$12:$I$32</definedName>
    <definedName name="Excel_BuiltIn__FilterDatabase" localSheetId="30">'ÖNK ÖSSZESITŐ'!$A$49:$D$86</definedName>
    <definedName name="Excel_BuiltIn_Print_Area" localSheetId="4">'1. melléklet'!$A$1:$C$57</definedName>
    <definedName name="Excel_BuiltIn_Print_Area" localSheetId="16">'15. Óvoda'!$A$1:$D$72</definedName>
    <definedName name="Excel_BuiltIn_Print_Area" localSheetId="17">'16. Műv. ház'!$A$1:$D$43</definedName>
    <definedName name="Excel_BuiltIn_Print_Area" localSheetId="18">'17. Hivatal'!$A$1:$D$51</definedName>
    <definedName name="Excel_BuiltIn_Print_Area" localSheetId="19">'18. VÜKI'!$A$1:$D$81</definedName>
    <definedName name="Excel_BuiltIn_Print_Area" localSheetId="20">'19 önkormányzat'!$A$1:$D$153</definedName>
    <definedName name="Excel_BuiltIn_Print_Area" localSheetId="0">'2'!$A$1:$A$21</definedName>
    <definedName name="Excel_BuiltIn_Print_Area" localSheetId="21">'20. melléklet'!$A$1:$E$56</definedName>
    <definedName name="Excel_BuiltIn_Print_Area" localSheetId="8">'5. melléklet'!$A$1:$D$218</definedName>
    <definedName name="Excel_BuiltIn_Print_Area" localSheetId="30">'ÖNK ÖSSZESITŐ'!$A$1:$D$106</definedName>
    <definedName name="_xlnm.Print_Titles" localSheetId="27">'21 kötelező feladat'!$1:$3</definedName>
    <definedName name="_xlnm.Print_Titles" localSheetId="8">'5. melléklet'!$5:$11</definedName>
    <definedName name="_xlnm.Print_Titles" localSheetId="30">'ÖNK ÖSSZESITŐ'!$1:$9</definedName>
    <definedName name="_xlnm.Print_Area" localSheetId="4">'1. melléklet'!$A$1:$H$63</definedName>
    <definedName name="_xlnm.Print_Area" localSheetId="11">'10. melléklet'!$A$1:$F$20</definedName>
    <definedName name="_xlnm.Print_Area" localSheetId="12">'11. melléklet'!$A$1:$N$36</definedName>
    <definedName name="_xlnm.Print_Area" localSheetId="1">'12'!$A$1:$B$11</definedName>
    <definedName name="_xlnm.Print_Area" localSheetId="13">'12. melléklet'!$A$1:$G$59</definedName>
    <definedName name="_xlnm.Print_Area" localSheetId="2">'14adóss'!$A$1:$G$30</definedName>
    <definedName name="_xlnm.Print_Area" localSheetId="3">'15 3éves'!$A$1:$E$55</definedName>
    <definedName name="_xlnm.Print_Area" localSheetId="16">'15. Óvoda'!$A$1:$I$73</definedName>
    <definedName name="_xlnm.Print_Area" localSheetId="17">'16. Műv. ház'!$A$1:$I$44</definedName>
    <definedName name="_xlnm.Print_Area" localSheetId="19">'18. VÜKI'!$A$1:$I$82</definedName>
    <definedName name="_xlnm.Print_Area" localSheetId="20">'19 önkormányzat'!$A$1:$I$152</definedName>
    <definedName name="_xlnm.Print_Area" localSheetId="0">'2'!$A$1:$D$21</definedName>
    <definedName name="_xlnm.Print_Area" localSheetId="5">'2. melléklet'!$A$1:$H$50</definedName>
    <definedName name="_xlnm.Print_Area" localSheetId="21">'20. melléklet'!$A$1:$Q$56</definedName>
    <definedName name="_xlnm.Print_Area" localSheetId="27">'21 kötelező feladat'!$A$1:$E$23</definedName>
    <definedName name="_xlnm.Print_Area" localSheetId="29">'22. EU-s beruh.'!$A$1:$E$130</definedName>
    <definedName name="_xlnm.Print_Area" localSheetId="6">'3. melléklet'!$A$1:$H$61</definedName>
    <definedName name="_xlnm.Print_Area" localSheetId="7">'4. melléklet'!$A$1:$H$116</definedName>
    <definedName name="_xlnm.Print_Area" localSheetId="8">'5. melléklet'!$A$1:$I$264</definedName>
    <definedName name="_xlnm.Print_Area" localSheetId="9">'6,7,8 Melléklet'!$A$1:$H$71</definedName>
    <definedName name="_xlnm.Print_Area" localSheetId="30">'ÖNK ÖSSZESITŐ'!$A$1:$I$103</definedName>
  </definedNames>
  <calcPr fullCalcOnLoad="1"/>
</workbook>
</file>

<file path=xl/sharedStrings.xml><?xml version="1.0" encoding="utf-8"?>
<sst xmlns="http://schemas.openxmlformats.org/spreadsheetml/2006/main" count="3703" uniqueCount="1194">
  <si>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</si>
  <si>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</si>
  <si>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</si>
  <si>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</si>
  <si>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</si>
  <si>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</si>
  <si>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</si>
  <si>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</si>
  <si>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</si>
  <si>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</si>
  <si>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</si>
  <si>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</si>
  <si>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</si>
  <si>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</si>
  <si>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</si>
  <si>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</si>
  <si>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</si>
  <si>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</si>
  <si>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</si>
  <si>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</si>
  <si>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</si>
  <si>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</si>
  <si>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</si>
  <si>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</si>
  <si>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</si>
  <si>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</si>
  <si>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</si>
  <si>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</si>
  <si>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</si>
  <si>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</si>
  <si>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</si>
  <si>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</si>
  <si>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</si>
  <si>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</si>
  <si>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</si>
  <si>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</si>
  <si>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</si>
  <si>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</si>
  <si>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</si>
  <si>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</si>
  <si>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</si>
  <si>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</si>
  <si>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</si>
  <si>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</si>
  <si>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</si>
  <si>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</si>
  <si>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</si>
  <si>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</si>
  <si>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</si>
  <si>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</si>
  <si>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</si>
  <si>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</si>
  <si>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</si>
  <si>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</si>
  <si>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</si>
  <si>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</si>
  <si>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</si>
  <si>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</si>
  <si>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</si>
  <si>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</si>
  <si>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</si>
  <si>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</si>
  <si>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</si>
  <si>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</si>
  <si>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</si>
  <si>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</si>
  <si>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</si>
  <si>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</si>
  <si>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</si>
  <si>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</si>
  <si>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</si>
  <si>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</si>
  <si>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</si>
  <si>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</si>
  <si>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</si>
  <si>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</si>
  <si>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</si>
  <si>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</si>
  <si>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</si>
  <si>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</si>
  <si>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</si>
  <si>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</si>
  <si>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</si>
  <si>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</si>
  <si>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</si>
  <si>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</si>
  <si>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</si>
  <si>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</si>
  <si>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</si>
  <si>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</si>
  <si>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</si>
  <si>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</si>
  <si>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</si>
  <si>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</si>
  <si>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</si>
  <si>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</si>
  <si>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</si>
  <si>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</si>
  <si>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</si>
  <si>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</si>
  <si>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</si>
  <si>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</si>
  <si>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</si>
  <si>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</si>
  <si>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</si>
  <si>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</si>
  <si>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</si>
  <si>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</si>
  <si>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</si>
  <si>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</si>
  <si>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</si>
  <si>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</si>
  <si>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</si>
  <si>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</si>
  <si>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</si>
  <si>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</si>
  <si>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</si>
  <si>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</si>
  <si>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</si>
  <si>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</si>
  <si>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</si>
  <si>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</si>
  <si>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</si>
  <si>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</si>
  <si>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</si>
  <si>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</si>
  <si>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</si>
  <si>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</si>
  <si>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</si>
  <si>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</si>
  <si>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</si>
  <si>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</si>
  <si>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</si>
  <si>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</si>
  <si>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</si>
  <si>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</si>
  <si>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</si>
  <si>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</si>
  <si>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</si>
  <si>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</si>
  <si>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</si>
  <si>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</si>
  <si>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</si>
  <si>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</si>
  <si>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</si>
  <si>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</si>
  <si>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</si>
  <si>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</si>
  <si>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</si>
  <si>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</si>
  <si>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</si>
  <si>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</si>
  <si>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</si>
  <si>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</si>
  <si>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</si>
  <si>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 Ft-ban</t>
  </si>
  <si>
    <t>Sor szám</t>
  </si>
  <si>
    <t>Bevételek</t>
  </si>
  <si>
    <t>A</t>
  </si>
  <si>
    <t>B</t>
  </si>
  <si>
    <t>C</t>
  </si>
  <si>
    <t>D</t>
  </si>
  <si>
    <t>Önkormányzatok működési támogatásai</t>
  </si>
  <si>
    <t>Egyéb működési célú támogatások bevételei államháztartáson belülről</t>
  </si>
  <si>
    <t>I.</t>
  </si>
  <si>
    <t>Működési célú támogatások államháztartáson belülről</t>
  </si>
  <si>
    <t>II.</t>
  </si>
  <si>
    <t>Felhalmozási célú támogatások államháztartáson belülről</t>
  </si>
  <si>
    <t>Vagyoni típusú adók( kommunális adó)</t>
  </si>
  <si>
    <t>Értékesítési és forgalmi adók ( iparűzési adó)</t>
  </si>
  <si>
    <t>Gépjárműadók</t>
  </si>
  <si>
    <t>Egyéb áruhasználati és szolgálati adók (talajterhelési díj)</t>
  </si>
  <si>
    <t>Egyéb közhatalmi bevételek</t>
  </si>
  <si>
    <t>III.</t>
  </si>
  <si>
    <t>Közhatalmi bevételek</t>
  </si>
  <si>
    <t>Szolgáltatások ellenértékei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</si>
  <si>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</si>
  <si>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</si>
  <si>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</si>
  <si>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</si>
  <si>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</si>
  <si>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</si>
  <si>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IV.</t>
  </si>
  <si>
    <t>V.</t>
  </si>
  <si>
    <t>VI.</t>
  </si>
  <si>
    <t>Működési célú átvett pénzeszközök</t>
  </si>
  <si>
    <t>VII.</t>
  </si>
  <si>
    <t>Felhalmozási célú pénzeszközök</t>
  </si>
  <si>
    <t>Költségvetési bevételek összesen</t>
  </si>
  <si>
    <t>VIII.</t>
  </si>
  <si>
    <t>Hitel-, kölcsön felvétel pénzügyi vállalkozástól</t>
  </si>
  <si>
    <t>IX.</t>
  </si>
  <si>
    <t xml:space="preserve"> Költségvetési maradvány</t>
  </si>
  <si>
    <t>Ebből felhalmozási célú</t>
  </si>
  <si>
    <t xml:space="preserve">         működési célú</t>
  </si>
  <si>
    <t>X.</t>
  </si>
  <si>
    <t xml:space="preserve">Államháztartáson belüli megelőlegezés  </t>
  </si>
  <si>
    <t>Finanszírozási bevételek összesen</t>
  </si>
  <si>
    <t>BEVÉTELEK ÖSSZESEN</t>
  </si>
  <si>
    <t>Munkaadókat terhelő járulékok és szociális hozzájárulási adó</t>
  </si>
  <si>
    <t xml:space="preserve">III. </t>
  </si>
  <si>
    <t>Ellátottak pénzbeli juttatásai</t>
  </si>
  <si>
    <t>Egyéb működési célú kiadások</t>
  </si>
  <si>
    <t>Egyéb felhalmozási célú kiadások</t>
  </si>
  <si>
    <t>Költségvetési kiadások</t>
  </si>
  <si>
    <t>48.</t>
  </si>
  <si>
    <t>Hitel kölcsön törlesztése pénzügyi vállalkozásnak</t>
  </si>
  <si>
    <t>49.</t>
  </si>
  <si>
    <t>51.</t>
  </si>
  <si>
    <t>Finanszírozási kiadások</t>
  </si>
  <si>
    <t>52.</t>
  </si>
  <si>
    <t>KIADÁSOK ÖSSZESEN</t>
  </si>
  <si>
    <t xml:space="preserve">2.melléklet </t>
  </si>
  <si>
    <t xml:space="preserve">                                                                                                                                                                 </t>
  </si>
  <si>
    <t>Adatok Ft-ban</t>
  </si>
  <si>
    <t>MEGNEVEZÉS</t>
  </si>
  <si>
    <t>Működési bevételek összesen</t>
  </si>
  <si>
    <t>Tartalékok</t>
  </si>
  <si>
    <t>Működési kiadások összesen</t>
  </si>
  <si>
    <t>Hitel kölcsön felvétel pénzügyi vállalkozástól</t>
  </si>
  <si>
    <t>Maradvány igénybevétele</t>
  </si>
  <si>
    <t>Államháztartáson belüli megelőlegezés</t>
  </si>
  <si>
    <t>Finanszírozási bevétel</t>
  </si>
  <si>
    <t>Államháztartáson belüli megelőlegezések</t>
  </si>
  <si>
    <t xml:space="preserve">Felhalmozási bevételek  </t>
  </si>
  <si>
    <t>Felhalmozási célú átvett pénzeszközök</t>
  </si>
  <si>
    <t>Felhalmozási bevételek összesen</t>
  </si>
  <si>
    <t>Felhalmozási kiadások összesen</t>
  </si>
  <si>
    <t xml:space="preserve"> BEVÉTELEK ÖSSZESEN</t>
  </si>
  <si>
    <t xml:space="preserve">3.melléklet </t>
  </si>
  <si>
    <t>XI.</t>
  </si>
  <si>
    <t xml:space="preserve">4.melléklet </t>
  </si>
  <si>
    <t>Herend Város Önkormányzat önállóan működő intézményei bevétele</t>
  </si>
  <si>
    <t>Önkormányzat</t>
  </si>
  <si>
    <t>Működési bevétel</t>
  </si>
  <si>
    <t>Előző évi költségvetési maradvány</t>
  </si>
  <si>
    <t>Önkormányzat összesen</t>
  </si>
  <si>
    <t>Polgármesteri Hivatal</t>
  </si>
  <si>
    <t>Polgármesteri Hivatal összesen</t>
  </si>
  <si>
    <t>Herendi Hétszínvilág Óvoda és Bölcsőde</t>
  </si>
  <si>
    <t>Óvoda bevétele összesen</t>
  </si>
  <si>
    <t>Művelődési Ház és Könyvtár</t>
  </si>
  <si>
    <t>Herendi Városüzemeltetési Közszolgáltató Intézmény</t>
  </si>
  <si>
    <t>Herendi Városüzemeltetési Közszolgáltató Intézmény bevétele összesen</t>
  </si>
  <si>
    <t>ÖNKORMÁNYZAT ÖSSZESEN</t>
  </si>
  <si>
    <t xml:space="preserve">5.melléklet </t>
  </si>
  <si>
    <t>Szakfeladat</t>
  </si>
  <si>
    <t>Ebből: Dologi kiadás</t>
  </si>
  <si>
    <t>Lakóingatlan hasznosítás</t>
  </si>
  <si>
    <t xml:space="preserve">          Felhalmozási kiadás</t>
  </si>
  <si>
    <t>Ebből: Személyi juttatás</t>
  </si>
  <si>
    <t xml:space="preserve">          Járulékok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</si>
  <si>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</si>
  <si>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</si>
  <si>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</si>
  <si>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</si>
  <si>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</si>
  <si>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</si>
  <si>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</si>
  <si>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</si>
  <si>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Nonprofit szervezetek támogatása</t>
  </si>
  <si>
    <t>Közvetett támogatások</t>
  </si>
  <si>
    <t>50.</t>
  </si>
  <si>
    <t>Önkormányzati ig tevékenység</t>
  </si>
  <si>
    <t>53.</t>
  </si>
  <si>
    <t>54.</t>
  </si>
  <si>
    <t>55.</t>
  </si>
  <si>
    <t>56.</t>
  </si>
  <si>
    <t>Beruházás</t>
  </si>
  <si>
    <t>57.</t>
  </si>
  <si>
    <t>Államháztartáson belüli megelőlegezés visszafizetése</t>
  </si>
  <si>
    <t>58.</t>
  </si>
  <si>
    <t>Hiteltörlesztés</t>
  </si>
  <si>
    <t>59.</t>
  </si>
  <si>
    <t>60.</t>
  </si>
  <si>
    <t>61.</t>
  </si>
  <si>
    <t>Közfoglalkoztatás hosszabb időtartamban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</si>
  <si>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</si>
  <si>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</si>
  <si>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</si>
  <si>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</si>
  <si>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</si>
  <si>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</si>
  <si>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</si>
  <si>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</si>
  <si>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</si>
  <si>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</si>
  <si>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</si>
  <si>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</si>
  <si>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        Intézményfinanszírozás</t>
  </si>
  <si>
    <t>74.</t>
  </si>
  <si>
    <t>75.</t>
  </si>
  <si>
    <t>76.</t>
  </si>
  <si>
    <t>77.</t>
  </si>
  <si>
    <t>78.</t>
  </si>
  <si>
    <t>79.</t>
  </si>
  <si>
    <t xml:space="preserve">         Önkormányzat által folyósított ellátások</t>
  </si>
  <si>
    <t>80.</t>
  </si>
  <si>
    <t xml:space="preserve">         Felhalmozási kiadás</t>
  </si>
  <si>
    <t>81.</t>
  </si>
  <si>
    <t xml:space="preserve">         Finanszírozási műveletek</t>
  </si>
  <si>
    <t>82.</t>
  </si>
  <si>
    <t>83.</t>
  </si>
  <si>
    <t>84.</t>
  </si>
  <si>
    <t>85.</t>
  </si>
  <si>
    <t>86.</t>
  </si>
  <si>
    <t>Herendi Polgármesteri Hivatal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</si>
  <si>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</si>
  <si>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</si>
  <si>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</si>
  <si>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</si>
  <si>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</si>
  <si>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</si>
  <si>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</si>
  <si>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</si>
  <si>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</si>
  <si>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</si>
  <si>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</si>
  <si>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</si>
  <si>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</si>
  <si>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Óvodai intézményi étkeztetés</t>
  </si>
  <si>
    <t>102.</t>
  </si>
  <si>
    <t>103.</t>
  </si>
  <si>
    <t>104.</t>
  </si>
  <si>
    <t>105.</t>
  </si>
  <si>
    <t>106.</t>
  </si>
  <si>
    <t>107.</t>
  </si>
  <si>
    <t>108.</t>
  </si>
  <si>
    <t>109.</t>
  </si>
  <si>
    <t>Óvodai nevelés, iskola előkészítés</t>
  </si>
  <si>
    <t>110.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</si>
  <si>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</si>
  <si>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</si>
  <si>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</si>
  <si>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</si>
  <si>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</si>
  <si>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</si>
  <si>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</si>
  <si>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</si>
  <si>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</si>
  <si>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</si>
  <si>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</si>
  <si>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</si>
  <si>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</si>
  <si>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</si>
  <si>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</si>
  <si>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</si>
  <si>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</si>
  <si>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</si>
  <si>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>126.</t>
  </si>
  <si>
    <t xml:space="preserve">           Dologi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</si>
  <si>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</si>
  <si>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</si>
  <si>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</si>
  <si>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</si>
  <si>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</si>
  <si>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</si>
  <si>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</si>
  <si>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</si>
  <si>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</si>
  <si>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</si>
  <si>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</si>
  <si>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</si>
  <si>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</si>
  <si>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</si>
  <si>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</si>
  <si>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</si>
  <si>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</si>
  <si>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</si>
  <si>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</si>
  <si>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</si>
  <si>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</si>
  <si>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</si>
  <si>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150.</t>
  </si>
  <si>
    <t>Gyermekétkeztetés köznevelési intézményben</t>
  </si>
  <si>
    <t>151.</t>
  </si>
  <si>
    <t>152.</t>
  </si>
  <si>
    <t>153.</t>
  </si>
  <si>
    <t>154.</t>
  </si>
  <si>
    <t>Munkahelyi étkezés köznevelési intézményben</t>
  </si>
  <si>
    <t>155.</t>
  </si>
  <si>
    <t>156.</t>
  </si>
  <si>
    <t>157.</t>
  </si>
  <si>
    <t>158.</t>
  </si>
  <si>
    <t>Intézményen kívüli gyermekétkeztetés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</si>
  <si>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</si>
  <si>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</si>
  <si>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</si>
  <si>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</si>
  <si>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</si>
  <si>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</si>
  <si>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</si>
  <si>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</si>
  <si>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</si>
  <si>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</si>
  <si>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</si>
  <si>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</si>
  <si>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</si>
  <si>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</si>
  <si>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177.</t>
  </si>
  <si>
    <t>Állategészségügy</t>
  </si>
  <si>
    <t>178.</t>
  </si>
  <si>
    <t>179.</t>
  </si>
  <si>
    <t>180.</t>
  </si>
  <si>
    <t>181.</t>
  </si>
  <si>
    <t>182.</t>
  </si>
  <si>
    <t>183.</t>
  </si>
  <si>
    <t>184.</t>
  </si>
  <si>
    <t>Zöldterület fenntartása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</si>
  <si>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</si>
  <si>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</si>
  <si>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</si>
  <si>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</si>
  <si>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</si>
  <si>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</si>
  <si>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</si>
  <si>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</si>
  <si>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</si>
  <si>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</si>
  <si>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</si>
  <si>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</si>
  <si>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</si>
  <si>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</si>
  <si>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</si>
  <si>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</si>
  <si>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</si>
  <si>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</si>
  <si>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Beruházás megnevezés</t>
  </si>
  <si>
    <t xml:space="preserve">A </t>
  </si>
  <si>
    <t>Felújítás</t>
  </si>
  <si>
    <t>Művelődési ház szennyvízelvezető r. és vészkijárat felújítás</t>
  </si>
  <si>
    <t>Egyéb gép, berendezés városüzemeltetés</t>
  </si>
  <si>
    <t>Egyéb gép berendezés óvoda</t>
  </si>
  <si>
    <t xml:space="preserve">Egyéb gép, berendezés önkormányzat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</si>
  <si>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</si>
  <si>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</si>
  <si>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</si>
  <si>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</si>
  <si>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</si>
  <si>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Működési célú pénzeszköz átadás ÁH-on kiv.</t>
  </si>
  <si>
    <t>8.melléklet</t>
  </si>
  <si>
    <t>Talajterhelési díj szociális alapon történő mérséklése</t>
  </si>
  <si>
    <t>9.melléklet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</si>
  <si>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</si>
  <si>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</si>
  <si>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</si>
  <si>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</si>
  <si>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</si>
  <si>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</si>
  <si>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</si>
  <si>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</si>
  <si>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</si>
  <si>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</si>
  <si>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Dologi kiadás</t>
  </si>
  <si>
    <t xml:space="preserve">Államháztartáson belüli megelőlegezés </t>
  </si>
  <si>
    <t>Ellátottak juttatásai</t>
  </si>
  <si>
    <t>Költségvetési támogatásból intézményeknek</t>
  </si>
  <si>
    <t>Önkormányzati támogatás</t>
  </si>
  <si>
    <t>Önkormányztai támogatás felhalmozási célú</t>
  </si>
  <si>
    <t>Felhalmozás célú hitel</t>
  </si>
  <si>
    <t>Kiadások mindösszesen:</t>
  </si>
  <si>
    <t>Bevételek mindösszesen:</t>
  </si>
  <si>
    <t>E</t>
  </si>
  <si>
    <t>11.melléklet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</si>
  <si>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</si>
  <si>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</si>
  <si>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</si>
  <si>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</si>
  <si>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</si>
  <si>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</si>
  <si>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</si>
  <si>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</si>
  <si>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</si>
  <si>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</si>
  <si>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</si>
  <si>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</si>
  <si>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</si>
  <si>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</si>
  <si>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Elvonások, befizetések</t>
  </si>
  <si>
    <t>Összes kiadás</t>
  </si>
  <si>
    <t>Havi egyenleg</t>
  </si>
  <si>
    <t>Halmozott egyenleg</t>
  </si>
  <si>
    <t>F</t>
  </si>
  <si>
    <t xml:space="preserve">14.melléklet </t>
  </si>
  <si>
    <t xml:space="preserve">15.  melléklet 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</si>
  <si>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</si>
  <si>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</si>
  <si>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</si>
  <si>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</si>
  <si>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</si>
  <si>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 xml:space="preserve">Létszám </t>
  </si>
  <si>
    <t>Étkeztetés bölcsődében</t>
  </si>
  <si>
    <t>Munkahelyi étkeztetés</t>
  </si>
  <si>
    <t>Sajátos nevelési ig.</t>
  </si>
  <si>
    <t>Ebből: személyi juttatás</t>
  </si>
  <si>
    <t>Járulékok</t>
  </si>
  <si>
    <t>Óvodai kiadás összesen</t>
  </si>
  <si>
    <t>16. melléklet</t>
  </si>
  <si>
    <t xml:space="preserve">Intézmény finanszírozás </t>
  </si>
  <si>
    <t>Finanszírozási bevételek</t>
  </si>
  <si>
    <t>Létszám</t>
  </si>
  <si>
    <t>Egyéb kiadói tevékenység</t>
  </si>
  <si>
    <t>Helyi, térségi közösségi tér biztosítása, működtetése</t>
  </si>
  <si>
    <t>17. melléklet</t>
  </si>
  <si>
    <t>előző évi költségvetési maradvány</t>
  </si>
  <si>
    <t xml:space="preserve">         Önkormányzati forrás</t>
  </si>
  <si>
    <t xml:space="preserve">B    </t>
  </si>
  <si>
    <t>Adó vám és jővedéki igazgatás</t>
  </si>
  <si>
    <t>Országos népszavazás</t>
  </si>
  <si>
    <t>18. melléklet</t>
  </si>
  <si>
    <t>Kormányzati funkció</t>
  </si>
  <si>
    <t>Munkahelyi étkeztetés köznevelési intézményben</t>
  </si>
  <si>
    <t>Közutak, hidak üzemeltetése</t>
  </si>
  <si>
    <t>Köztemető fennt. Üzemeltetés</t>
  </si>
  <si>
    <t>Egyéb város és k gazd.</t>
  </si>
  <si>
    <t>Ebből Dologi kiadás</t>
  </si>
  <si>
    <t>Herendi Városüzemeltetési Közszolgáltató Intézmény összesen</t>
  </si>
  <si>
    <t>19. melléklet</t>
  </si>
  <si>
    <t>083050-1 Televízió-műsor szolg. és tám.</t>
  </si>
  <si>
    <t>064010-1 Közvilágítás</t>
  </si>
  <si>
    <t>XII.</t>
  </si>
  <si>
    <t>Tervezett tartalék</t>
  </si>
  <si>
    <t>Államháztartáson belüli megelőlegezés visszafiz</t>
  </si>
  <si>
    <t>XIII.</t>
  </si>
  <si>
    <t>XV.</t>
  </si>
  <si>
    <t>20. melléklet</t>
  </si>
  <si>
    <t>Intézmény</t>
  </si>
  <si>
    <t>Kiadás összesen</t>
  </si>
  <si>
    <t>Eredeti előirányzat</t>
  </si>
  <si>
    <t>kötelező</t>
  </si>
  <si>
    <t>önként vállalt</t>
  </si>
  <si>
    <t>állami (igazgatási)</t>
  </si>
  <si>
    <t>utak, hidak üzemeltetése</t>
  </si>
  <si>
    <t>köztemető fenntartás</t>
  </si>
  <si>
    <t>egyéb város és k. gazd.</t>
  </si>
  <si>
    <t>Állategészségügyi tevékenység</t>
  </si>
  <si>
    <t>Zöldterületek kezelése, fenntartása</t>
  </si>
  <si>
    <t>közfoglalkoztatás</t>
  </si>
  <si>
    <t>polgármesteri hivatal működtetés</t>
  </si>
  <si>
    <t>Adó,vám és jővedéki igazgatás</t>
  </si>
  <si>
    <t>óvodai intézményi étkeztetés</t>
  </si>
  <si>
    <t>étkeztetés bölcsődében</t>
  </si>
  <si>
    <t>bölcsődei ellátás</t>
  </si>
  <si>
    <t>Közművelődási intézmény</t>
  </si>
  <si>
    <t xml:space="preserve">           rendezvények, közösségi programok szervezése</t>
  </si>
  <si>
    <t>KÖZTERÜLETEK, Építmények beszerzése, FELÚJÍTÁSA</t>
  </si>
  <si>
    <t>Top-2.1.2. Zöld város kialakítása</t>
  </si>
  <si>
    <t>TOP-5.2.1-15 A társadalmi együttműködés erősítését szolgáló helyi szintű komplex programok</t>
  </si>
  <si>
    <t>ÖSSZESEN</t>
  </si>
  <si>
    <t>GÉP, BERENDEZÉS FELSZERELÉS VÁSÁRLÁS</t>
  </si>
  <si>
    <t>MINDÖSSZESEN</t>
  </si>
  <si>
    <t>21.melléklet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</si>
  <si>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</si>
  <si>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</si>
  <si>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</si>
  <si>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</si>
  <si>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</si>
  <si>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</si>
  <si>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</si>
  <si>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</si>
  <si>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</si>
  <si>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</si>
  <si>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</si>
  <si>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</si>
  <si>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</si>
  <si>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</si>
  <si>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</si>
  <si>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</si>
  <si>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</si>
  <si>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</si>
  <si>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</si>
  <si>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</si>
  <si>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</si>
  <si>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</si>
  <si>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</si>
  <si>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</si>
  <si>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</si>
  <si>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</si>
  <si>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</si>
  <si>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</si>
  <si>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</si>
  <si>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</si>
  <si>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</si>
  <si>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</si>
  <si>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</si>
  <si>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Szolgáltatások ellenértéke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</si>
  <si>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</si>
  <si>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</si>
  <si>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</si>
  <si>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Egyéb felhalmozási célú átvett pénzeszközök</t>
  </si>
  <si>
    <t>ebből: Hosszú lejáratú hitelek, kölcsönök felvétele pénzügyi vállalkozástól</t>
  </si>
  <si>
    <t>Likvidítási célú hitelek, kölcsönök                 felvétele pénzügyi vállakozástól</t>
  </si>
  <si>
    <t xml:space="preserve">Hitel , kölcsön törlesztése államháztartáson kívülre </t>
  </si>
  <si>
    <t>ebből: Hosszú lejáratú hitelek, kölcsönök törlesztése pénzügyi vállalkozásnak</t>
  </si>
  <si>
    <t>Likvidítási célú hitelek, kölcsönök                 törlesztése pénzügyi vállakozásnak</t>
  </si>
  <si>
    <t>Államháztartáson belüli megelőlegezések visszafizetése</t>
  </si>
  <si>
    <t>Kamatbevétek és más nyereség jellegű bevételek</t>
  </si>
  <si>
    <t>Vagyoni tipusú adók (Kommunális adó)</t>
  </si>
  <si>
    <t>Értékesítési és forgalmi adók (Iparűzési adó)</t>
  </si>
  <si>
    <t>Gépjármű adó</t>
  </si>
  <si>
    <t>Egyéb áruhasználati és szolgáltatási adók (talajterhelési díj)</t>
  </si>
  <si>
    <t>Egyéb közhatalmi bevételek ( egyéb települési adók)</t>
  </si>
  <si>
    <t>Települési önkormányzatok szociális, gyermekjóléti és gyermekétkeztetési feladatainak támogatása</t>
  </si>
  <si>
    <t>ebből: egyéb fejezeti kezelésű irányzatok</t>
  </si>
  <si>
    <t>elkülönített állami pénzalapok (közfoglalkoztatás)</t>
  </si>
  <si>
    <t>társadalombiztosítás pénzügyi alapjai (OEP)</t>
  </si>
  <si>
    <t>Egyéb tárgyi eszköz értékesítése</t>
  </si>
  <si>
    <t>ebből: nonprofit gazdaási társaságok</t>
  </si>
  <si>
    <t>háztartások</t>
  </si>
  <si>
    <t>ebből: háztartások</t>
  </si>
  <si>
    <t>ebből: egyéb vállakozások</t>
  </si>
  <si>
    <t>Likvidítási célú hitelek, kölcsönök felvétele pénzügyi vállakozástól</t>
  </si>
  <si>
    <t>Hitel, kölcsön felvétele pénzügyi vállakozástól</t>
  </si>
  <si>
    <t>Hosszú lejáratú hitelek, kölcsönök felvétele pénzügyi vállakozástól</t>
  </si>
  <si>
    <t>Belföldi finanszírozás bevételei</t>
  </si>
  <si>
    <t>Egyéb működési célú támogatások bevételei államháztartáson belülről (választás)</t>
  </si>
  <si>
    <t>Önkormányzati finanszírozás</t>
  </si>
  <si>
    <t>Egyéb nem intzéményi ellátások</t>
  </si>
  <si>
    <t>ebből: egyéb, az önkormányzati rendeletben megállapított juttatás</t>
  </si>
  <si>
    <t xml:space="preserve">         köztemetés</t>
  </si>
  <si>
    <t xml:space="preserve">         települési támogatás</t>
  </si>
  <si>
    <t xml:space="preserve">        önkormányzat által saját hatáskörben adott más ellátás</t>
  </si>
  <si>
    <t>Támogatási célú finanszírozási műveletek</t>
  </si>
  <si>
    <t>87.</t>
  </si>
  <si>
    <t>88.</t>
  </si>
  <si>
    <t xml:space="preserve">          Felhalmozási kiadások</t>
  </si>
  <si>
    <t>Munkaadókat terhelő járulék és szociális hozzájárulási adó</t>
  </si>
  <si>
    <t>hitel, kölcsön törlesztése pénzügyi vállalkozásnak ( működési célú)</t>
  </si>
  <si>
    <t>Hitel, kölcsön felvétel pénzügyi vállalkozástól (működési)</t>
  </si>
  <si>
    <t>Működési célú maradvány igénybevétele</t>
  </si>
  <si>
    <t>Egyéb működési célú támogatások államháztartáson belülről</t>
  </si>
  <si>
    <t>Hitel kölcsön felvétele pénzügyi vállakozástól</t>
  </si>
  <si>
    <t>Személyi jutattások</t>
  </si>
  <si>
    <t>Hitel kölcsön törlesztése államháztartások kívülre</t>
  </si>
  <si>
    <t>Államháztartáson belüli megelőlegezés vissazfizetése</t>
  </si>
  <si>
    <t xml:space="preserve">          Dologi kiadások</t>
  </si>
  <si>
    <t>Működési célú támogatások államháztartáson belülről (nemzetiségi támogatás)</t>
  </si>
  <si>
    <t>ebből óvodai ellátási díj</t>
  </si>
  <si>
    <t xml:space="preserve">         bölcsődei ellátási díj</t>
  </si>
  <si>
    <t xml:space="preserve">         kiszámlázott általános forgalmi adó</t>
  </si>
  <si>
    <t xml:space="preserve">       kamat bevételek</t>
  </si>
  <si>
    <t>ebből : nonprofit gazdasági társaságok</t>
  </si>
  <si>
    <t>ebből: bérleti díj</t>
  </si>
  <si>
    <t>Könyvtári szolgáltatások</t>
  </si>
  <si>
    <t xml:space="preserve">                ebből rendezvényekre</t>
  </si>
  <si>
    <t>Intézmény üzemeltetés</t>
  </si>
  <si>
    <t>ebből: Szolgáltatások ellenértéke</t>
  </si>
  <si>
    <t xml:space="preserve">          Tulajdonosi bevételek</t>
  </si>
  <si>
    <t xml:space="preserve">          Ellátási díjak</t>
  </si>
  <si>
    <t xml:space="preserve">         Kiszámlázott általános forgalmi adó</t>
  </si>
  <si>
    <t xml:space="preserve">        Kamat jellegű bevételek</t>
  </si>
  <si>
    <t xml:space="preserve">VI. </t>
  </si>
  <si>
    <t>Hitel, kölcsön felvétel pénzügyi vállakozástól</t>
  </si>
  <si>
    <t xml:space="preserve">          Támogatásértékű kiadás</t>
  </si>
  <si>
    <t>Hitel, kölcsön törleszéte államháztartáson kivülre</t>
  </si>
  <si>
    <t>Önkormányzatok elszámolásai</t>
  </si>
  <si>
    <t>ebből : Kistérségi Társulás</t>
  </si>
  <si>
    <t xml:space="preserve">Működési célú pénzeszköz átadás </t>
  </si>
  <si>
    <t xml:space="preserve">            Herend Környéki Önkormányzatok Család és Gyermekjóléti Szolgálatot Fenntartó Társulás</t>
  </si>
  <si>
    <t xml:space="preserve">     Nonprofit szervezetek támogatás</t>
  </si>
  <si>
    <t xml:space="preserve">          Ellátottak pénzbeli juttatásai</t>
  </si>
  <si>
    <t xml:space="preserve">          Tartalékok</t>
  </si>
  <si>
    <t xml:space="preserve">          Egyéb működési célú kiadások</t>
  </si>
  <si>
    <t xml:space="preserve">          Egyéb  felhalmozási célú kiadások</t>
  </si>
  <si>
    <t xml:space="preserve">                                                        ebből: rendezvények</t>
  </si>
  <si>
    <t>Televizió műsor szolgáltatás</t>
  </si>
  <si>
    <t>Ár és belvízvédelem</t>
  </si>
  <si>
    <t>Család és nővédelem</t>
  </si>
  <si>
    <t>Iskolai eü, egyéb egészségügyi ellátás</t>
  </si>
  <si>
    <t>Önkormányzati ig. tevékenység</t>
  </si>
  <si>
    <t>intézményi üzemeltetés</t>
  </si>
  <si>
    <t>munkahelyi étkeztetés</t>
  </si>
  <si>
    <t>óvodai nevelés</t>
  </si>
  <si>
    <t>nemzetiségi nevelés</t>
  </si>
  <si>
    <t>óvodai ellátás, működtetés</t>
  </si>
  <si>
    <t xml:space="preserve">         temetési segély</t>
  </si>
  <si>
    <t>Értékesítési és forgalmi adók</t>
  </si>
  <si>
    <t>ebből:                         Vagyoni tipusú adók</t>
  </si>
  <si>
    <t>közvetített szolgáltatások</t>
  </si>
  <si>
    <t>tulajdonosi bevételek</t>
  </si>
  <si>
    <t>kiszámlázott általános forgalmi adó</t>
  </si>
  <si>
    <t>kamatbevételek</t>
  </si>
  <si>
    <t>egyéb működési bevételek</t>
  </si>
  <si>
    <t>ebből:                 szolgáltatások ellenértéke</t>
  </si>
  <si>
    <t>Kölcségvetési bevételek összesen</t>
  </si>
  <si>
    <t>Költségvetési Kiadások</t>
  </si>
  <si>
    <t xml:space="preserve">         Finanszírozási kiadás</t>
  </si>
  <si>
    <t>Ellátási díj</t>
  </si>
  <si>
    <t xml:space="preserve">         elvonások, befizetések</t>
  </si>
  <si>
    <t xml:space="preserve">        pénzeszköz átadás</t>
  </si>
  <si>
    <t xml:space="preserve">         működési célú visszatérítendő kölcsön</t>
  </si>
  <si>
    <t xml:space="preserve">           önkormányzat által nyújtott ellátások</t>
  </si>
  <si>
    <t>Elvonások befizetések</t>
  </si>
  <si>
    <t>Működési célú visszatérítendő támogatások</t>
  </si>
  <si>
    <t>Felhalmozási pénzeszköz átadás</t>
  </si>
  <si>
    <t>Tartalék felhalmozási</t>
  </si>
  <si>
    <t>Felhalmozási kölcsön törlesztés</t>
  </si>
  <si>
    <t>Költségvetési támogatás</t>
  </si>
  <si>
    <t xml:space="preserve">           nemzetiségi támogatás</t>
  </si>
  <si>
    <t>203.</t>
  </si>
  <si>
    <t>173.</t>
  </si>
  <si>
    <t>174.</t>
  </si>
  <si>
    <t>175.</t>
  </si>
  <si>
    <t>176.</t>
  </si>
  <si>
    <t>Kiadások összesen</t>
  </si>
  <si>
    <t>ebből műkődési maradvány</t>
  </si>
  <si>
    <t xml:space="preserve">         felhalmozási maradvány</t>
  </si>
  <si>
    <t xml:space="preserve"> Hitel, kölcsön törlesztése államháztartáson kivülre</t>
  </si>
  <si>
    <t xml:space="preserve"> Államháztartáson belüli megelőlegezés visszafiz</t>
  </si>
  <si>
    <t>Általános forgalmi adó visszatérítés</t>
  </si>
  <si>
    <t>Általános forgalmi adó visszatérülés</t>
  </si>
  <si>
    <t>Felhalmozási célú pénzeszköz átvétel</t>
  </si>
  <si>
    <t>Államit támogatásból felhalmozásra</t>
  </si>
  <si>
    <t>általános forgalmi adó visszatérülés</t>
  </si>
  <si>
    <t>Felhalmozási célú átvett pénzeszköz</t>
  </si>
  <si>
    <t>G</t>
  </si>
  <si>
    <t xml:space="preserve">        Egyéb mükődési bevételek</t>
  </si>
  <si>
    <t>Előirányzat megnevezése</t>
  </si>
  <si>
    <t>Kötelező feladatok</t>
  </si>
  <si>
    <t>Önként vállalt feladatok</t>
  </si>
  <si>
    <t>Államigazgatási feladatok</t>
  </si>
  <si>
    <t>ebből: helyi önkormányzatok és költségvetési szerveik (B16)</t>
  </si>
  <si>
    <t>Működési bevételek  (B4)</t>
  </si>
  <si>
    <t>Műkődési célú támogatások államháztartáson belülről (B1)</t>
  </si>
  <si>
    <t>Ellátási díjak (B405)</t>
  </si>
  <si>
    <t>Kiszámlázott általános forgalmi adó (B406)</t>
  </si>
  <si>
    <t>Kamatbevételek és más nyereségjellegű bevételek  (B408)</t>
  </si>
  <si>
    <t>Egyéb működési bevételek  (B411)</t>
  </si>
  <si>
    <t>Felhalmozási célú pénzeszköz átvétel (B7)</t>
  </si>
  <si>
    <t>Előző év költségvetési maradványának igénybevétele (B8131)</t>
  </si>
  <si>
    <t>Maradvány igénybevétele  (B813)</t>
  </si>
  <si>
    <t>Központi, irányító szervi támogatás (B816)</t>
  </si>
  <si>
    <t>Finanszírozási bevételek  (B8)</t>
  </si>
  <si>
    <t>20.1. melléklet</t>
  </si>
  <si>
    <t>Herendi Hétszínvilág Óvoda és Bölcsőde bevételei és kiadásai kötelező és önként vállalt feladat valamint államigazgatási feladatai szerinti bontásban</t>
  </si>
  <si>
    <t>Személyi juttatások  (K1)</t>
  </si>
  <si>
    <t>Munkaadókat terhelő járulékok és szociális hozzájárulási adó  (K2)</t>
  </si>
  <si>
    <t>Dologi kiadások (K3)</t>
  </si>
  <si>
    <t>Felhalmozási kiadások (K6)</t>
  </si>
  <si>
    <t xml:space="preserve">Költségvetési kiadások </t>
  </si>
  <si>
    <t>Szolgáltatások ellenértéke (B402)</t>
  </si>
  <si>
    <t>Egyéb működési bevételek (B411)</t>
  </si>
  <si>
    <t>20.2. melléklet</t>
  </si>
  <si>
    <t>Herendi Polgármesteri Hivatal bevételei és kiadásai kötelező és önként vállalt feladat valamint államigazgatási feladatai szerinti bontásban</t>
  </si>
  <si>
    <t>20.3. melléklet</t>
  </si>
  <si>
    <t>Közvetített szolgáltatások ellenértéke ) (B403)</t>
  </si>
  <si>
    <t>Herendi Városüzemeltetési Közszolgáltató Intézmény bevételei és kiadásai kötelező és önként vállalt feladat valamint államigazgatási feladatai szerinti bontásban</t>
  </si>
  <si>
    <t>20.4. melléklet</t>
  </si>
  <si>
    <t>Szolgáltatások ellenértéke  (B402)</t>
  </si>
  <si>
    <t>Tulajdonosi bevételek  (B404)</t>
  </si>
  <si>
    <t>Herend Város Önkormányzata bevételei és kiadásai kötelező és önként vállalt feladat valamint államigazgatási feladatai szerinti bontásban</t>
  </si>
  <si>
    <t>20.5. melléklet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</si>
  <si>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</si>
  <si>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</si>
  <si>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</si>
  <si>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</si>
  <si>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</si>
  <si>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</si>
  <si>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 (B11)</t>
  </si>
  <si>
    <t>Egyéb működési célú támogatások bevételei államháztartáson belülről  (B16)</t>
  </si>
  <si>
    <t>ebből: elkülönített állami pénzalapok (B16)</t>
  </si>
  <si>
    <t>Működési célú támogatások államháztartáson belülről  (B1)</t>
  </si>
  <si>
    <t>Vagyoni tipusú adók  (B34)</t>
  </si>
  <si>
    <t>Értékesítési és forgalmi adók  (B351)</t>
  </si>
  <si>
    <t>Gépjárműadók  (B354)</t>
  </si>
  <si>
    <t>Egyéb áruhasználati és szolgáltatási adók   (B355)</t>
  </si>
  <si>
    <t>Termékek és szolgáltatások adói  (B35)</t>
  </si>
  <si>
    <t>Egyéb közhatalmi bevételek  (B36)</t>
  </si>
  <si>
    <t>Közhatalmi bevételek  (B3)</t>
  </si>
  <si>
    <t>Közvetített szolgáltatások ellenértéke   (B403)</t>
  </si>
  <si>
    <t>Tulajdonosi bevételek (B404)</t>
  </si>
  <si>
    <t>Általános forgalmi adó visszatérítése (B407)</t>
  </si>
  <si>
    <t>Kamatbevételek és más nyereségjellegű bevételek (B408)</t>
  </si>
  <si>
    <t>Ingatlanok értékesítése) (B52)</t>
  </si>
  <si>
    <t>Egyéb tárgyi eszközök értékesítése (B53)</t>
  </si>
  <si>
    <t>Felhalmozási bevételek  (B5)</t>
  </si>
  <si>
    <t>Működési célú visszatérítendő támogatások, kölcsönök visszatérülése államháztartáson kívülről  (B64)</t>
  </si>
  <si>
    <t>ebből: háztartások (B64)</t>
  </si>
  <si>
    <t>Egyéb működési célú átvett pénzeszközök  (B65)</t>
  </si>
  <si>
    <t>ebből: háztartások (B65)</t>
  </si>
  <si>
    <t>Működési célú átvett pénzeszközök (B6)</t>
  </si>
  <si>
    <t>Egyéb felhalmozási célú átvett pénzeszközök  (B75)</t>
  </si>
  <si>
    <t>Felhalmozási célú átvett pénzeszközök  (B7)</t>
  </si>
  <si>
    <t>Államháztartáson belüli megelelőlegezés</t>
  </si>
  <si>
    <t>Felhalmozási kiadások (K6-K7)</t>
  </si>
  <si>
    <t>Ellátottak pénzbeli juttatásai (K4)</t>
  </si>
  <si>
    <t>Egyéb működési célú támogatások   (K5)</t>
  </si>
  <si>
    <t>Egyéb felhalmozási célú kiadások (K8)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</si>
  <si>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</si>
  <si>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</si>
  <si>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</si>
  <si>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Finanszírozási kiadások  (K9)</t>
  </si>
  <si>
    <t>beruházás</t>
  </si>
  <si>
    <t>felújítás</t>
  </si>
  <si>
    <t>Általános tartalék</t>
  </si>
  <si>
    <t>TARTALÉKOK ÖSSZESEN</t>
  </si>
  <si>
    <t>H</t>
  </si>
  <si>
    <t xml:space="preserve">             kamatbevételek</t>
  </si>
  <si>
    <t xml:space="preserve">            egyéb működési bevételek</t>
  </si>
  <si>
    <t>I</t>
  </si>
  <si>
    <t>Működési célú támogatások</t>
  </si>
  <si>
    <t xml:space="preserve">            nyári diák munka</t>
  </si>
  <si>
    <t>II. Általános tartalék (Egyensúlyi tartalék)</t>
  </si>
  <si>
    <t>Önkormányzatok működési támogatásai (B11)</t>
  </si>
  <si>
    <t>Egyéb működési célú támogatások bevételei államháztartáson belülről (B16)</t>
  </si>
  <si>
    <t xml:space="preserve">          társadalombiztosítás pénzügyi alapjai</t>
  </si>
  <si>
    <t xml:space="preserve">    elkülönített állami pénzalapok (közfoglalkoztatás)</t>
  </si>
  <si>
    <t xml:space="preserve">         fejezeti kezelési előirányzatok EU-s programokra</t>
  </si>
  <si>
    <t>Működési célú támogatások államháztartáson belülről (B1)</t>
  </si>
  <si>
    <t>Felhalmozási célú támogatások államháztartáson belülről (B2)</t>
  </si>
  <si>
    <t>Egyéb felhalmozási célú támogatások bevételei államháztartáson belülről</t>
  </si>
  <si>
    <t>ebből: fejezeti kezelésű előirányzatok EU-s programokra</t>
  </si>
  <si>
    <t>Biztosító által kifizetett kártérítés</t>
  </si>
  <si>
    <t>Közhatalmi bevételek (B3)</t>
  </si>
  <si>
    <t>Működési bevételek (B4)</t>
  </si>
  <si>
    <t>Felhalmozási bevételek (B5)</t>
  </si>
  <si>
    <t xml:space="preserve">          egyéb tárgyi eszköz értékesítés</t>
  </si>
  <si>
    <t>ebből: működési célú visszatérítendő támogatások, kölcsönök visszatérülése államháztartáson kívülről</t>
  </si>
  <si>
    <t xml:space="preserve">          egyéb működési célú átvett pénzeszközök</t>
  </si>
  <si>
    <t>Felhalmozási célú pézeszközök (B7)</t>
  </si>
  <si>
    <t>Finanszírozási bevételek (B8)</t>
  </si>
  <si>
    <t>Biztosító által fizetett kártérítések</t>
  </si>
  <si>
    <t>Elvonás, befizetés</t>
  </si>
  <si>
    <t>ebből: fejezeti kezelésű irányzatok előirányzatok EU-s programokra</t>
  </si>
  <si>
    <t>ebből: fejezeti kezelésű előirányzat EU-s programokra</t>
  </si>
  <si>
    <t>Egyéb felhalmozási célú támogatások államháztartáson belülről</t>
  </si>
  <si>
    <t>nyári diákmunka</t>
  </si>
  <si>
    <t>ebből: fejezeti kezelésű irányzatokEU-s programokra</t>
  </si>
  <si>
    <t>elvonások, befizetéek</t>
  </si>
  <si>
    <t xml:space="preserve">10.melléklet </t>
  </si>
  <si>
    <t>Teljes munkaidőben foglalkoztatottak</t>
  </si>
  <si>
    <t>Részmunka -időben foglalkoztatottak</t>
  </si>
  <si>
    <t>Állományba nem tartozók</t>
  </si>
  <si>
    <t>Önkormányzati igazgatási tevékenység</t>
  </si>
  <si>
    <t>Herendi Városüzemeltetési Közsz.Int.</t>
  </si>
  <si>
    <t>Közcélú foglalkoztatás</t>
  </si>
  <si>
    <t>Mindösszesen</t>
  </si>
  <si>
    <t>12. melléklet</t>
  </si>
  <si>
    <t>TÁMOGATÁS ÖSSZESEN</t>
  </si>
  <si>
    <t>Jogcím száma</t>
  </si>
  <si>
    <t xml:space="preserve">Jogcím megnevezése       </t>
  </si>
  <si>
    <t>Mennyiségi egység</t>
  </si>
  <si>
    <t>Mutató</t>
  </si>
  <si>
    <t>Fajlagos összeg</t>
  </si>
  <si>
    <t>Összeg (Ft)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</si>
  <si>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</si>
  <si>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</si>
  <si>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</si>
  <si>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</si>
  <si>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</si>
  <si>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</si>
  <si>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</si>
  <si>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</si>
  <si>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</si>
  <si>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3</t>
  </si>
  <si>
    <t>I.1.b</t>
  </si>
  <si>
    <t xml:space="preserve"> Támogatás összesen </t>
  </si>
  <si>
    <t>4</t>
  </si>
  <si>
    <t>I.1.b - V.</t>
  </si>
  <si>
    <t xml:space="preserve"> Támogatás összesen - beszámítás után </t>
  </si>
  <si>
    <t>5</t>
  </si>
  <si>
    <t>I.1.ba</t>
  </si>
  <si>
    <t xml:space="preserve"> A zöldterület-gazdálkodással kapcsolatos feladatok ellátásának támogatása </t>
  </si>
  <si>
    <t>hektár</t>
  </si>
  <si>
    <t>6</t>
  </si>
  <si>
    <t>I.1.ba - V.</t>
  </si>
  <si>
    <t xml:space="preserve"> A zöldterület-gazdálkodással kapcsolatos feladatok ellátásának támogatása - beszámítás után </t>
  </si>
  <si>
    <t>7</t>
  </si>
  <si>
    <t>I.1.bb</t>
  </si>
  <si>
    <t xml:space="preserve"> Közvilágítás fenntartásának támogatása </t>
  </si>
  <si>
    <t>km</t>
  </si>
  <si>
    <t>8</t>
  </si>
  <si>
    <t>I.1.bb - V.</t>
  </si>
  <si>
    <t xml:space="preserve"> Közvilágítás fenntartásának támogatása - beszámítás után </t>
  </si>
  <si>
    <t>9</t>
  </si>
  <si>
    <t>I.1.bc</t>
  </si>
  <si>
    <t xml:space="preserve"> Köztemető fenntartással kapcsolatos feladatok támogatása </t>
  </si>
  <si>
    <t>m2</t>
  </si>
  <si>
    <t>10</t>
  </si>
  <si>
    <t>I.1.bc - V.</t>
  </si>
  <si>
    <t xml:space="preserve"> Köztemető fenntartással kapcsolatos feladatok támogatása - beszámítás után </t>
  </si>
  <si>
    <t>11</t>
  </si>
  <si>
    <t>I.1.bd</t>
  </si>
  <si>
    <t xml:space="preserve"> Közutak fenntartásának támogatása </t>
  </si>
  <si>
    <t>12</t>
  </si>
  <si>
    <t>I.1.bd - V.</t>
  </si>
  <si>
    <t xml:space="preserve"> Közutak fenntartásának támogatása - beszámítás után 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</si>
  <si>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</si>
  <si>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</si>
  <si>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</si>
  <si>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</si>
  <si>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</si>
  <si>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</si>
  <si>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</si>
  <si>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</si>
  <si>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</si>
  <si>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</si>
  <si>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</si>
  <si>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</si>
  <si>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</si>
  <si>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</si>
  <si>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I.1. - V.</t>
  </si>
  <si>
    <t>A települési önkormányzatok működésének támogatása beszámítás és kiegészítés után</t>
  </si>
  <si>
    <t>V. Info</t>
  </si>
  <si>
    <t>Beszámítás</t>
  </si>
  <si>
    <t>V. I.1. kiegészítés</t>
  </si>
  <si>
    <t>I.1. jogcímekhez kapcsolódó kiegészítés</t>
  </si>
  <si>
    <t>I.2.</t>
  </si>
  <si>
    <t>Nem közművel összegyűjtött háztartási szennyvíz ártalmatlanítása</t>
  </si>
  <si>
    <t>m3</t>
  </si>
  <si>
    <t>I.6.</t>
  </si>
  <si>
    <t>23</t>
  </si>
  <si>
    <t xml:space="preserve">I. </t>
  </si>
  <si>
    <t>A helyi önkormányzatok működésének általános támogatása összesen</t>
  </si>
  <si>
    <t>II.1. Óvodapedagógusok , és az óvodapedagogusok nevelő munkáját segítők bértámogatása</t>
  </si>
  <si>
    <t>25</t>
  </si>
  <si>
    <t>II.1. (1) 1</t>
  </si>
  <si>
    <t>26</t>
  </si>
  <si>
    <t>II.1. (2) 1</t>
  </si>
  <si>
    <t xml:space="preserve"> pedagógus szakképzettséggel nem rendelkező, óvodapedagógusok nevelő munkáját közvetlenül segítők száma a Köznev. tv. 2. melléklete szerint </t>
  </si>
  <si>
    <t>II.1. (1) 2</t>
  </si>
  <si>
    <t>II.1. (2) 2</t>
  </si>
  <si>
    <t>II.2. Óvodaműködtetési támogatás</t>
  </si>
  <si>
    <t>II.2. (1) 1</t>
  </si>
  <si>
    <t xml:space="preserve">gyermekek nevelése a napi 8 órát eléri vagy meghaladja </t>
  </si>
  <si>
    <t xml:space="preserve"> alapfokozatú végzettségű pedagógus II. kategóriába sorolt óvodapedagógusok kiegészítő támogatása - akik a minősítést 2014. december 31-éig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</si>
  <si>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</si>
  <si>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</si>
  <si>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</si>
  <si>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</si>
  <si>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 Egyes szociális és gyermekjóléti feladatok támogatása</t>
  </si>
  <si>
    <t>III.3.a</t>
  </si>
  <si>
    <t xml:space="preserve"> Család- és gyermekjóléti szolgálat </t>
  </si>
  <si>
    <t>számított létszám</t>
  </si>
  <si>
    <t>III.5. Gyermekétkeztetés támogatása</t>
  </si>
  <si>
    <t>III.5.b</t>
  </si>
  <si>
    <t xml:space="preserve"> Gyermekétkeztetés üzemeltetési támogatása </t>
  </si>
  <si>
    <t>A települési önkormányzatok szociális, gyermekjóléti és gyermekétkeztetési feladatainak támogatása</t>
  </si>
  <si>
    <t>Könyvtári, közművelődési és múzeumi feladatok támogatása</t>
  </si>
  <si>
    <t>Ft</t>
  </si>
  <si>
    <t>IV.1.d</t>
  </si>
  <si>
    <t xml:space="preserve">Könyvtári, közművelődési és múzeumi feladatok támogatása
 Települési önkormányzatok nyilvános könyvtári és a közművelődési feladatainak támogatása </t>
  </si>
  <si>
    <t>A települési önkormányzatok kulturális feladatainak támogatása</t>
  </si>
  <si>
    <t>13.2 melléklet</t>
  </si>
  <si>
    <t>Kimutatás a Magyarország gazdasági stabilitásáról szóló 2011. évi CXCIV. Törvény 3.§ (1) bekezdése szerinti ügyletekről és kezességvállalásokból fennálló kötelezettségekről és a 353/2011. (XII.30.) Kormányrendelet 2.§-a szerinti saját bevételekről</t>
  </si>
  <si>
    <t>Hitelező pénzintézet</t>
  </si>
  <si>
    <t>Hitel típusa</t>
  </si>
  <si>
    <t>Hitelállomány Tárgyév</t>
  </si>
  <si>
    <t>Lejárat</t>
  </si>
  <si>
    <t>Tárgyév</t>
  </si>
  <si>
    <t>J</t>
  </si>
  <si>
    <t>K</t>
  </si>
  <si>
    <t>L</t>
  </si>
  <si>
    <t>M</t>
  </si>
  <si>
    <t>N</t>
  </si>
  <si>
    <t>Saját bevételek</t>
  </si>
  <si>
    <t>Tárgy év</t>
  </si>
  <si>
    <t>Osztalék,koncessziós díjak</t>
  </si>
  <si>
    <t>Díjak,pótlékok, bírságok</t>
  </si>
  <si>
    <t>Tárgyi eszközök, immateriális javak, vagyoni értékű jog értékesítése, vagyonhasznosításból származó bevétel</t>
  </si>
  <si>
    <t>Részvények részesedések értékesítése</t>
  </si>
  <si>
    <t>Vállalatértékesítésből, privatizációból származó bevételek</t>
  </si>
  <si>
    <t>Kezesség-,illetve garanciavállalással kapcsolatos megtérülés</t>
  </si>
  <si>
    <t>Saját bevételek (01+.....+07)</t>
  </si>
  <si>
    <t>Saját bevételek (08.sor) 50%-a</t>
  </si>
  <si>
    <t>2018. évi előirányzat</t>
  </si>
  <si>
    <t>Herendi Polgármesteri Hivatal összesen</t>
  </si>
  <si>
    <t>A 2016. évről áthuzodó bérkompenzáció</t>
  </si>
  <si>
    <t>I.5.</t>
  </si>
  <si>
    <t>Polgármesteri illetmény támogatása</t>
  </si>
  <si>
    <t xml:space="preserve"> Óvodapedagógusok elismert létszáma 4 hónapra</t>
  </si>
  <si>
    <t xml:space="preserve"> Óvodapedagógusok elismert létszáma  8. hónapra</t>
  </si>
  <si>
    <t>II.2. (1) 2</t>
  </si>
  <si>
    <t>II.4. Kiegészítő támogatás az óvodapedagógusok minősítéséből adódó többletkiadásokhoz</t>
  </si>
  <si>
    <t>II.4.a (1)</t>
  </si>
  <si>
    <t>III.5.a.</t>
  </si>
  <si>
    <t>finanszírozás szempontjából elismert dolgozók bértámogatása</t>
  </si>
  <si>
    <t xml:space="preserve"> A finanszírozás szempontjából elismerszakmai t dolgozók bértámogatása </t>
  </si>
  <si>
    <t>Bölcsődei üzemeltetési támogatás</t>
  </si>
  <si>
    <t xml:space="preserve">TOP-5.2.1-15 A társadalmi együttműködés erősítését szolgáló helyi szintű komplex programok </t>
  </si>
  <si>
    <t>Top-2.1.2. Zöld város kialakítása önerő</t>
  </si>
  <si>
    <t>TOP-4.3.1-15 Leromlott területek rehabilitációja önerő</t>
  </si>
  <si>
    <t>TOP-5.2.1-15 A társadalmi együttműködés erősítését szolgáló helyi szintű komplex programok önerő</t>
  </si>
  <si>
    <t>TOP-3.1.1-15 Városrészeket összekötő kerékpárút</t>
  </si>
  <si>
    <t>VP6-7.2.1.-7.4.1.2.-16 Külterületi helyi közutak fejlesztése, önkormányzati utak kezeléséhez, állapotjavításához önerő</t>
  </si>
  <si>
    <t>Herendi Városüzemeltetési Közszolg.Int.</t>
  </si>
  <si>
    <t>Herend Város Önkormányzata</t>
  </si>
  <si>
    <t>Művelődési Ház mellékhelyiség felújítása</t>
  </si>
  <si>
    <t xml:space="preserve">      egyéb működési bevételek</t>
  </si>
  <si>
    <t>Új gázfogadóhoz útépítés</t>
  </si>
  <si>
    <t xml:space="preserve">          felhalmozási célú önkormányzati támogatások</t>
  </si>
  <si>
    <t>Működési célú pénzeszköz átvétel</t>
  </si>
  <si>
    <t>Rendőrség közvetett támogatás</t>
  </si>
  <si>
    <t>felhalmozási célú finnaszírózási kiadás</t>
  </si>
  <si>
    <t>Bérleti díj</t>
  </si>
  <si>
    <t xml:space="preserve">6.melléklet </t>
  </si>
  <si>
    <t>7.melléklet</t>
  </si>
  <si>
    <t>2019. évi előirányzat</t>
  </si>
  <si>
    <t>Herend Város Önkormányzat 2019. évi bevételi előirányzatai forrásonként</t>
  </si>
  <si>
    <t>2019.</t>
  </si>
  <si>
    <t>Herend Város Önkormányzat 2019. évi működési és felhalmozási mérlege</t>
  </si>
  <si>
    <t>Herend Város Önkormányzat és költségvetési szervei 2019. évi működési és felhalmozási  kiadási előirányzatai  kormányzati funkciónként</t>
  </si>
  <si>
    <t>2019. Engedélyezett létszám</t>
  </si>
  <si>
    <t>Herend Város Önkormányzat 2019.évi felhalmozási kiadások előirányzata feladatonként</t>
  </si>
  <si>
    <t xml:space="preserve">Herend Város Önkormányzat 2019. évi pénzeszköz átadásainak és egyéb támogatásainak előirányzata </t>
  </si>
  <si>
    <t>2018. várható évvége</t>
  </si>
  <si>
    <t>Herend Város Önkormányzat  2019.évi közvetett támogatások</t>
  </si>
  <si>
    <t>2019. évi működési és felhalmozási bevételek mérlegszerűen</t>
  </si>
  <si>
    <t>Herend Város Önkormányzat 2019. évi létszámkerete költségvetési szervenként  és a közfoglalkoztatottak száma (fő)</t>
  </si>
  <si>
    <t>2019. évi előirányzat felhasználási ütemterv</t>
  </si>
  <si>
    <t>…./2019.(…...) önkormányzati rendelethez</t>
  </si>
  <si>
    <t>Herend Város Önkormányzat 2019. évi költségvetési támogatása</t>
  </si>
  <si>
    <t>II.5. Nemzetiségi pótlék</t>
  </si>
  <si>
    <t>II-5.(1)</t>
  </si>
  <si>
    <t>Óvodai napi nyitvatartási ideje eléri a nyolc órát</t>
  </si>
  <si>
    <t>III.6. Bölcsőde, mini bölcsőde támogatása</t>
  </si>
  <si>
    <t>III.6.a (2)</t>
  </si>
  <si>
    <t>II.6.b</t>
  </si>
  <si>
    <t>2019-2022 évre tervezett bevételei és kiadásai</t>
  </si>
  <si>
    <t>Herendi Hétszínvilág Óvoda és Bölcsőde 2019. évi  költségvetése</t>
  </si>
  <si>
    <t>Herendi Polgármesteri Hivatal  2019. évi költségvetése</t>
  </si>
  <si>
    <t>Herendi Városüzemeltetési Közszolgáltató Intézmény 2019. évi költségvetése</t>
  </si>
  <si>
    <t>Herend Város Önkormányzat 2019. évi  költségvetése</t>
  </si>
  <si>
    <t>Kötelező , önként vállalt és állami (államigazgatási) feladatainak kiadásai 2019. évre</t>
  </si>
  <si>
    <t>……./2019.(…....) önkormányzati rendelethez</t>
  </si>
  <si>
    <t>2019. ÉVI TARTALÉK FELHALSZNÁLÁSA</t>
  </si>
  <si>
    <t>Herendi Művelődési Ház</t>
  </si>
  <si>
    <t>Szabadidősport tevékenység és támogatása</t>
  </si>
  <si>
    <t xml:space="preserve">     általános forgalmi adó visszatérülés</t>
  </si>
  <si>
    <t>Közvilágítás  B lakóövezet</t>
  </si>
  <si>
    <t xml:space="preserve">                         karbantartás</t>
  </si>
  <si>
    <t>Egyéb gép, berendezés Műv Ház</t>
  </si>
  <si>
    <t>22. melléklet</t>
  </si>
  <si>
    <t>KIMUTATÁS</t>
  </si>
  <si>
    <t>az Európai Uniós forrásból finanszírozott támogatással megvalósuló programok, projektek kiadásai és bevételei az Ávr. 24. § (1) bekezdés a)és bd) pontjainak megfelelően</t>
  </si>
  <si>
    <t xml:space="preserve">A projekt neve: </t>
  </si>
  <si>
    <t>TOP-3.1.1-15-VE-2016-00004 Városrészeket összekötő kerékpárút Herenden</t>
  </si>
  <si>
    <t>Források összesen: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</si>
  <si>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</si>
  <si>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</si>
  <si>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</si>
  <si>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</si>
  <si>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</si>
  <si>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</si>
  <si>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</si>
  <si>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</si>
  <si>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</si>
  <si>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</si>
  <si>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</si>
  <si>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Hozzájárulás  ( Ft)</t>
  </si>
  <si>
    <t>TOP-2.1.2-15-VE1-2016-0002  Herend Zöld várossá fejlesztése</t>
  </si>
  <si>
    <t>Céltartalék</t>
  </si>
  <si>
    <t>Hozzájárulás  (E Ft)</t>
  </si>
  <si>
    <t>TOP-5.2.1-15-VE1-2016-00005 A társadalmi együttműködést erősítését szolgáló helyi szintű komplex programok</t>
  </si>
  <si>
    <t>VP6-7.2.1-7.4.1.2-16 Külterületi helyi közútak fejlesztése</t>
  </si>
  <si>
    <t>2021. után</t>
  </si>
  <si>
    <t>2020 után</t>
  </si>
  <si>
    <t>2020. után</t>
  </si>
  <si>
    <t>ebből: ingatlan értékesítés ( telkek)</t>
  </si>
  <si>
    <t xml:space="preserve">         Herend, Pipacs u 22/B sz. lakás értékesítése</t>
  </si>
  <si>
    <t>Szennyvíz gyűjtése</t>
  </si>
  <si>
    <t>Iskola eü. Egyéb egészségügyi ellátás</t>
  </si>
  <si>
    <t>Egyéb kiegészítő szolgáltatások</t>
  </si>
  <si>
    <t>társadalombiztosítás alapjai</t>
  </si>
  <si>
    <t>Egyéb szociális pénzbeli és természetbeni ellátások</t>
  </si>
  <si>
    <t>Bursa Hungarica támogatás</t>
  </si>
  <si>
    <t>XVI.</t>
  </si>
  <si>
    <t>XVII</t>
  </si>
  <si>
    <t>Sportlétesítmények működtetése</t>
  </si>
  <si>
    <t>Ebből: dologi kiadások</t>
  </si>
  <si>
    <t>XVIII.</t>
  </si>
  <si>
    <t>Iskolai, diáksport tevékenység és támogatása</t>
  </si>
  <si>
    <t xml:space="preserve">             működési célú pénzeszköz átadás</t>
  </si>
  <si>
    <t>XIX.</t>
  </si>
  <si>
    <t>Ebből: Dologi kiadások</t>
  </si>
  <si>
    <t>XVII.</t>
  </si>
  <si>
    <t xml:space="preserve">2018. MÓD V. </t>
  </si>
  <si>
    <t>2018.  MÓD V.</t>
  </si>
  <si>
    <t>2018. MÓD V.</t>
  </si>
  <si>
    <t xml:space="preserve">         ebből: munkaruha</t>
  </si>
  <si>
    <t xml:space="preserve">    ebből: munkaruha</t>
  </si>
  <si>
    <t xml:space="preserve">Családsegítés </t>
  </si>
  <si>
    <t>egyéb felhalmozási  kiadások</t>
  </si>
  <si>
    <t>Top-2.1.2. Zöld város kialakítása (beruházáis költségek)</t>
  </si>
  <si>
    <t>Vis maior támogatás önerő</t>
  </si>
  <si>
    <t>KÖFOP-1.2.1-VEKOP-16-2016-00028 ASP projekt fel nem használt összege</t>
  </si>
  <si>
    <t>Kubinyi Ágoston Program a múzeumok szakmai támogatása állandó kiállítás teljes körű felújítása és korszerűsítése pályázat (5 év)</t>
  </si>
  <si>
    <t>VP6-19.2.1-1-815-17 Bakonyi rendezvények, képzések, hálozati tevékenységek önerő</t>
  </si>
  <si>
    <t>VP6-19.2.1-1-813-17 Bakonyi települések megújítása, közösségi élettér fejlesztése pályázat önerő</t>
  </si>
  <si>
    <t>MÓD V.</t>
  </si>
  <si>
    <t>VP6-19.2.1.-1-813-17 Települések megújítása pályázat önerő</t>
  </si>
  <si>
    <t>Polgárőrség támogatása</t>
  </si>
  <si>
    <t>Rozmaring Étterem bojler beszerzése</t>
  </si>
  <si>
    <t>Biztosító által fizetett kártérítés</t>
  </si>
  <si>
    <t>2018. MÓD V:</t>
  </si>
  <si>
    <t>Herendi Hétszínvilág Óvoda és Bölcsöde</t>
  </si>
  <si>
    <t>148.</t>
  </si>
  <si>
    <t>149.</t>
  </si>
  <si>
    <t>204.</t>
  </si>
  <si>
    <t>205.</t>
  </si>
  <si>
    <t>206.</t>
  </si>
  <si>
    <t>207.</t>
  </si>
  <si>
    <t>208.</t>
  </si>
  <si>
    <t>209.</t>
  </si>
  <si>
    <t>210.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</si>
  <si>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</si>
  <si>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</si>
  <si>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</si>
  <si>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</si>
  <si>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</si>
  <si>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</si>
  <si>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</si>
  <si>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</si>
  <si>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</si>
  <si>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</si>
  <si>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223.</t>
  </si>
  <si>
    <t>222.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</si>
  <si>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</si>
  <si>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</si>
  <si>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</si>
  <si>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</si>
  <si>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</si>
  <si>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</si>
  <si>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</si>
  <si>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</si>
  <si>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</si>
  <si>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</si>
  <si>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</si>
  <si>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</si>
  <si>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</si>
  <si>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</si>
  <si>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</si>
  <si>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</si>
  <si>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</si>
  <si>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</si>
  <si>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</si>
  <si>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224.</t>
  </si>
  <si>
    <t>225.</t>
  </si>
  <si>
    <t>Caládsegítés</t>
  </si>
  <si>
    <t>MÓD I.</t>
  </si>
  <si>
    <t>MÓD I</t>
  </si>
  <si>
    <t>MÓD II.</t>
  </si>
  <si>
    <t>TOP-3.1.1-15 Városrészeket összekötő kerékpárút önerő</t>
  </si>
  <si>
    <t>MÓD II</t>
  </si>
  <si>
    <t>Helyi Önkormányzatok előző évi elszámolásból száramzó kiadásai</t>
  </si>
  <si>
    <t>Helyi önkormányzatok előző évi elszámolásból száramzó kiadásai</t>
  </si>
  <si>
    <t>.47.</t>
  </si>
  <si>
    <t>Pesovár Ernő Művelődési Ház 2019. évi költségvetése</t>
  </si>
  <si>
    <t>Pesovár Ernő Művelődési Ház  kiadások összesen</t>
  </si>
  <si>
    <t xml:space="preserve">          Közvetített szolgáltatások</t>
  </si>
  <si>
    <t>TOP-3.1.1.-16-VE1-2017-00010</t>
  </si>
  <si>
    <t>Hidrot GH6001 rotációs rézsűkasza beszerzése</t>
  </si>
  <si>
    <t xml:space="preserve">Pesovár Ernő Művelődési Ház </t>
  </si>
  <si>
    <t>Herendi Porcelánművészeti Alapítvány</t>
  </si>
  <si>
    <t xml:space="preserve">Herendi Porcelánművészeti Alapítvány  </t>
  </si>
  <si>
    <t>Pesovár Ernő Művelődési ház bevétele összesen</t>
  </si>
  <si>
    <t xml:space="preserve">                      Herendi Porcelánművészeti Alapítvány</t>
  </si>
  <si>
    <t>Pesovár Ernő Művelődési Ház</t>
  </si>
  <si>
    <t>.41.</t>
  </si>
  <si>
    <t>57.,</t>
  </si>
  <si>
    <t>245.</t>
  </si>
  <si>
    <t>Mükődési célú pénzeszköz átvétel államháztartáson kivülről</t>
  </si>
  <si>
    <t>Pesovár Ernő Művelődési Ház bevételei és kiadásai kötelező és önként vállalt feladat valamint államigazgatási feladatai szerinti bontásban</t>
  </si>
  <si>
    <t>Közvetitett szolgáltatások</t>
  </si>
  <si>
    <t>MÓD III.</t>
  </si>
  <si>
    <t>EP választás</t>
  </si>
  <si>
    <t>Polgármesteri Hiv. gép, berendezés (számítógép eszközök, választási fülke)</t>
  </si>
  <si>
    <t>MÓD III</t>
  </si>
  <si>
    <t>Pesovár Ernő dombormű</t>
  </si>
  <si>
    <t>TOP-3.1.1-15-VE1-2016 pályázat kerékpárút kialakítása</t>
  </si>
  <si>
    <t>TOP-3.1.1-15-VE1-2016 pályázat keretében ingatlan vétel</t>
  </si>
  <si>
    <t xml:space="preserve">         Herend, Pipacs u 22 sz. lakás értékesítése</t>
  </si>
  <si>
    <t>Műkődési célú támogatások (EP választás)</t>
  </si>
  <si>
    <t>ellátási díjak</t>
  </si>
  <si>
    <t>biztosító által fizetett kártérítések</t>
  </si>
  <si>
    <t>Önkormányzaton kívüli EU-s projektekhez történő hozzájárulás 2019. évi előirányzat</t>
  </si>
  <si>
    <t>211.</t>
  </si>
  <si>
    <t>246.</t>
  </si>
  <si>
    <t>247.</t>
  </si>
  <si>
    <t>248.</t>
  </si>
  <si>
    <t>249.</t>
  </si>
  <si>
    <t xml:space="preserve">3/2019.(II.15.) önkormányzati rendelet </t>
  </si>
  <si>
    <t xml:space="preserve">16/2019.(VIII.27.) önkormányzati rendelethez  </t>
  </si>
  <si>
    <t xml:space="preserve">16/2019.(VIII.27.) önkormányzati rendelethez </t>
  </si>
  <si>
    <t>10. melléklet</t>
  </si>
  <si>
    <t>11. melléklet</t>
  </si>
  <si>
    <t>13. melléklet</t>
  </si>
  <si>
    <t>14. melléklet</t>
  </si>
  <si>
    <t>15. melléklet</t>
  </si>
  <si>
    <t>17.1. melléklet</t>
  </si>
  <si>
    <t>17.2. melléklet</t>
  </si>
  <si>
    <t>17.3. mellékklet</t>
  </si>
  <si>
    <t>17.4. melléklet</t>
  </si>
  <si>
    <t>17.5. melléklet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</si>
</sst>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\ * #,##0.00&quot;     &quot;;\-* #,##0.00&quot;     &quot;;\ * \-#&quot;     &quot;;@\ "/>
    <numFmt numFmtId="175" formatCode="\ * #,##0&quot;     &quot;;\-* #,##0&quot;     &quot;;\ * \-#&quot;     &quot;;@\ "/>
    <numFmt numFmtId="176" formatCode="\ * #,##0.00&quot; Ft &quot;;\-* #,##0.00&quot; Ft &quot;;\ * \-#&quot; Ft &quot;;@\ "/>
    <numFmt numFmtId="177" formatCode="0.0"/>
    <numFmt numFmtId="178" formatCode="#,##0.0"/>
    <numFmt numFmtId="179" formatCode="\ * #,##0.0&quot;     &quot;;\-* #,##0.0&quot;     &quot;;\ * \-#&quot;     &quot;;@\ "/>
    <numFmt numFmtId="180" formatCode="[$-40E]yyyy\.\ mmmm\ d\."/>
    <numFmt numFmtId="181" formatCode="0.0%"/>
    <numFmt numFmtId="182" formatCode="[$-40E]yyyy\.\ mmmm\ d\.\,\ dddd"/>
  </numFmts>
  <fonts count="90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Black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9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6"/>
        <bgColor indexed="64"/>
      </patternFill>
    </fill>
  </fills>
  <borders count="2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7" fillId="0" borderId="9" applyNumberFormat="0" applyFill="0" applyAlignment="0" applyProtection="0"/>
    <xf numFmtId="176" fontId="0" fillId="0" borderId="0" applyFill="0" applyBorder="0" applyAlignment="0" applyProtection="0"/>
    <xf numFmtId="168" fontId="0" fillId="0" borderId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ill="0" applyBorder="0" applyAlignment="0" applyProtection="0"/>
  </cellStyleXfs>
  <cellXfs count="206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175" fontId="0" fillId="0" borderId="0" xfId="46" applyNumberFormat="1" applyAlignment="1">
      <alignment/>
    </xf>
    <xf numFmtId="3" fontId="2" fillId="33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3" fontId="8" fillId="0" borderId="2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175" fontId="8" fillId="0" borderId="12" xfId="46" applyNumberFormat="1" applyFont="1" applyBorder="1" applyAlignment="1">
      <alignment/>
    </xf>
    <xf numFmtId="175" fontId="8" fillId="36" borderId="12" xfId="46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2" fillId="0" borderId="2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75" fontId="2" fillId="0" borderId="12" xfId="46" applyNumberFormat="1" applyFont="1" applyBorder="1" applyAlignment="1">
      <alignment/>
    </xf>
    <xf numFmtId="175" fontId="2" fillId="36" borderId="12" xfId="46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8" fillId="0" borderId="21" xfId="0" applyNumberFormat="1" applyFont="1" applyBorder="1" applyAlignment="1">
      <alignment/>
    </xf>
    <xf numFmtId="175" fontId="8" fillId="0" borderId="21" xfId="46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3" fontId="10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175" fontId="0" fillId="0" borderId="12" xfId="46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5" fontId="0" fillId="36" borderId="12" xfId="46" applyNumberFormat="1" applyFont="1" applyFill="1" applyBorder="1" applyAlignment="1">
      <alignment/>
    </xf>
    <xf numFmtId="175" fontId="0" fillId="36" borderId="12" xfId="46" applyNumberFormat="1" applyFill="1" applyBorder="1" applyAlignment="1">
      <alignment/>
    </xf>
    <xf numFmtId="3" fontId="2" fillId="0" borderId="24" xfId="0" applyNumberFormat="1" applyFont="1" applyBorder="1" applyAlignment="1">
      <alignment horizontal="center"/>
    </xf>
    <xf numFmtId="175" fontId="2" fillId="0" borderId="21" xfId="46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14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wrapText="1"/>
    </xf>
    <xf numFmtId="3" fontId="4" fillId="0" borderId="11" xfId="0" applyNumberFormat="1" applyFont="1" applyBorder="1" applyAlignment="1">
      <alignment horizontal="center"/>
    </xf>
    <xf numFmtId="3" fontId="13" fillId="0" borderId="25" xfId="0" applyNumberFormat="1" applyFont="1" applyBorder="1" applyAlignment="1">
      <alignment/>
    </xf>
    <xf numFmtId="175" fontId="13" fillId="36" borderId="12" xfId="46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0" fillId="0" borderId="21" xfId="0" applyBorder="1" applyAlignment="1">
      <alignment wrapText="1"/>
    </xf>
    <xf numFmtId="175" fontId="8" fillId="36" borderId="21" xfId="46" applyNumberFormat="1" applyFont="1" applyFill="1" applyBorder="1" applyAlignment="1">
      <alignment/>
    </xf>
    <xf numFmtId="0" fontId="0" fillId="0" borderId="14" xfId="0" applyBorder="1" applyAlignment="1">
      <alignment wrapText="1"/>
    </xf>
    <xf numFmtId="175" fontId="0" fillId="36" borderId="14" xfId="46" applyNumberFormat="1" applyFont="1" applyFill="1" applyBorder="1" applyAlignment="1">
      <alignment/>
    </xf>
    <xf numFmtId="3" fontId="2" fillId="0" borderId="26" xfId="0" applyNumberFormat="1" applyFont="1" applyBorder="1" applyAlignment="1">
      <alignment horizontal="center"/>
    </xf>
    <xf numFmtId="0" fontId="14" fillId="33" borderId="0" xfId="0" applyFont="1" applyFill="1" applyAlignment="1">
      <alignment/>
    </xf>
    <xf numFmtId="175" fontId="1" fillId="33" borderId="0" xfId="46" applyNumberFormat="1" applyFont="1" applyFill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12" xfId="0" applyNumberFormat="1" applyBorder="1" applyAlignment="1">
      <alignment wrapText="1"/>
    </xf>
    <xf numFmtId="175" fontId="0" fillId="0" borderId="12" xfId="46" applyNumberFormat="1" applyFont="1" applyBorder="1" applyAlignment="1">
      <alignment/>
    </xf>
    <xf numFmtId="175" fontId="0" fillId="0" borderId="0" xfId="46" applyNumberFormat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175" fontId="0" fillId="0" borderId="14" xfId="46" applyNumberFormat="1" applyBorder="1" applyAlignment="1">
      <alignment/>
    </xf>
    <xf numFmtId="175" fontId="0" fillId="0" borderId="14" xfId="46" applyNumberFormat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175" fontId="0" fillId="33" borderId="0" xfId="46" applyNumberFormat="1" applyFill="1" applyAlignment="1">
      <alignment/>
    </xf>
    <xf numFmtId="3" fontId="1" fillId="0" borderId="0" xfId="0" applyNumberFormat="1" applyFont="1" applyAlignment="1">
      <alignment horizontal="center"/>
    </xf>
    <xf numFmtId="175" fontId="0" fillId="0" borderId="0" xfId="46" applyNumberFormat="1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3" fontId="2" fillId="0" borderId="28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175" fontId="0" fillId="0" borderId="21" xfId="46" applyNumberFormat="1" applyBorder="1" applyAlignment="1">
      <alignment/>
    </xf>
    <xf numFmtId="3" fontId="0" fillId="0" borderId="0" xfId="0" applyNumberFormat="1" applyAlignment="1">
      <alignment vertical="center"/>
    </xf>
    <xf numFmtId="3" fontId="2" fillId="0" borderId="12" xfId="0" applyNumberFormat="1" applyFont="1" applyBorder="1" applyAlignment="1">
      <alignment wrapText="1"/>
    </xf>
    <xf numFmtId="177" fontId="2" fillId="0" borderId="12" xfId="0" applyNumberFormat="1" applyFon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75" fontId="2" fillId="0" borderId="12" xfId="46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36" borderId="12" xfId="0" applyNumberFormat="1" applyFill="1" applyBorder="1" applyAlignment="1">
      <alignment horizontal="center"/>
    </xf>
    <xf numFmtId="175" fontId="0" fillId="0" borderId="13" xfId="46" applyNumberFormat="1" applyBorder="1" applyAlignment="1">
      <alignment/>
    </xf>
    <xf numFmtId="3" fontId="0" fillId="36" borderId="12" xfId="0" applyNumberForma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5" fontId="3" fillId="0" borderId="12" xfId="46" applyNumberFormat="1" applyFont="1" applyBorder="1" applyAlignment="1">
      <alignment/>
    </xf>
    <xf numFmtId="175" fontId="3" fillId="0" borderId="0" xfId="46" applyNumberFormat="1" applyFont="1" applyAlignment="1">
      <alignment/>
    </xf>
    <xf numFmtId="175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175" fontId="0" fillId="0" borderId="0" xfId="46" applyNumberFormat="1" applyAlignment="1">
      <alignment horizontal="center" vertical="center"/>
    </xf>
    <xf numFmtId="0" fontId="0" fillId="36" borderId="0" xfId="0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75" fontId="2" fillId="0" borderId="13" xfId="46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0" fillId="0" borderId="29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2" fillId="37" borderId="28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36" borderId="14" xfId="0" applyNumberFormat="1" applyFill="1" applyBorder="1" applyAlignment="1">
      <alignment horizontal="center"/>
    </xf>
    <xf numFmtId="3" fontId="0" fillId="36" borderId="14" xfId="0" applyNumberFormat="1" applyFill="1" applyBorder="1" applyAlignment="1">
      <alignment/>
    </xf>
    <xf numFmtId="177" fontId="0" fillId="36" borderId="14" xfId="0" applyNumberFormat="1" applyFill="1" applyBorder="1" applyAlignment="1">
      <alignment/>
    </xf>
    <xf numFmtId="175" fontId="0" fillId="0" borderId="0" xfId="46" applyNumberFormat="1" applyAlignment="1">
      <alignment horizontal="right"/>
    </xf>
    <xf numFmtId="0" fontId="16" fillId="0" borderId="0" xfId="0" applyFont="1" applyAlignment="1">
      <alignment/>
    </xf>
    <xf numFmtId="3" fontId="0" fillId="33" borderId="26" xfId="0" applyNumberFormat="1" applyFill="1" applyBorder="1" applyAlignment="1">
      <alignment horizontal="center" vertical="center"/>
    </xf>
    <xf numFmtId="3" fontId="0" fillId="33" borderId="34" xfId="0" applyNumberFormat="1" applyFill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/>
    </xf>
    <xf numFmtId="3" fontId="13" fillId="0" borderId="30" xfId="0" applyNumberFormat="1" applyFont="1" applyBorder="1" applyAlignment="1">
      <alignment horizontal="right"/>
    </xf>
    <xf numFmtId="175" fontId="2" fillId="33" borderId="35" xfId="46" applyNumberFormat="1" applyFont="1" applyFill="1" applyBorder="1" applyAlignment="1">
      <alignment horizontal="center" vertical="center" wrapText="1"/>
    </xf>
    <xf numFmtId="175" fontId="2" fillId="33" borderId="36" xfId="46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75" fontId="2" fillId="0" borderId="36" xfId="46" applyNumberFormat="1" applyFont="1" applyBorder="1" applyAlignment="1">
      <alignment horizontal="center" vertical="center"/>
    </xf>
    <xf numFmtId="175" fontId="0" fillId="0" borderId="37" xfId="46" applyNumberFormat="1" applyBorder="1" applyAlignment="1">
      <alignment horizontal="center" vertical="center"/>
    </xf>
    <xf numFmtId="3" fontId="5" fillId="36" borderId="0" xfId="0" applyNumberFormat="1" applyFont="1" applyFill="1" applyAlignment="1">
      <alignment horizontal="center"/>
    </xf>
    <xf numFmtId="3" fontId="5" fillId="36" borderId="0" xfId="0" applyNumberFormat="1" applyFont="1" applyFill="1" applyAlignment="1">
      <alignment horizontal="left"/>
    </xf>
    <xf numFmtId="175" fontId="5" fillId="36" borderId="0" xfId="46" applyNumberFormat="1" applyFont="1" applyFill="1" applyAlignment="1">
      <alignment/>
    </xf>
    <xf numFmtId="177" fontId="2" fillId="0" borderId="21" xfId="0" applyNumberFormat="1" applyFont="1" applyBorder="1" applyAlignment="1">
      <alignment/>
    </xf>
    <xf numFmtId="175" fontId="0" fillId="0" borderId="38" xfId="46" applyNumberForma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39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/>
    </xf>
    <xf numFmtId="3" fontId="2" fillId="33" borderId="4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left" wrapText="1"/>
    </xf>
    <xf numFmtId="177" fontId="2" fillId="0" borderId="14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77" fontId="2" fillId="36" borderId="12" xfId="0" applyNumberFormat="1" applyFont="1" applyFill="1" applyBorder="1" applyAlignment="1">
      <alignment horizontal="center"/>
    </xf>
    <xf numFmtId="177" fontId="0" fillId="36" borderId="12" xfId="0" applyNumberForma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18" fillId="36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18" fillId="33" borderId="41" xfId="0" applyNumberFormat="1" applyFont="1" applyFill="1" applyBorder="1" applyAlignment="1">
      <alignment horizontal="center"/>
    </xf>
    <xf numFmtId="3" fontId="27" fillId="33" borderId="23" xfId="0" applyNumberFormat="1" applyFont="1" applyFill="1" applyBorder="1" applyAlignment="1">
      <alignment/>
    </xf>
    <xf numFmtId="3" fontId="24" fillId="33" borderId="35" xfId="0" applyNumberFormat="1" applyFont="1" applyFill="1" applyBorder="1" applyAlignment="1">
      <alignment/>
    </xf>
    <xf numFmtId="3" fontId="18" fillId="33" borderId="42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/>
    </xf>
    <xf numFmtId="3" fontId="18" fillId="33" borderId="43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/>
    </xf>
    <xf numFmtId="3" fontId="18" fillId="33" borderId="12" xfId="0" applyNumberFormat="1" applyFont="1" applyFill="1" applyBorder="1" applyAlignment="1">
      <alignment horizontal="left"/>
    </xf>
    <xf numFmtId="3" fontId="18" fillId="33" borderId="44" xfId="0" applyNumberFormat="1" applyFont="1" applyFill="1" applyBorder="1" applyAlignment="1">
      <alignment horizontal="center"/>
    </xf>
    <xf numFmtId="3" fontId="18" fillId="33" borderId="21" xfId="0" applyNumberFormat="1" applyFont="1" applyFill="1" applyBorder="1" applyAlignment="1">
      <alignment/>
    </xf>
    <xf numFmtId="0" fontId="26" fillId="38" borderId="0" xfId="0" applyFont="1" applyFill="1" applyAlignment="1">
      <alignment/>
    </xf>
    <xf numFmtId="3" fontId="26" fillId="38" borderId="0" xfId="0" applyNumberFormat="1" applyFont="1" applyFill="1" applyAlignment="1">
      <alignment/>
    </xf>
    <xf numFmtId="0" fontId="2" fillId="0" borderId="21" xfId="0" applyFont="1" applyBorder="1" applyAlignment="1">
      <alignment horizontal="center" vertical="center"/>
    </xf>
    <xf numFmtId="175" fontId="0" fillId="0" borderId="12" xfId="46" applyNumberFormat="1" applyFont="1" applyBorder="1" applyAlignment="1">
      <alignment horizontal="center"/>
    </xf>
    <xf numFmtId="0" fontId="0" fillId="0" borderId="21" xfId="0" applyBorder="1" applyAlignment="1">
      <alignment/>
    </xf>
    <xf numFmtId="175" fontId="0" fillId="0" borderId="21" xfId="46" applyNumberFormat="1" applyFont="1" applyBorder="1" applyAlignment="1">
      <alignment/>
    </xf>
    <xf numFmtId="175" fontId="2" fillId="0" borderId="23" xfId="46" applyNumberFormat="1" applyFont="1" applyBorder="1" applyAlignment="1">
      <alignment/>
    </xf>
    <xf numFmtId="175" fontId="8" fillId="0" borderId="14" xfId="46" applyNumberFormat="1" applyFont="1" applyBorder="1" applyAlignment="1">
      <alignment/>
    </xf>
    <xf numFmtId="0" fontId="0" fillId="0" borderId="14" xfId="0" applyBorder="1" applyAlignment="1">
      <alignment/>
    </xf>
    <xf numFmtId="175" fontId="0" fillId="0" borderId="14" xfId="46" applyNumberFormat="1" applyFont="1" applyBorder="1" applyAlignment="1">
      <alignment/>
    </xf>
    <xf numFmtId="175" fontId="2" fillId="0" borderId="14" xfId="46" applyNumberFormat="1" applyFont="1" applyBorder="1" applyAlignment="1">
      <alignment/>
    </xf>
    <xf numFmtId="175" fontId="8" fillId="0" borderId="21" xfId="46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 vertical="center"/>
    </xf>
    <xf numFmtId="175" fontId="2" fillId="0" borderId="10" xfId="46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175" fontId="0" fillId="0" borderId="12" xfId="46" applyNumberFormat="1" applyBorder="1" applyAlignment="1">
      <alignment vertical="center" wrapText="1"/>
    </xf>
    <xf numFmtId="0" fontId="0" fillId="36" borderId="26" xfId="0" applyFill="1" applyBorder="1" applyAlignment="1">
      <alignment horizontal="center"/>
    </xf>
    <xf numFmtId="3" fontId="0" fillId="0" borderId="30" xfId="0" applyNumberFormat="1" applyBorder="1" applyAlignment="1">
      <alignment wrapText="1"/>
    </xf>
    <xf numFmtId="3" fontId="2" fillId="36" borderId="12" xfId="0" applyNumberFormat="1" applyFont="1" applyFill="1" applyBorder="1" applyAlignment="1">
      <alignment horizontal="right"/>
    </xf>
    <xf numFmtId="0" fontId="2" fillId="36" borderId="26" xfId="0" applyFont="1" applyFill="1" applyBorder="1" applyAlignment="1">
      <alignment horizontal="center"/>
    </xf>
    <xf numFmtId="175" fontId="0" fillId="0" borderId="29" xfId="46" applyNumberFormat="1" applyBorder="1" applyAlignment="1">
      <alignment/>
    </xf>
    <xf numFmtId="3" fontId="0" fillId="0" borderId="12" xfId="0" applyNumberFormat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40" xfId="0" applyFont="1" applyFill="1" applyBorder="1" applyAlignment="1">
      <alignment/>
    </xf>
    <xf numFmtId="0" fontId="2" fillId="35" borderId="45" xfId="0" applyFont="1" applyFill="1" applyBorder="1" applyAlignment="1">
      <alignment wrapText="1"/>
    </xf>
    <xf numFmtId="0" fontId="2" fillId="35" borderId="46" xfId="0" applyFont="1" applyFill="1" applyBorder="1" applyAlignment="1">
      <alignment/>
    </xf>
    <xf numFmtId="175" fontId="2" fillId="35" borderId="12" xfId="46" applyNumberFormat="1" applyFont="1" applyFill="1" applyBorder="1" applyAlignment="1">
      <alignment/>
    </xf>
    <xf numFmtId="175" fontId="2" fillId="35" borderId="18" xfId="46" applyNumberFormat="1" applyFont="1" applyFill="1" applyBorder="1" applyAlignment="1">
      <alignment/>
    </xf>
    <xf numFmtId="175" fontId="2" fillId="35" borderId="47" xfId="46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75" fontId="8" fillId="35" borderId="14" xfId="46" applyNumberFormat="1" applyFont="1" applyFill="1" applyBorder="1" applyAlignment="1">
      <alignment/>
    </xf>
    <xf numFmtId="175" fontId="8" fillId="35" borderId="36" xfId="46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20" xfId="0" applyFont="1" applyFill="1" applyBorder="1" applyAlignment="1">
      <alignment/>
    </xf>
    <xf numFmtId="175" fontId="8" fillId="35" borderId="12" xfId="46" applyNumberFormat="1" applyFont="1" applyFill="1" applyBorder="1" applyAlignment="1">
      <alignment/>
    </xf>
    <xf numFmtId="0" fontId="2" fillId="35" borderId="20" xfId="0" applyFont="1" applyFill="1" applyBorder="1" applyAlignment="1">
      <alignment/>
    </xf>
    <xf numFmtId="175" fontId="2" fillId="35" borderId="37" xfId="46" applyNumberFormat="1" applyFont="1" applyFill="1" applyBorder="1" applyAlignment="1">
      <alignment/>
    </xf>
    <xf numFmtId="175" fontId="8" fillId="35" borderId="37" xfId="46" applyNumberFormat="1" applyFont="1" applyFill="1" applyBorder="1" applyAlignment="1">
      <alignment/>
    </xf>
    <xf numFmtId="175" fontId="2" fillId="35" borderId="14" xfId="46" applyNumberFormat="1" applyFont="1" applyFill="1" applyBorder="1" applyAlignment="1">
      <alignment/>
    </xf>
    <xf numFmtId="175" fontId="2" fillId="35" borderId="36" xfId="46" applyNumberFormat="1" applyFont="1" applyFill="1" applyBorder="1" applyAlignment="1">
      <alignment/>
    </xf>
    <xf numFmtId="0" fontId="2" fillId="35" borderId="48" xfId="0" applyFont="1" applyFill="1" applyBorder="1" applyAlignment="1">
      <alignment/>
    </xf>
    <xf numFmtId="175" fontId="2" fillId="35" borderId="40" xfId="46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33" borderId="49" xfId="0" applyNumberFormat="1" applyFont="1" applyFill="1" applyBorder="1" applyAlignment="1">
      <alignment horizontal="center" vertical="center" wrapText="1"/>
    </xf>
    <xf numFmtId="175" fontId="2" fillId="33" borderId="49" xfId="46" applyNumberFormat="1" applyFont="1" applyFill="1" applyBorder="1" applyAlignment="1">
      <alignment horizontal="center"/>
    </xf>
    <xf numFmtId="3" fontId="2" fillId="39" borderId="16" xfId="0" applyNumberFormat="1" applyFont="1" applyFill="1" applyBorder="1" applyAlignment="1">
      <alignment horizontal="center"/>
    </xf>
    <xf numFmtId="3" fontId="2" fillId="39" borderId="31" xfId="0" applyNumberFormat="1" applyFont="1" applyFill="1" applyBorder="1" applyAlignment="1">
      <alignment horizontal="center"/>
    </xf>
    <xf numFmtId="3" fontId="2" fillId="39" borderId="21" xfId="0" applyNumberFormat="1" applyFont="1" applyFill="1" applyBorder="1" applyAlignment="1">
      <alignment/>
    </xf>
    <xf numFmtId="175" fontId="2" fillId="39" borderId="21" xfId="46" applyNumberFormat="1" applyFont="1" applyFill="1" applyBorder="1" applyAlignment="1">
      <alignment/>
    </xf>
    <xf numFmtId="0" fontId="0" fillId="39" borderId="12" xfId="0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175" fontId="2" fillId="39" borderId="12" xfId="46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39" borderId="29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 horizontal="center"/>
    </xf>
    <xf numFmtId="0" fontId="31" fillId="0" borderId="21" xfId="0" applyFont="1" applyBorder="1" applyAlignment="1">
      <alignment horizontal="left" wrapText="1"/>
    </xf>
    <xf numFmtId="175" fontId="31" fillId="36" borderId="21" xfId="46" applyNumberFormat="1" applyFont="1" applyFill="1" applyBorder="1" applyAlignment="1">
      <alignment/>
    </xf>
    <xf numFmtId="0" fontId="31" fillId="0" borderId="0" xfId="0" applyFont="1" applyAlignment="1">
      <alignment/>
    </xf>
    <xf numFmtId="3" fontId="32" fillId="0" borderId="11" xfId="0" applyNumberFormat="1" applyFont="1" applyBorder="1" applyAlignment="1">
      <alignment horizontal="center"/>
    </xf>
    <xf numFmtId="175" fontId="31" fillId="36" borderId="12" xfId="46" applyNumberFormat="1" applyFont="1" applyFill="1" applyBorder="1" applyAlignment="1">
      <alignment/>
    </xf>
    <xf numFmtId="0" fontId="30" fillId="0" borderId="0" xfId="0" applyFont="1" applyAlignment="1">
      <alignment/>
    </xf>
    <xf numFmtId="3" fontId="2" fillId="0" borderId="30" xfId="0" applyNumberFormat="1" applyFont="1" applyBorder="1" applyAlignment="1">
      <alignment horizontal="center"/>
    </xf>
    <xf numFmtId="0" fontId="0" fillId="0" borderId="21" xfId="0" applyBorder="1" applyAlignment="1">
      <alignment horizontal="left" wrapText="1"/>
    </xf>
    <xf numFmtId="3" fontId="0" fillId="0" borderId="50" xfId="0" applyNumberForma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/>
    </xf>
    <xf numFmtId="175" fontId="1" fillId="36" borderId="52" xfId="46" applyNumberFormat="1" applyFont="1" applyFill="1" applyBorder="1" applyAlignment="1">
      <alignment/>
    </xf>
    <xf numFmtId="175" fontId="0" fillId="36" borderId="21" xfId="46" applyNumberFormat="1" applyFont="1" applyFill="1" applyBorder="1" applyAlignment="1">
      <alignment/>
    </xf>
    <xf numFmtId="175" fontId="8" fillId="36" borderId="14" xfId="46" applyNumberFormat="1" applyFont="1" applyFill="1" applyBorder="1" applyAlignment="1">
      <alignment/>
    </xf>
    <xf numFmtId="175" fontId="2" fillId="36" borderId="52" xfId="46" applyNumberFormat="1" applyFont="1" applyFill="1" applyBorder="1" applyAlignment="1">
      <alignment/>
    </xf>
    <xf numFmtId="0" fontId="0" fillId="0" borderId="14" xfId="0" applyBorder="1" applyAlignment="1">
      <alignment horizontal="left" wrapText="1"/>
    </xf>
    <xf numFmtId="3" fontId="2" fillId="0" borderId="52" xfId="0" applyNumberFormat="1" applyFont="1" applyBorder="1" applyAlignment="1">
      <alignment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54" xfId="0" applyNumberFormat="1" applyFont="1" applyFill="1" applyBorder="1" applyAlignment="1">
      <alignment horizontal="center" vertical="center" wrapText="1"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 horizontal="center"/>
    </xf>
    <xf numFmtId="3" fontId="0" fillId="0" borderId="56" xfId="0" applyNumberFormat="1" applyBorder="1" applyAlignment="1">
      <alignment/>
    </xf>
    <xf numFmtId="3" fontId="0" fillId="0" borderId="27" xfId="0" applyNumberFormat="1" applyBorder="1" applyAlignment="1">
      <alignment wrapText="1"/>
    </xf>
    <xf numFmtId="3" fontId="31" fillId="0" borderId="27" xfId="0" applyNumberFormat="1" applyFont="1" applyBorder="1" applyAlignment="1">
      <alignment/>
    </xf>
    <xf numFmtId="9" fontId="31" fillId="0" borderId="12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3" fontId="2" fillId="40" borderId="27" xfId="0" applyNumberFormat="1" applyFont="1" applyFill="1" applyBorder="1" applyAlignment="1">
      <alignment wrapText="1"/>
    </xf>
    <xf numFmtId="3" fontId="2" fillId="40" borderId="12" xfId="0" applyNumberFormat="1" applyFont="1" applyFill="1" applyBorder="1" applyAlignment="1">
      <alignment/>
    </xf>
    <xf numFmtId="3" fontId="2" fillId="40" borderId="0" xfId="0" applyNumberFormat="1" applyFont="1" applyFill="1" applyAlignment="1">
      <alignment/>
    </xf>
    <xf numFmtId="3" fontId="0" fillId="0" borderId="39" xfId="0" applyNumberFormat="1" applyBorder="1" applyAlignment="1">
      <alignment/>
    </xf>
    <xf numFmtId="3" fontId="0" fillId="0" borderId="55" xfId="0" applyNumberFormat="1" applyBorder="1" applyAlignment="1">
      <alignment wrapText="1"/>
    </xf>
    <xf numFmtId="3" fontId="2" fillId="37" borderId="57" xfId="0" applyNumberFormat="1" applyFont="1" applyFill="1" applyBorder="1" applyAlignment="1">
      <alignment vertical="center" wrapText="1"/>
    </xf>
    <xf numFmtId="3" fontId="2" fillId="37" borderId="52" xfId="0" applyNumberFormat="1" applyFont="1" applyFill="1" applyBorder="1" applyAlignment="1">
      <alignment vertical="center"/>
    </xf>
    <xf numFmtId="3" fontId="31" fillId="0" borderId="39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3" fontId="2" fillId="33" borderId="57" xfId="0" applyNumberFormat="1" applyFont="1" applyFill="1" applyBorder="1" applyAlignment="1">
      <alignment wrapText="1"/>
    </xf>
    <xf numFmtId="3" fontId="2" fillId="33" borderId="58" xfId="0" applyNumberFormat="1" applyFont="1" applyFill="1" applyBorder="1" applyAlignment="1">
      <alignment horizontal="center" vertical="center"/>
    </xf>
    <xf numFmtId="3" fontId="2" fillId="33" borderId="59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/>
    </xf>
    <xf numFmtId="3" fontId="2" fillId="33" borderId="61" xfId="0" applyNumberFormat="1" applyFont="1" applyFill="1" applyBorder="1" applyAlignment="1">
      <alignment horizontal="center" vertical="center"/>
    </xf>
    <xf numFmtId="3" fontId="2" fillId="41" borderId="57" xfId="0" applyNumberFormat="1" applyFont="1" applyFill="1" applyBorder="1" applyAlignment="1">
      <alignment wrapText="1"/>
    </xf>
    <xf numFmtId="3" fontId="2" fillId="37" borderId="62" xfId="0" applyNumberFormat="1" applyFont="1" applyFill="1" applyBorder="1" applyAlignment="1">
      <alignment/>
    </xf>
    <xf numFmtId="3" fontId="2" fillId="37" borderId="63" xfId="0" applyNumberFormat="1" applyFont="1" applyFill="1" applyBorder="1" applyAlignment="1">
      <alignment/>
    </xf>
    <xf numFmtId="3" fontId="8" fillId="0" borderId="56" xfId="0" applyNumberFormat="1" applyFont="1" applyBorder="1" applyAlignment="1">
      <alignment/>
    </xf>
    <xf numFmtId="3" fontId="13" fillId="0" borderId="56" xfId="0" applyNumberFormat="1" applyFont="1" applyBorder="1" applyAlignment="1">
      <alignment/>
    </xf>
    <xf numFmtId="3" fontId="31" fillId="0" borderId="56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3" fontId="3" fillId="0" borderId="64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2" fillId="41" borderId="66" xfId="0" applyNumberFormat="1" applyFont="1" applyFill="1" applyBorder="1" applyAlignment="1">
      <alignment/>
    </xf>
    <xf numFmtId="3" fontId="31" fillId="0" borderId="6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65" xfId="0" applyNumberFormat="1" applyFont="1" applyBorder="1" applyAlignment="1">
      <alignment wrapText="1"/>
    </xf>
    <xf numFmtId="3" fontId="13" fillId="0" borderId="65" xfId="0" applyNumberFormat="1" applyFont="1" applyBorder="1" applyAlignment="1">
      <alignment/>
    </xf>
    <xf numFmtId="3" fontId="8" fillId="0" borderId="56" xfId="0" applyNumberFormat="1" applyFont="1" applyBorder="1" applyAlignment="1">
      <alignment wrapText="1"/>
    </xf>
    <xf numFmtId="3" fontId="2" fillId="33" borderId="6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0" fillId="40" borderId="27" xfId="0" applyNumberFormat="1" applyFill="1" applyBorder="1" applyAlignment="1">
      <alignment wrapText="1"/>
    </xf>
    <xf numFmtId="3" fontId="2" fillId="0" borderId="67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75" fontId="0" fillId="0" borderId="68" xfId="46" applyNumberFormat="1" applyBorder="1" applyAlignment="1">
      <alignment/>
    </xf>
    <xf numFmtId="3" fontId="0" fillId="40" borderId="56" xfId="0" applyNumberFormat="1" applyFill="1" applyBorder="1" applyAlignment="1">
      <alignment wrapText="1"/>
    </xf>
    <xf numFmtId="3" fontId="4" fillId="0" borderId="12" xfId="0" applyNumberFormat="1" applyFont="1" applyBorder="1" applyAlignment="1">
      <alignment horizontal="center"/>
    </xf>
    <xf numFmtId="3" fontId="2" fillId="42" borderId="56" xfId="0" applyNumberFormat="1" applyFont="1" applyFill="1" applyBorder="1" applyAlignment="1">
      <alignment wrapText="1"/>
    </xf>
    <xf numFmtId="175" fontId="2" fillId="0" borderId="29" xfId="46" applyNumberFormat="1" applyFont="1" applyBorder="1" applyAlignment="1">
      <alignment/>
    </xf>
    <xf numFmtId="3" fontId="2" fillId="40" borderId="56" xfId="0" applyNumberFormat="1" applyFont="1" applyFill="1" applyBorder="1" applyAlignment="1">
      <alignment wrapText="1"/>
    </xf>
    <xf numFmtId="3" fontId="2" fillId="43" borderId="56" xfId="0" applyNumberFormat="1" applyFont="1" applyFill="1" applyBorder="1" applyAlignment="1">
      <alignment/>
    </xf>
    <xf numFmtId="3" fontId="2" fillId="40" borderId="56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0" fontId="17" fillId="0" borderId="0" xfId="0" applyFont="1" applyAlignment="1">
      <alignment/>
    </xf>
    <xf numFmtId="3" fontId="30" fillId="0" borderId="12" xfId="0" applyNumberFormat="1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175" fontId="30" fillId="0" borderId="12" xfId="46" applyNumberFormat="1" applyFont="1" applyBorder="1" applyAlignment="1">
      <alignment/>
    </xf>
    <xf numFmtId="3" fontId="31" fillId="0" borderId="56" xfId="0" applyNumberFormat="1" applyFont="1" applyBorder="1" applyAlignment="1">
      <alignment horizontal="center"/>
    </xf>
    <xf numFmtId="3" fontId="14" fillId="0" borderId="67" xfId="0" applyNumberFormat="1" applyFont="1" applyBorder="1" applyAlignment="1">
      <alignment horizontal="center"/>
    </xf>
    <xf numFmtId="3" fontId="31" fillId="0" borderId="56" xfId="0" applyNumberFormat="1" applyFont="1" applyBorder="1" applyAlignment="1">
      <alignment wrapText="1"/>
    </xf>
    <xf numFmtId="3" fontId="4" fillId="0" borderId="56" xfId="0" applyNumberFormat="1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1" fillId="0" borderId="65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3" fontId="31" fillId="0" borderId="65" xfId="0" applyNumberFormat="1" applyFont="1" applyBorder="1" applyAlignment="1">
      <alignment horizontal="left" wrapText="1"/>
    </xf>
    <xf numFmtId="175" fontId="31" fillId="0" borderId="70" xfId="46" applyNumberFormat="1" applyFont="1" applyBorder="1" applyAlignment="1">
      <alignment/>
    </xf>
    <xf numFmtId="3" fontId="2" fillId="33" borderId="71" xfId="0" applyNumberFormat="1" applyFont="1" applyFill="1" applyBorder="1" applyAlignment="1">
      <alignment horizontal="center" vertical="center"/>
    </xf>
    <xf numFmtId="175" fontId="2" fillId="33" borderId="72" xfId="46" applyNumberFormat="1" applyFont="1" applyFill="1" applyBorder="1" applyAlignment="1">
      <alignment horizontal="center" vertical="center" wrapText="1"/>
    </xf>
    <xf numFmtId="3" fontId="2" fillId="33" borderId="73" xfId="0" applyNumberFormat="1" applyFont="1" applyFill="1" applyBorder="1" applyAlignment="1">
      <alignment horizontal="center" vertical="center"/>
    </xf>
    <xf numFmtId="175" fontId="2" fillId="33" borderId="74" xfId="46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2" fillId="40" borderId="64" xfId="0" applyNumberFormat="1" applyFont="1" applyFill="1" applyBorder="1" applyAlignment="1">
      <alignment/>
    </xf>
    <xf numFmtId="175" fontId="2" fillId="0" borderId="31" xfId="46" applyNumberFormat="1" applyFont="1" applyBorder="1" applyAlignment="1">
      <alignment/>
    </xf>
    <xf numFmtId="3" fontId="5" fillId="33" borderId="50" xfId="0" applyNumberFormat="1" applyFont="1" applyFill="1" applyBorder="1" applyAlignment="1">
      <alignment horizontal="center"/>
    </xf>
    <xf numFmtId="3" fontId="17" fillId="33" borderId="52" xfId="0" applyNumberFormat="1" applyFont="1" applyFill="1" applyBorder="1" applyAlignment="1">
      <alignment horizontal="center"/>
    </xf>
    <xf numFmtId="3" fontId="5" fillId="33" borderId="52" xfId="0" applyNumberFormat="1" applyFont="1" applyFill="1" applyBorder="1" applyAlignment="1">
      <alignment/>
    </xf>
    <xf numFmtId="175" fontId="5" fillId="33" borderId="75" xfId="46" applyNumberFormat="1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5" fontId="2" fillId="33" borderId="74" xfId="46" applyNumberFormat="1" applyFont="1" applyFill="1" applyBorder="1" applyAlignment="1">
      <alignment horizontal="center" vertical="center" wrapText="1"/>
    </xf>
    <xf numFmtId="3" fontId="2" fillId="40" borderId="56" xfId="0" applyNumberFormat="1" applyFont="1" applyFill="1" applyBorder="1" applyAlignment="1">
      <alignment horizontal="center"/>
    </xf>
    <xf numFmtId="175" fontId="2" fillId="40" borderId="56" xfId="46" applyNumberFormat="1" applyFont="1" applyFill="1" applyBorder="1" applyAlignment="1">
      <alignment/>
    </xf>
    <xf numFmtId="175" fontId="2" fillId="42" borderId="14" xfId="46" applyNumberFormat="1" applyFont="1" applyFill="1" applyBorder="1" applyAlignment="1">
      <alignment horizontal="center" vertical="center" wrapText="1"/>
    </xf>
    <xf numFmtId="3" fontId="4" fillId="42" borderId="56" xfId="0" applyNumberFormat="1" applyFont="1" applyFill="1" applyBorder="1" applyAlignment="1">
      <alignment horizontal="center" vertical="center" wrapText="1"/>
    </xf>
    <xf numFmtId="3" fontId="3" fillId="42" borderId="56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175" fontId="2" fillId="0" borderId="34" xfId="46" applyNumberFormat="1" applyFont="1" applyBorder="1" applyAlignment="1">
      <alignment/>
    </xf>
    <xf numFmtId="3" fontId="2" fillId="44" borderId="76" xfId="0" applyNumberFormat="1" applyFont="1" applyFill="1" applyBorder="1" applyAlignment="1">
      <alignment horizontal="center" vertical="center"/>
    </xf>
    <xf numFmtId="3" fontId="2" fillId="44" borderId="53" xfId="0" applyNumberFormat="1" applyFont="1" applyFill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33" borderId="50" xfId="0" applyNumberFormat="1" applyFont="1" applyFill="1" applyBorder="1" applyAlignment="1">
      <alignment horizontal="center"/>
    </xf>
    <xf numFmtId="0" fontId="0" fillId="33" borderId="52" xfId="0" applyFill="1" applyBorder="1" applyAlignment="1">
      <alignment/>
    </xf>
    <xf numFmtId="175" fontId="2" fillId="33" borderId="52" xfId="46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2" xfId="0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64" xfId="0" applyNumberFormat="1" applyFont="1" applyBorder="1" applyAlignment="1">
      <alignment horizontal="center"/>
    </xf>
    <xf numFmtId="0" fontId="2" fillId="0" borderId="64" xfId="0" applyFont="1" applyBorder="1" applyAlignment="1">
      <alignment/>
    </xf>
    <xf numFmtId="175" fontId="2" fillId="0" borderId="64" xfId="46" applyNumberFormat="1" applyFont="1" applyBorder="1" applyAlignment="1">
      <alignment/>
    </xf>
    <xf numFmtId="0" fontId="2" fillId="33" borderId="52" xfId="0" applyFont="1" applyFill="1" applyBorder="1" applyAlignment="1">
      <alignment wrapText="1"/>
    </xf>
    <xf numFmtId="3" fontId="2" fillId="33" borderId="77" xfId="0" applyNumberFormat="1" applyFont="1" applyFill="1" applyBorder="1" applyAlignment="1">
      <alignment horizontal="center" vertical="center" wrapText="1"/>
    </xf>
    <xf numFmtId="3" fontId="2" fillId="33" borderId="73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/>
    </xf>
    <xf numFmtId="0" fontId="0" fillId="0" borderId="56" xfId="0" applyBorder="1" applyAlignment="1">
      <alignment/>
    </xf>
    <xf numFmtId="175" fontId="0" fillId="0" borderId="56" xfId="46" applyNumberFormat="1" applyBorder="1" applyAlignment="1">
      <alignment/>
    </xf>
    <xf numFmtId="3" fontId="0" fillId="36" borderId="56" xfId="0" applyNumberFormat="1" applyFill="1" applyBorder="1" applyAlignment="1">
      <alignment/>
    </xf>
    <xf numFmtId="0" fontId="18" fillId="33" borderId="78" xfId="0" applyFont="1" applyFill="1" applyBorder="1" applyAlignment="1">
      <alignment horizontal="left" vertical="center" wrapText="1"/>
    </xf>
    <xf numFmtId="49" fontId="19" fillId="33" borderId="77" xfId="0" applyNumberFormat="1" applyFont="1" applyFill="1" applyBorder="1" applyAlignment="1">
      <alignment horizontal="center" vertical="center" wrapText="1"/>
    </xf>
    <xf numFmtId="49" fontId="19" fillId="33" borderId="72" xfId="0" applyNumberFormat="1" applyFont="1" applyFill="1" applyBorder="1" applyAlignment="1">
      <alignment horizontal="center" vertical="center" wrapText="1"/>
    </xf>
    <xf numFmtId="0" fontId="2" fillId="45" borderId="79" xfId="0" applyFont="1" applyFill="1" applyBorder="1" applyAlignment="1">
      <alignment horizontal="left" vertical="center" wrapText="1"/>
    </xf>
    <xf numFmtId="175" fontId="3" fillId="0" borderId="80" xfId="46" applyNumberFormat="1" applyFont="1" applyBorder="1" applyAlignment="1">
      <alignment/>
    </xf>
    <xf numFmtId="0" fontId="0" fillId="45" borderId="79" xfId="0" applyFill="1" applyBorder="1" applyAlignment="1">
      <alignment horizontal="left" vertical="center" wrapText="1"/>
    </xf>
    <xf numFmtId="0" fontId="2" fillId="33" borderId="79" xfId="0" applyFont="1" applyFill="1" applyBorder="1" applyAlignment="1">
      <alignment horizontal="left" vertical="center" wrapText="1"/>
    </xf>
    <xf numFmtId="3" fontId="2" fillId="33" borderId="80" xfId="0" applyNumberFormat="1" applyFont="1" applyFill="1" applyBorder="1" applyAlignment="1">
      <alignment/>
    </xf>
    <xf numFmtId="3" fontId="0" fillId="0" borderId="80" xfId="0" applyNumberFormat="1" applyBorder="1" applyAlignment="1">
      <alignment/>
    </xf>
    <xf numFmtId="0" fontId="2" fillId="45" borderId="81" xfId="0" applyFont="1" applyFill="1" applyBorder="1" applyAlignment="1">
      <alignment horizontal="left" vertical="center" wrapText="1"/>
    </xf>
    <xf numFmtId="3" fontId="2" fillId="45" borderId="73" xfId="0" applyNumberFormat="1" applyFont="1" applyFill="1" applyBorder="1" applyAlignment="1">
      <alignment/>
    </xf>
    <xf numFmtId="3" fontId="2" fillId="45" borderId="74" xfId="0" applyNumberFormat="1" applyFont="1" applyFill="1" applyBorder="1" applyAlignment="1">
      <alignment/>
    </xf>
    <xf numFmtId="175" fontId="31" fillId="0" borderId="56" xfId="46" applyNumberFormat="1" applyFont="1" applyBorder="1" applyAlignment="1">
      <alignment/>
    </xf>
    <xf numFmtId="175" fontId="2" fillId="0" borderId="56" xfId="46" applyNumberFormat="1" applyFont="1" applyBorder="1" applyAlignment="1">
      <alignment/>
    </xf>
    <xf numFmtId="3" fontId="2" fillId="37" borderId="82" xfId="0" applyNumberFormat="1" applyFont="1" applyFill="1" applyBorder="1" applyAlignment="1">
      <alignment horizontal="center" vertical="center"/>
    </xf>
    <xf numFmtId="3" fontId="4" fillId="37" borderId="83" xfId="0" applyNumberFormat="1" applyFont="1" applyFill="1" applyBorder="1" applyAlignment="1">
      <alignment horizontal="center" vertical="center" wrapText="1"/>
    </xf>
    <xf numFmtId="175" fontId="2" fillId="37" borderId="84" xfId="46" applyNumberFormat="1" applyFont="1" applyFill="1" applyBorder="1" applyAlignment="1">
      <alignment horizontal="center" vertical="center" wrapText="1"/>
    </xf>
    <xf numFmtId="3" fontId="2" fillId="37" borderId="85" xfId="0" applyNumberFormat="1" applyFont="1" applyFill="1" applyBorder="1" applyAlignment="1">
      <alignment horizontal="center" vertical="center"/>
    </xf>
    <xf numFmtId="175" fontId="2" fillId="37" borderId="86" xfId="46" applyNumberFormat="1" applyFont="1" applyFill="1" applyBorder="1" applyAlignment="1">
      <alignment horizontal="center"/>
    </xf>
    <xf numFmtId="175" fontId="2" fillId="0" borderId="87" xfId="46" applyNumberFormat="1" applyFont="1" applyBorder="1" applyAlignment="1">
      <alignment/>
    </xf>
    <xf numFmtId="175" fontId="31" fillId="0" borderId="87" xfId="46" applyNumberFormat="1" applyFont="1" applyBorder="1" applyAlignment="1">
      <alignment/>
    </xf>
    <xf numFmtId="175" fontId="6" fillId="0" borderId="88" xfId="46" applyNumberFormat="1" applyFont="1" applyBorder="1" applyAlignment="1">
      <alignment/>
    </xf>
    <xf numFmtId="0" fontId="0" fillId="0" borderId="0" xfId="0" applyAlignment="1">
      <alignment vertical="center"/>
    </xf>
    <xf numFmtId="177" fontId="2" fillId="0" borderId="56" xfId="0" applyNumberFormat="1" applyFont="1" applyBorder="1" applyAlignment="1">
      <alignment/>
    </xf>
    <xf numFmtId="0" fontId="17" fillId="36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3" fontId="2" fillId="37" borderId="76" xfId="0" applyNumberFormat="1" applyFont="1" applyFill="1" applyBorder="1" applyAlignment="1">
      <alignment horizontal="center" vertical="center"/>
    </xf>
    <xf numFmtId="0" fontId="2" fillId="0" borderId="89" xfId="0" applyFont="1" applyBorder="1" applyAlignment="1">
      <alignment horizontal="center"/>
    </xf>
    <xf numFmtId="175" fontId="2" fillId="0" borderId="80" xfId="46" applyNumberFormat="1" applyFont="1" applyBorder="1" applyAlignment="1">
      <alignment/>
    </xf>
    <xf numFmtId="0" fontId="0" fillId="0" borderId="89" xfId="0" applyBorder="1" applyAlignment="1">
      <alignment horizontal="center"/>
    </xf>
    <xf numFmtId="175" fontId="0" fillId="0" borderId="80" xfId="46" applyNumberFormat="1" applyBorder="1" applyAlignment="1">
      <alignment/>
    </xf>
    <xf numFmtId="175" fontId="0" fillId="36" borderId="80" xfId="46" applyNumberFormat="1" applyFill="1" applyBorder="1" applyAlignment="1">
      <alignment/>
    </xf>
    <xf numFmtId="175" fontId="0" fillId="0" borderId="90" xfId="46" applyNumberFormat="1" applyBorder="1" applyAlignment="1">
      <alignment/>
    </xf>
    <xf numFmtId="175" fontId="0" fillId="0" borderId="87" xfId="46" applyNumberFormat="1" applyBorder="1" applyAlignment="1">
      <alignment/>
    </xf>
    <xf numFmtId="175" fontId="0" fillId="0" borderId="91" xfId="46" applyNumberFormat="1" applyBorder="1" applyAlignment="1">
      <alignment/>
    </xf>
    <xf numFmtId="3" fontId="5" fillId="33" borderId="92" xfId="0" applyNumberFormat="1" applyFont="1" applyFill="1" applyBorder="1" applyAlignment="1">
      <alignment horizontal="center" vertical="center"/>
    </xf>
    <xf numFmtId="175" fontId="8" fillId="0" borderId="56" xfId="46" applyNumberFormat="1" applyFont="1" applyBorder="1" applyAlignment="1">
      <alignment/>
    </xf>
    <xf numFmtId="175" fontId="2" fillId="0" borderId="59" xfId="46" applyNumberFormat="1" applyFont="1" applyBorder="1" applyAlignment="1">
      <alignment/>
    </xf>
    <xf numFmtId="175" fontId="8" fillId="0" borderId="87" xfId="46" applyNumberFormat="1" applyFont="1" applyBorder="1" applyAlignment="1">
      <alignment/>
    </xf>
    <xf numFmtId="175" fontId="2" fillId="0" borderId="65" xfId="46" applyNumberFormat="1" applyFont="1" applyBorder="1" applyAlignment="1">
      <alignment/>
    </xf>
    <xf numFmtId="175" fontId="2" fillId="0" borderId="93" xfId="46" applyNumberFormat="1" applyFont="1" applyBorder="1" applyAlignment="1">
      <alignment/>
    </xf>
    <xf numFmtId="175" fontId="6" fillId="0" borderId="94" xfId="46" applyNumberFormat="1" applyFont="1" applyBorder="1" applyAlignment="1">
      <alignment vertical="center"/>
    </xf>
    <xf numFmtId="175" fontId="8" fillId="0" borderId="95" xfId="46" applyNumberFormat="1" applyFont="1" applyBorder="1" applyAlignment="1">
      <alignment/>
    </xf>
    <xf numFmtId="175" fontId="5" fillId="39" borderId="96" xfId="46" applyNumberFormat="1" applyFont="1" applyFill="1" applyBorder="1" applyAlignment="1">
      <alignment/>
    </xf>
    <xf numFmtId="175" fontId="6" fillId="36" borderId="94" xfId="46" applyNumberFormat="1" applyFont="1" applyFill="1" applyBorder="1" applyAlignment="1">
      <alignment vertical="center"/>
    </xf>
    <xf numFmtId="3" fontId="2" fillId="33" borderId="97" xfId="0" applyNumberFormat="1" applyFont="1" applyFill="1" applyBorder="1" applyAlignment="1">
      <alignment horizontal="center" vertical="center" wrapText="1"/>
    </xf>
    <xf numFmtId="175" fontId="2" fillId="33" borderId="98" xfId="46" applyNumberFormat="1" applyFont="1" applyFill="1" applyBorder="1" applyAlignment="1">
      <alignment horizontal="center"/>
    </xf>
    <xf numFmtId="175" fontId="13" fillId="0" borderId="99" xfId="46" applyNumberFormat="1" applyFont="1" applyBorder="1" applyAlignment="1">
      <alignment/>
    </xf>
    <xf numFmtId="175" fontId="13" fillId="0" borderId="100" xfId="46" applyNumberFormat="1" applyFont="1" applyBorder="1" applyAlignment="1">
      <alignment/>
    </xf>
    <xf numFmtId="3" fontId="0" fillId="0" borderId="34" xfId="0" applyNumberFormat="1" applyBorder="1" applyAlignment="1">
      <alignment/>
    </xf>
    <xf numFmtId="175" fontId="0" fillId="0" borderId="98" xfId="46" applyNumberFormat="1" applyFont="1" applyBorder="1" applyAlignment="1">
      <alignment/>
    </xf>
    <xf numFmtId="175" fontId="6" fillId="0" borderId="101" xfId="46" applyNumberFormat="1" applyFont="1" applyBorder="1" applyAlignment="1">
      <alignment/>
    </xf>
    <xf numFmtId="0" fontId="5" fillId="37" borderId="102" xfId="0" applyFont="1" applyFill="1" applyBorder="1" applyAlignment="1">
      <alignment/>
    </xf>
    <xf numFmtId="0" fontId="5" fillId="37" borderId="103" xfId="0" applyFont="1" applyFill="1" applyBorder="1" applyAlignment="1">
      <alignment/>
    </xf>
    <xf numFmtId="175" fontId="5" fillId="37" borderId="104" xfId="46" applyNumberFormat="1" applyFont="1" applyFill="1" applyBorder="1" applyAlignment="1">
      <alignment/>
    </xf>
    <xf numFmtId="3" fontId="2" fillId="0" borderId="56" xfId="0" applyNumberFormat="1" applyFont="1" applyBorder="1" applyAlignment="1">
      <alignment wrapText="1"/>
    </xf>
    <xf numFmtId="177" fontId="0" fillId="0" borderId="56" xfId="0" applyNumberFormat="1" applyBorder="1" applyAlignment="1">
      <alignment/>
    </xf>
    <xf numFmtId="3" fontId="13" fillId="0" borderId="56" xfId="0" applyNumberFormat="1" applyFont="1" applyBorder="1" applyAlignment="1">
      <alignment horizontal="center"/>
    </xf>
    <xf numFmtId="177" fontId="13" fillId="0" borderId="56" xfId="0" applyNumberFormat="1" applyFont="1" applyBorder="1" applyAlignment="1">
      <alignment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0" borderId="105" xfId="0" applyNumberFormat="1" applyFont="1" applyBorder="1" applyAlignment="1">
      <alignment horizontal="center"/>
    </xf>
    <xf numFmtId="3" fontId="0" fillId="0" borderId="105" xfId="0" applyNumberFormat="1" applyBorder="1" applyAlignment="1">
      <alignment horizontal="center"/>
    </xf>
    <xf numFmtId="175" fontId="0" fillId="0" borderId="87" xfId="46" applyNumberFormat="1" applyFont="1" applyBorder="1" applyAlignment="1">
      <alignment/>
    </xf>
    <xf numFmtId="3" fontId="13" fillId="0" borderId="105" xfId="0" applyNumberFormat="1" applyFont="1" applyBorder="1" applyAlignment="1">
      <alignment horizontal="center"/>
    </xf>
    <xf numFmtId="175" fontId="13" fillId="0" borderId="87" xfId="46" applyNumberFormat="1" applyFont="1" applyBorder="1" applyAlignment="1">
      <alignment/>
    </xf>
    <xf numFmtId="0" fontId="2" fillId="0" borderId="105" xfId="0" applyFont="1" applyBorder="1" applyAlignment="1">
      <alignment/>
    </xf>
    <xf numFmtId="3" fontId="2" fillId="0" borderId="106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wrapText="1"/>
    </xf>
    <xf numFmtId="177" fontId="2" fillId="0" borderId="65" xfId="0" applyNumberFormat="1" applyFont="1" applyBorder="1" applyAlignment="1">
      <alignment/>
    </xf>
    <xf numFmtId="3" fontId="0" fillId="33" borderId="73" xfId="0" applyNumberFormat="1" applyFill="1" applyBorder="1" applyAlignment="1">
      <alignment horizontal="center" vertical="center"/>
    </xf>
    <xf numFmtId="3" fontId="0" fillId="0" borderId="107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177" fontId="0" fillId="0" borderId="64" xfId="0" applyNumberFormat="1" applyBorder="1" applyAlignment="1">
      <alignment/>
    </xf>
    <xf numFmtId="175" fontId="0" fillId="0" borderId="95" xfId="46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5" fillId="37" borderId="108" xfId="0" applyNumberFormat="1" applyFont="1" applyFill="1" applyBorder="1" applyAlignment="1">
      <alignment horizontal="left"/>
    </xf>
    <xf numFmtId="3" fontId="5" fillId="37" borderId="109" xfId="0" applyNumberFormat="1" applyFont="1" applyFill="1" applyBorder="1" applyAlignment="1">
      <alignment horizontal="left"/>
    </xf>
    <xf numFmtId="175" fontId="5" fillId="37" borderId="110" xfId="46" applyNumberFormat="1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175" fontId="8" fillId="0" borderId="36" xfId="46" applyNumberFormat="1" applyFont="1" applyBorder="1" applyAlignment="1">
      <alignment horizontal="center" vertical="center"/>
    </xf>
    <xf numFmtId="175" fontId="6" fillId="0" borderId="111" xfId="46" applyNumberFormat="1" applyFont="1" applyBorder="1" applyAlignment="1">
      <alignment horizontal="right" vertical="center"/>
    </xf>
    <xf numFmtId="175" fontId="6" fillId="36" borderId="94" xfId="46" applyNumberFormat="1" applyFont="1" applyFill="1" applyBorder="1" applyAlignment="1">
      <alignment horizontal="right" vertical="center"/>
    </xf>
    <xf numFmtId="175" fontId="5" fillId="37" borderId="75" xfId="46" applyNumberFormat="1" applyFont="1" applyFill="1" applyBorder="1" applyAlignment="1">
      <alignment horizontal="center" vertical="center"/>
    </xf>
    <xf numFmtId="3" fontId="5" fillId="37" borderId="112" xfId="0" applyNumberFormat="1" applyFont="1" applyFill="1" applyBorder="1" applyAlignment="1">
      <alignment horizontal="center" vertical="center"/>
    </xf>
    <xf numFmtId="3" fontId="5" fillId="37" borderId="57" xfId="0" applyNumberFormat="1" applyFont="1" applyFill="1" applyBorder="1" applyAlignment="1">
      <alignment horizontal="center" vertical="center"/>
    </xf>
    <xf numFmtId="3" fontId="5" fillId="37" borderId="51" xfId="0" applyNumberFormat="1" applyFont="1" applyFill="1" applyBorder="1" applyAlignment="1">
      <alignment horizontal="left" vertical="center"/>
    </xf>
    <xf numFmtId="3" fontId="5" fillId="37" borderId="113" xfId="0" applyNumberFormat="1" applyFont="1" applyFill="1" applyBorder="1" applyAlignment="1">
      <alignment horizontal="left" vertical="center"/>
    </xf>
    <xf numFmtId="3" fontId="6" fillId="0" borderId="112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14" xfId="0" applyNumberFormat="1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3" fontId="8" fillId="0" borderId="115" xfId="0" applyNumberFormat="1" applyFont="1" applyBorder="1" applyAlignment="1">
      <alignment horizontal="center"/>
    </xf>
    <xf numFmtId="175" fontId="8" fillId="0" borderId="80" xfId="46" applyNumberFormat="1" applyFont="1" applyBorder="1" applyAlignment="1">
      <alignment horizontal="right" vertical="center"/>
    </xf>
    <xf numFmtId="3" fontId="8" fillId="0" borderId="116" xfId="0" applyNumberFormat="1" applyFont="1" applyBorder="1" applyAlignment="1">
      <alignment horizontal="center"/>
    </xf>
    <xf numFmtId="175" fontId="8" fillId="0" borderId="90" xfId="46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center"/>
    </xf>
    <xf numFmtId="3" fontId="2" fillId="0" borderId="115" xfId="0" applyNumberFormat="1" applyFon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3" fontId="2" fillId="0" borderId="89" xfId="0" applyNumberFormat="1" applyFont="1" applyBorder="1" applyAlignment="1">
      <alignment horizontal="center"/>
    </xf>
    <xf numFmtId="3" fontId="0" fillId="0" borderId="89" xfId="0" applyNumberFormat="1" applyBorder="1" applyAlignment="1">
      <alignment horizontal="center"/>
    </xf>
    <xf numFmtId="3" fontId="0" fillId="0" borderId="117" xfId="0" applyNumberFormat="1" applyBorder="1" applyAlignment="1">
      <alignment horizontal="center"/>
    </xf>
    <xf numFmtId="3" fontId="5" fillId="46" borderId="66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5" fontId="2" fillId="36" borderId="56" xfId="46" applyNumberFormat="1" applyFont="1" applyFill="1" applyBorder="1" applyAlignment="1">
      <alignment/>
    </xf>
    <xf numFmtId="3" fontId="8" fillId="0" borderId="56" xfId="0" applyNumberFormat="1" applyFont="1" applyBorder="1" applyAlignment="1">
      <alignment horizontal="center"/>
    </xf>
    <xf numFmtId="175" fontId="8" fillId="36" borderId="56" xfId="46" applyNumberFormat="1" applyFont="1" applyFill="1" applyBorder="1" applyAlignment="1">
      <alignment/>
    </xf>
    <xf numFmtId="3" fontId="25" fillId="33" borderId="72" xfId="0" applyNumberFormat="1" applyFont="1" applyFill="1" applyBorder="1" applyAlignment="1">
      <alignment horizontal="center" vertical="center" wrapText="1"/>
    </xf>
    <xf numFmtId="3" fontId="37" fillId="37" borderId="102" xfId="0" applyNumberFormat="1" applyFont="1" applyFill="1" applyBorder="1" applyAlignment="1">
      <alignment horizontal="center"/>
    </xf>
    <xf numFmtId="3" fontId="22" fillId="37" borderId="118" xfId="0" applyNumberFormat="1" applyFont="1" applyFill="1" applyBorder="1" applyAlignment="1">
      <alignment/>
    </xf>
    <xf numFmtId="3" fontId="24" fillId="33" borderId="74" xfId="0" applyNumberFormat="1" applyFont="1" applyFill="1" applyBorder="1" applyAlignment="1">
      <alignment horizontal="center"/>
    </xf>
    <xf numFmtId="3" fontId="22" fillId="37" borderId="119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wrapText="1"/>
    </xf>
    <xf numFmtId="3" fontId="24" fillId="0" borderId="56" xfId="0" applyNumberFormat="1" applyFont="1" applyBorder="1" applyAlignment="1">
      <alignment/>
    </xf>
    <xf numFmtId="3" fontId="18" fillId="40" borderId="12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5" fontId="8" fillId="0" borderId="13" xfId="46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75" fontId="6" fillId="0" borderId="13" xfId="46" applyNumberFormat="1" applyFont="1" applyBorder="1" applyAlignment="1">
      <alignment/>
    </xf>
    <xf numFmtId="0" fontId="6" fillId="0" borderId="0" xfId="0" applyFont="1" applyAlignment="1">
      <alignment/>
    </xf>
    <xf numFmtId="0" fontId="5" fillId="47" borderId="13" xfId="0" applyFont="1" applyFill="1" applyBorder="1" applyAlignment="1">
      <alignment/>
    </xf>
    <xf numFmtId="175" fontId="5" fillId="47" borderId="13" xfId="46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wrapText="1"/>
    </xf>
    <xf numFmtId="175" fontId="0" fillId="0" borderId="10" xfId="46" applyNumberFormat="1" applyBorder="1" applyAlignment="1">
      <alignment/>
    </xf>
    <xf numFmtId="0" fontId="5" fillId="47" borderId="16" xfId="0" applyFont="1" applyFill="1" applyBorder="1" applyAlignment="1">
      <alignment horizontal="center"/>
    </xf>
    <xf numFmtId="0" fontId="5" fillId="47" borderId="16" xfId="0" applyFont="1" applyFill="1" applyBorder="1" applyAlignment="1">
      <alignment/>
    </xf>
    <xf numFmtId="175" fontId="5" fillId="47" borderId="16" xfId="46" applyNumberFormat="1" applyFont="1" applyFill="1" applyBorder="1" applyAlignment="1">
      <alignment/>
    </xf>
    <xf numFmtId="3" fontId="6" fillId="0" borderId="56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/>
    </xf>
    <xf numFmtId="3" fontId="18" fillId="33" borderId="21" xfId="0" applyNumberFormat="1" applyFont="1" applyFill="1" applyBorder="1" applyAlignment="1">
      <alignment horizontal="left" wrapText="1"/>
    </xf>
    <xf numFmtId="3" fontId="18" fillId="33" borderId="56" xfId="0" applyNumberFormat="1" applyFont="1" applyFill="1" applyBorder="1" applyAlignment="1">
      <alignment horizontal="center"/>
    </xf>
    <xf numFmtId="3" fontId="18" fillId="41" borderId="56" xfId="0" applyNumberFormat="1" applyFont="1" applyFill="1" applyBorder="1" applyAlignment="1">
      <alignment wrapText="1"/>
    </xf>
    <xf numFmtId="3" fontId="18" fillId="33" borderId="56" xfId="0" applyNumberFormat="1" applyFont="1" applyFill="1" applyBorder="1" applyAlignment="1">
      <alignment/>
    </xf>
    <xf numFmtId="177" fontId="0" fillId="0" borderId="56" xfId="0" applyNumberFormat="1" applyBorder="1" applyAlignment="1">
      <alignment horizontal="center"/>
    </xf>
    <xf numFmtId="177" fontId="0" fillId="0" borderId="64" xfId="0" applyNumberFormat="1" applyBorder="1" applyAlignment="1">
      <alignment horizontal="center"/>
    </xf>
    <xf numFmtId="175" fontId="2" fillId="33" borderId="90" xfId="46" applyNumberFormat="1" applyFont="1" applyFill="1" applyBorder="1" applyAlignment="1">
      <alignment horizontal="center" vertical="center"/>
    </xf>
    <xf numFmtId="175" fontId="2" fillId="0" borderId="120" xfId="46" applyNumberFormat="1" applyFont="1" applyBorder="1" applyAlignment="1">
      <alignment horizontal="right" vertical="center"/>
    </xf>
    <xf numFmtId="175" fontId="0" fillId="36" borderId="121" xfId="46" applyNumberFormat="1" applyFill="1" applyBorder="1" applyAlignment="1">
      <alignment horizontal="right" vertical="center"/>
    </xf>
    <xf numFmtId="175" fontId="2" fillId="36" borderId="121" xfId="46" applyNumberFormat="1" applyFont="1" applyFill="1" applyBorder="1" applyAlignment="1">
      <alignment horizontal="right" vertical="center"/>
    </xf>
    <xf numFmtId="175" fontId="0" fillId="0" borderId="121" xfId="46" applyNumberFormat="1" applyBorder="1" applyAlignment="1">
      <alignment horizontal="right" vertical="center"/>
    </xf>
    <xf numFmtId="175" fontId="2" fillId="0" borderId="121" xfId="46" applyNumberFormat="1" applyFont="1" applyBorder="1" applyAlignment="1">
      <alignment horizontal="right" vertical="center"/>
    </xf>
    <xf numFmtId="175" fontId="0" fillId="0" borderId="122" xfId="46" applyNumberFormat="1" applyBorder="1" applyAlignment="1">
      <alignment horizontal="right" vertical="center"/>
    </xf>
    <xf numFmtId="175" fontId="0" fillId="0" borderId="123" xfId="46" applyNumberFormat="1" applyBorder="1" applyAlignment="1">
      <alignment horizontal="right" vertical="center"/>
    </xf>
    <xf numFmtId="175" fontId="0" fillId="0" borderId="124" xfId="46" applyNumberFormat="1" applyBorder="1" applyAlignment="1">
      <alignment horizontal="right" vertical="center"/>
    </xf>
    <xf numFmtId="175" fontId="2" fillId="0" borderId="125" xfId="46" applyNumberFormat="1" applyFont="1" applyBorder="1" applyAlignment="1">
      <alignment horizontal="right" vertical="center"/>
    </xf>
    <xf numFmtId="175" fontId="8" fillId="0" borderId="126" xfId="46" applyNumberFormat="1" applyFont="1" applyBorder="1" applyAlignment="1">
      <alignment horizontal="right" vertical="center"/>
    </xf>
    <xf numFmtId="175" fontId="8" fillId="36" borderId="127" xfId="46" applyNumberFormat="1" applyFont="1" applyFill="1" applyBorder="1" applyAlignment="1">
      <alignment horizontal="right" vertical="center"/>
    </xf>
    <xf numFmtId="3" fontId="33" fillId="0" borderId="128" xfId="0" applyNumberFormat="1" applyFont="1" applyBorder="1" applyAlignment="1">
      <alignment horizontal="center"/>
    </xf>
    <xf numFmtId="3" fontId="2" fillId="0" borderId="129" xfId="0" applyNumberFormat="1" applyFont="1" applyBorder="1" applyAlignment="1">
      <alignment horizontal="center"/>
    </xf>
    <xf numFmtId="3" fontId="8" fillId="0" borderId="130" xfId="0" applyNumberFormat="1" applyFont="1" applyBorder="1" applyAlignment="1">
      <alignment horizontal="center"/>
    </xf>
    <xf numFmtId="3" fontId="8" fillId="0" borderId="131" xfId="0" applyNumberFormat="1" applyFont="1" applyBorder="1" applyAlignment="1">
      <alignment horizontal="center"/>
    </xf>
    <xf numFmtId="175" fontId="5" fillId="46" borderId="132" xfId="46" applyNumberFormat="1" applyFont="1" applyFill="1" applyBorder="1" applyAlignment="1">
      <alignment horizontal="center" vertical="center"/>
    </xf>
    <xf numFmtId="3" fontId="5" fillId="41" borderId="114" xfId="0" applyNumberFormat="1" applyFont="1" applyFill="1" applyBorder="1" applyAlignment="1">
      <alignment horizontal="center" vertical="center"/>
    </xf>
    <xf numFmtId="3" fontId="35" fillId="40" borderId="12" xfId="0" applyNumberFormat="1" applyFont="1" applyFill="1" applyBorder="1" applyAlignment="1">
      <alignment/>
    </xf>
    <xf numFmtId="175" fontId="8" fillId="40" borderId="87" xfId="46" applyNumberFormat="1" applyFont="1" applyFill="1" applyBorder="1" applyAlignment="1">
      <alignment/>
    </xf>
    <xf numFmtId="3" fontId="18" fillId="48" borderId="12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 wrapText="1"/>
    </xf>
    <xf numFmtId="3" fontId="24" fillId="0" borderId="56" xfId="0" applyNumberFormat="1" applyFont="1" applyBorder="1" applyAlignment="1">
      <alignment horizontal="center"/>
    </xf>
    <xf numFmtId="175" fontId="24" fillId="0" borderId="56" xfId="46" applyNumberFormat="1" applyFont="1" applyBorder="1" applyAlignment="1">
      <alignment/>
    </xf>
    <xf numFmtId="0" fontId="2" fillId="0" borderId="65" xfId="0" applyFont="1" applyBorder="1" applyAlignment="1">
      <alignment/>
    </xf>
    <xf numFmtId="3" fontId="2" fillId="33" borderId="133" xfId="0" applyNumberFormat="1" applyFont="1" applyFill="1" applyBorder="1" applyAlignment="1">
      <alignment horizontal="center" vertical="center" wrapText="1"/>
    </xf>
    <xf numFmtId="175" fontId="2" fillId="33" borderId="134" xfId="46" applyNumberFormat="1" applyFont="1" applyFill="1" applyBorder="1" applyAlignment="1">
      <alignment horizontal="center"/>
    </xf>
    <xf numFmtId="175" fontId="0" fillId="0" borderId="64" xfId="46" applyNumberFormat="1" applyBorder="1" applyAlignment="1">
      <alignment/>
    </xf>
    <xf numFmtId="3" fontId="2" fillId="37" borderId="114" xfId="0" applyNumberFormat="1" applyFont="1" applyFill="1" applyBorder="1" applyAlignment="1">
      <alignment horizontal="center"/>
    </xf>
    <xf numFmtId="3" fontId="2" fillId="37" borderId="66" xfId="0" applyNumberFormat="1" applyFont="1" applyFill="1" applyBorder="1" applyAlignment="1">
      <alignment horizontal="center"/>
    </xf>
    <xf numFmtId="175" fontId="2" fillId="37" borderId="94" xfId="46" applyNumberFormat="1" applyFont="1" applyFill="1" applyBorder="1" applyAlignment="1">
      <alignment/>
    </xf>
    <xf numFmtId="3" fontId="5" fillId="33" borderId="50" xfId="0" applyNumberFormat="1" applyFont="1" applyFill="1" applyBorder="1" applyAlignment="1">
      <alignment horizontal="center" vertical="center"/>
    </xf>
    <xf numFmtId="3" fontId="5" fillId="33" borderId="52" xfId="0" applyNumberFormat="1" applyFont="1" applyFill="1" applyBorder="1" applyAlignment="1">
      <alignment vertical="center"/>
    </xf>
    <xf numFmtId="175" fontId="5" fillId="33" borderId="52" xfId="46" applyNumberFormat="1" applyFont="1" applyFill="1" applyBorder="1" applyAlignment="1">
      <alignment vertical="center"/>
    </xf>
    <xf numFmtId="3" fontId="6" fillId="0" borderId="135" xfId="0" applyNumberFormat="1" applyFont="1" applyBorder="1" applyAlignment="1">
      <alignment horizontal="center"/>
    </xf>
    <xf numFmtId="3" fontId="9" fillId="0" borderId="136" xfId="0" applyNumberFormat="1" applyFont="1" applyBorder="1" applyAlignment="1">
      <alignment horizontal="center"/>
    </xf>
    <xf numFmtId="3" fontId="6" fillId="0" borderId="136" xfId="0" applyNumberFormat="1" applyFont="1" applyBorder="1" applyAlignment="1">
      <alignment horizontal="center"/>
    </xf>
    <xf numFmtId="175" fontId="6" fillId="0" borderId="136" xfId="46" applyNumberFormat="1" applyFont="1" applyBorder="1" applyAlignment="1">
      <alignment/>
    </xf>
    <xf numFmtId="3" fontId="2" fillId="0" borderId="137" xfId="0" applyNumberFormat="1" applyFon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2" fillId="0" borderId="63" xfId="0" applyNumberFormat="1" applyFont="1" applyBorder="1" applyAlignment="1">
      <alignment/>
    </xf>
    <xf numFmtId="3" fontId="2" fillId="0" borderId="138" xfId="0" applyNumberFormat="1" applyFont="1" applyBorder="1" applyAlignment="1">
      <alignment horizontal="center"/>
    </xf>
    <xf numFmtId="3" fontId="0" fillId="0" borderId="138" xfId="0" applyNumberFormat="1" applyBorder="1" applyAlignment="1">
      <alignment horizontal="center"/>
    </xf>
    <xf numFmtId="3" fontId="0" fillId="0" borderId="139" xfId="0" applyNumberFormat="1" applyBorder="1" applyAlignment="1">
      <alignment horizontal="center"/>
    </xf>
    <xf numFmtId="3" fontId="0" fillId="0" borderId="140" xfId="0" applyNumberFormat="1" applyBorder="1" applyAlignment="1">
      <alignment horizontal="center"/>
    </xf>
    <xf numFmtId="3" fontId="2" fillId="0" borderId="141" xfId="0" applyNumberFormat="1" applyFont="1" applyBorder="1" applyAlignment="1">
      <alignment horizontal="center"/>
    </xf>
    <xf numFmtId="3" fontId="2" fillId="0" borderId="131" xfId="0" applyNumberFormat="1" applyFont="1" applyBorder="1" applyAlignment="1">
      <alignment horizontal="center"/>
    </xf>
    <xf numFmtId="3" fontId="6" fillId="0" borderId="131" xfId="0" applyNumberFormat="1" applyFont="1" applyBorder="1" applyAlignment="1">
      <alignment horizontal="center"/>
    </xf>
    <xf numFmtId="175" fontId="2" fillId="0" borderId="131" xfId="46" applyNumberFormat="1" applyFont="1" applyBorder="1" applyAlignment="1">
      <alignment/>
    </xf>
    <xf numFmtId="3" fontId="6" fillId="36" borderId="136" xfId="0" applyNumberFormat="1" applyFont="1" applyFill="1" applyBorder="1" applyAlignment="1">
      <alignment horizontal="center" vertical="center" wrapText="1"/>
    </xf>
    <xf numFmtId="175" fontId="6" fillId="36" borderId="136" xfId="46" applyNumberFormat="1" applyFont="1" applyFill="1" applyBorder="1" applyAlignment="1">
      <alignment vertical="center"/>
    </xf>
    <xf numFmtId="3" fontId="6" fillId="0" borderId="56" xfId="0" applyNumberFormat="1" applyFont="1" applyBorder="1" applyAlignment="1">
      <alignment horizontal="center" vertical="center"/>
    </xf>
    <xf numFmtId="175" fontId="6" fillId="0" borderId="56" xfId="46" applyNumberFormat="1" applyFont="1" applyBorder="1" applyAlignment="1">
      <alignment vertical="center"/>
    </xf>
    <xf numFmtId="3" fontId="2" fillId="0" borderId="142" xfId="0" applyNumberFormat="1" applyFont="1" applyBorder="1" applyAlignment="1">
      <alignment horizontal="center"/>
    </xf>
    <xf numFmtId="3" fontId="2" fillId="0" borderId="143" xfId="0" applyNumberFormat="1" applyFont="1" applyBorder="1" applyAlignment="1">
      <alignment horizontal="center"/>
    </xf>
    <xf numFmtId="3" fontId="2" fillId="0" borderId="143" xfId="0" applyNumberFormat="1" applyFont="1" applyBorder="1" applyAlignment="1">
      <alignment wrapText="1"/>
    </xf>
    <xf numFmtId="3" fontId="5" fillId="37" borderId="144" xfId="0" applyNumberFormat="1" applyFont="1" applyFill="1" applyBorder="1" applyAlignment="1">
      <alignment horizontal="center" vertical="center"/>
    </xf>
    <xf numFmtId="175" fontId="5" fillId="37" borderId="144" xfId="46" applyNumberFormat="1" applyFont="1" applyFill="1" applyBorder="1" applyAlignment="1">
      <alignment horizontal="center" vertical="center"/>
    </xf>
    <xf numFmtId="175" fontId="0" fillId="40" borderId="100" xfId="46" applyNumberFormat="1" applyFill="1" applyBorder="1" applyAlignment="1">
      <alignment/>
    </xf>
    <xf numFmtId="175" fontId="0" fillId="40" borderId="36" xfId="46" applyNumberFormat="1" applyFill="1" applyBorder="1" applyAlignment="1">
      <alignment horizontal="center" vertical="center"/>
    </xf>
    <xf numFmtId="175" fontId="0" fillId="36" borderId="145" xfId="46" applyNumberFormat="1" applyFont="1" applyFill="1" applyBorder="1" applyAlignment="1">
      <alignment/>
    </xf>
    <xf numFmtId="3" fontId="0" fillId="0" borderId="146" xfId="0" applyNumberFormat="1" applyBorder="1" applyAlignment="1">
      <alignment horizontal="center"/>
    </xf>
    <xf numFmtId="3" fontId="2" fillId="0" borderId="144" xfId="0" applyNumberFormat="1" applyFont="1" applyBorder="1" applyAlignment="1">
      <alignment horizontal="center"/>
    </xf>
    <xf numFmtId="0" fontId="2" fillId="0" borderId="144" xfId="0" applyFont="1" applyBorder="1" applyAlignment="1">
      <alignment/>
    </xf>
    <xf numFmtId="175" fontId="2" fillId="36" borderId="144" xfId="46" applyNumberFormat="1" applyFont="1" applyFill="1" applyBorder="1" applyAlignment="1">
      <alignment/>
    </xf>
    <xf numFmtId="175" fontId="0" fillId="36" borderId="56" xfId="46" applyNumberFormat="1" applyFont="1" applyFill="1" applyBorder="1" applyAlignment="1">
      <alignment/>
    </xf>
    <xf numFmtId="175" fontId="2" fillId="0" borderId="147" xfId="46" applyNumberFormat="1" applyFont="1" applyBorder="1" applyAlignment="1">
      <alignment horizontal="right" vertical="center"/>
    </xf>
    <xf numFmtId="3" fontId="2" fillId="43" borderId="6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2" fillId="40" borderId="65" xfId="0" applyNumberFormat="1" applyFont="1" applyFill="1" applyBorder="1" applyAlignment="1">
      <alignment/>
    </xf>
    <xf numFmtId="3" fontId="31" fillId="0" borderId="56" xfId="0" applyNumberFormat="1" applyFont="1" applyBorder="1" applyAlignment="1">
      <alignment horizontal="left" wrapText="1"/>
    </xf>
    <xf numFmtId="3" fontId="2" fillId="33" borderId="52" xfId="0" applyNumberFormat="1" applyFont="1" applyFill="1" applyBorder="1" applyAlignment="1">
      <alignment horizontal="center" vertical="center"/>
    </xf>
    <xf numFmtId="175" fontId="2" fillId="33" borderId="52" xfId="46" applyNumberFormat="1" applyFont="1" applyFill="1" applyBorder="1" applyAlignment="1">
      <alignment horizontal="center" vertical="center"/>
    </xf>
    <xf numFmtId="175" fontId="0" fillId="0" borderId="145" xfId="46" applyNumberFormat="1" applyBorder="1" applyAlignment="1">
      <alignment horizontal="center"/>
    </xf>
    <xf numFmtId="175" fontId="0" fillId="0" borderId="56" xfId="46" applyNumberFormat="1" applyBorder="1" applyAlignment="1">
      <alignment horizontal="center"/>
    </xf>
    <xf numFmtId="0" fontId="2" fillId="0" borderId="56" xfId="0" applyFont="1" applyBorder="1" applyAlignment="1">
      <alignment/>
    </xf>
    <xf numFmtId="175" fontId="0" fillId="0" borderId="56" xfId="46" applyNumberFormat="1" applyBorder="1" applyAlignment="1">
      <alignment horizontal="center" vertical="center"/>
    </xf>
    <xf numFmtId="175" fontId="2" fillId="0" borderId="56" xfId="46" applyNumberFormat="1" applyFont="1" applyBorder="1" applyAlignment="1">
      <alignment horizontal="center" vertical="center"/>
    </xf>
    <xf numFmtId="175" fontId="0" fillId="0" borderId="21" xfId="46" applyNumberFormat="1" applyFont="1" applyBorder="1" applyAlignment="1">
      <alignment horizontal="center"/>
    </xf>
    <xf numFmtId="175" fontId="2" fillId="0" borderId="52" xfId="46" applyNumberFormat="1" applyFont="1" applyBorder="1" applyAlignment="1">
      <alignment/>
    </xf>
    <xf numFmtId="175" fontId="2" fillId="0" borderId="75" xfId="46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2" fillId="41" borderId="56" xfId="0" applyNumberFormat="1" applyFont="1" applyFill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40" borderId="17" xfId="0" applyNumberFormat="1" applyFont="1" applyFill="1" applyBorder="1" applyAlignment="1">
      <alignment horizontal="center"/>
    </xf>
    <xf numFmtId="3" fontId="31" fillId="0" borderId="17" xfId="0" applyNumberFormat="1" applyFont="1" applyBorder="1" applyAlignment="1">
      <alignment horizontal="center"/>
    </xf>
    <xf numFmtId="3" fontId="31" fillId="0" borderId="148" xfId="0" applyNumberFormat="1" applyFont="1" applyBorder="1" applyAlignment="1">
      <alignment horizontal="center"/>
    </xf>
    <xf numFmtId="3" fontId="2" fillId="33" borderId="149" xfId="0" applyNumberFormat="1" applyFont="1" applyFill="1" applyBorder="1" applyAlignment="1">
      <alignment horizontal="center"/>
    </xf>
    <xf numFmtId="3" fontId="2" fillId="41" borderId="149" xfId="0" applyNumberFormat="1" applyFont="1" applyFill="1" applyBorder="1" applyAlignment="1">
      <alignment horizontal="center"/>
    </xf>
    <xf numFmtId="3" fontId="0" fillId="0" borderId="148" xfId="0" applyNumberFormat="1" applyBorder="1" applyAlignment="1">
      <alignment horizontal="center"/>
    </xf>
    <xf numFmtId="3" fontId="2" fillId="37" borderId="149" xfId="0" applyNumberFormat="1" applyFont="1" applyFill="1" applyBorder="1" applyAlignment="1">
      <alignment horizontal="center" vertical="center"/>
    </xf>
    <xf numFmtId="3" fontId="0" fillId="0" borderId="68" xfId="0" applyNumberFormat="1" applyBorder="1" applyAlignment="1">
      <alignment horizontal="center"/>
    </xf>
    <xf numFmtId="3" fontId="2" fillId="37" borderId="76" xfId="0" applyNumberFormat="1" applyFont="1" applyFill="1" applyBorder="1" applyAlignment="1">
      <alignment horizontal="center"/>
    </xf>
    <xf numFmtId="3" fontId="0" fillId="0" borderId="68" xfId="0" applyNumberFormat="1" applyBorder="1" applyAlignment="1">
      <alignment/>
    </xf>
    <xf numFmtId="3" fontId="0" fillId="0" borderId="150" xfId="0" applyNumberFormat="1" applyBorder="1" applyAlignment="1">
      <alignment/>
    </xf>
    <xf numFmtId="3" fontId="2" fillId="41" borderId="151" xfId="0" applyNumberFormat="1" applyFont="1" applyFill="1" applyBorder="1" applyAlignment="1">
      <alignment/>
    </xf>
    <xf numFmtId="3" fontId="0" fillId="0" borderId="70" xfId="0" applyNumberFormat="1" applyBorder="1" applyAlignment="1">
      <alignment/>
    </xf>
    <xf numFmtId="3" fontId="31" fillId="0" borderId="68" xfId="0" applyNumberFormat="1" applyFont="1" applyBorder="1" applyAlignment="1">
      <alignment/>
    </xf>
    <xf numFmtId="3" fontId="31" fillId="0" borderId="150" xfId="0" applyNumberFormat="1" applyFont="1" applyBorder="1" applyAlignment="1">
      <alignment/>
    </xf>
    <xf numFmtId="3" fontId="8" fillId="0" borderId="70" xfId="0" applyNumberFormat="1" applyFont="1" applyBorder="1" applyAlignment="1">
      <alignment/>
    </xf>
    <xf numFmtId="3" fontId="8" fillId="0" borderId="68" xfId="0" applyNumberFormat="1" applyFont="1" applyBorder="1" applyAlignment="1">
      <alignment/>
    </xf>
    <xf numFmtId="3" fontId="2" fillId="41" borderId="68" xfId="0" applyNumberFormat="1" applyFont="1" applyFill="1" applyBorder="1" applyAlignment="1">
      <alignment/>
    </xf>
    <xf numFmtId="3" fontId="5" fillId="0" borderId="68" xfId="0" applyNumberFormat="1" applyFont="1" applyBorder="1" applyAlignment="1">
      <alignment/>
    </xf>
    <xf numFmtId="3" fontId="2" fillId="37" borderId="56" xfId="0" applyNumberFormat="1" applyFont="1" applyFill="1" applyBorder="1" applyAlignment="1">
      <alignment horizontal="center" vertical="center"/>
    </xf>
    <xf numFmtId="3" fontId="2" fillId="37" borderId="56" xfId="0" applyNumberFormat="1" applyFont="1" applyFill="1" applyBorder="1" applyAlignment="1">
      <alignment horizontal="center"/>
    </xf>
    <xf numFmtId="3" fontId="0" fillId="0" borderId="79" xfId="0" applyNumberFormat="1" applyBorder="1" applyAlignment="1">
      <alignment horizontal="center"/>
    </xf>
    <xf numFmtId="3" fontId="0" fillId="0" borderId="152" xfId="0" applyNumberFormat="1" applyBorder="1" applyAlignment="1">
      <alignment horizontal="center"/>
    </xf>
    <xf numFmtId="3" fontId="30" fillId="0" borderId="79" xfId="0" applyNumberFormat="1" applyFont="1" applyBorder="1" applyAlignment="1">
      <alignment horizontal="center"/>
    </xf>
    <xf numFmtId="3" fontId="3" fillId="0" borderId="79" xfId="0" applyNumberFormat="1" applyFont="1" applyBorder="1" applyAlignment="1">
      <alignment horizontal="center"/>
    </xf>
    <xf numFmtId="3" fontId="31" fillId="0" borderId="79" xfId="0" applyNumberFormat="1" applyFont="1" applyBorder="1" applyAlignment="1">
      <alignment horizontal="center"/>
    </xf>
    <xf numFmtId="176" fontId="11" fillId="0" borderId="0" xfId="61" applyFont="1" applyAlignment="1">
      <alignment horizontal="center" vertical="center" wrapText="1"/>
    </xf>
    <xf numFmtId="3" fontId="11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0" fillId="40" borderId="0" xfId="0" applyNumberFormat="1" applyFill="1" applyAlignment="1">
      <alignment horizontal="right"/>
    </xf>
    <xf numFmtId="3" fontId="3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1" fillId="40" borderId="0" xfId="0" applyNumberFormat="1" applyFont="1" applyFill="1" applyAlignment="1">
      <alignment horizontal="center"/>
    </xf>
    <xf numFmtId="3" fontId="0" fillId="40" borderId="0" xfId="0" applyNumberFormat="1" applyFill="1" applyAlignment="1">
      <alignment horizontal="center"/>
    </xf>
    <xf numFmtId="3" fontId="0" fillId="40" borderId="0" xfId="0" applyNumberFormat="1" applyFill="1" applyAlignment="1">
      <alignment vertical="center" wrapText="1"/>
    </xf>
    <xf numFmtId="3" fontId="0" fillId="48" borderId="0" xfId="0" applyNumberFormat="1" applyFill="1" applyAlignment="1">
      <alignment/>
    </xf>
    <xf numFmtId="3" fontId="0" fillId="40" borderId="0" xfId="0" applyNumberFormat="1" applyFill="1" applyAlignment="1">
      <alignment/>
    </xf>
    <xf numFmtId="3" fontId="0" fillId="48" borderId="0" xfId="0" applyNumberFormat="1" applyFill="1" applyAlignment="1">
      <alignment/>
    </xf>
    <xf numFmtId="0" fontId="5" fillId="40" borderId="0" xfId="0" applyFont="1" applyFill="1" applyAlignment="1">
      <alignment vertical="center" wrapText="1"/>
    </xf>
    <xf numFmtId="0" fontId="0" fillId="40" borderId="0" xfId="0" applyFill="1" applyAlignment="1">
      <alignment/>
    </xf>
    <xf numFmtId="0" fontId="2" fillId="40" borderId="12" xfId="0" applyFont="1" applyFill="1" applyBorder="1" applyAlignment="1">
      <alignment/>
    </xf>
    <xf numFmtId="175" fontId="2" fillId="40" borderId="12" xfId="46" applyNumberFormat="1" applyFont="1" applyFill="1" applyBorder="1" applyAlignment="1">
      <alignment/>
    </xf>
    <xf numFmtId="0" fontId="0" fillId="40" borderId="12" xfId="0" applyFill="1" applyBorder="1" applyAlignment="1">
      <alignment/>
    </xf>
    <xf numFmtId="175" fontId="0" fillId="40" borderId="12" xfId="46" applyNumberFormat="1" applyFill="1" applyBorder="1" applyAlignment="1">
      <alignment/>
    </xf>
    <xf numFmtId="0" fontId="0" fillId="40" borderId="12" xfId="0" applyFill="1" applyBorder="1" applyAlignment="1">
      <alignment/>
    </xf>
    <xf numFmtId="0" fontId="2" fillId="49" borderId="13" xfId="0" applyFont="1" applyFill="1" applyBorder="1" applyAlignment="1">
      <alignment/>
    </xf>
    <xf numFmtId="0" fontId="0" fillId="40" borderId="10" xfId="0" applyFill="1" applyBorder="1" applyAlignment="1">
      <alignment/>
    </xf>
    <xf numFmtId="175" fontId="0" fillId="40" borderId="10" xfId="46" applyNumberFormat="1" applyFill="1" applyBorder="1" applyAlignment="1">
      <alignment/>
    </xf>
    <xf numFmtId="0" fontId="2" fillId="42" borderId="13" xfId="0" applyFont="1" applyFill="1" applyBorder="1" applyAlignment="1">
      <alignment/>
    </xf>
    <xf numFmtId="175" fontId="2" fillId="42" borderId="13" xfId="46" applyNumberFormat="1" applyFont="1" applyFill="1" applyBorder="1" applyAlignment="1">
      <alignment/>
    </xf>
    <xf numFmtId="175" fontId="2" fillId="33" borderId="153" xfId="46" applyNumberFormat="1" applyFont="1" applyFill="1" applyBorder="1" applyAlignment="1">
      <alignment horizontal="center" vertical="center" wrapText="1"/>
    </xf>
    <xf numFmtId="175" fontId="2" fillId="36" borderId="82" xfId="46" applyNumberFormat="1" applyFont="1" applyFill="1" applyBorder="1" applyAlignment="1">
      <alignment/>
    </xf>
    <xf numFmtId="175" fontId="2" fillId="33" borderId="11" xfId="46" applyNumberFormat="1" applyFont="1" applyFill="1" applyBorder="1" applyAlignment="1">
      <alignment horizontal="center"/>
    </xf>
    <xf numFmtId="175" fontId="2" fillId="36" borderId="154" xfId="46" applyNumberFormat="1" applyFont="1" applyFill="1" applyBorder="1" applyAlignment="1">
      <alignment/>
    </xf>
    <xf numFmtId="3" fontId="8" fillId="0" borderId="20" xfId="0" applyNumberFormat="1" applyFont="1" applyBorder="1" applyAlignment="1">
      <alignment horizontal="left"/>
    </xf>
    <xf numFmtId="3" fontId="0" fillId="0" borderId="65" xfId="0" applyNumberFormat="1" applyBorder="1" applyAlignment="1">
      <alignment horizontal="center"/>
    </xf>
    <xf numFmtId="3" fontId="81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33" borderId="56" xfId="0" applyFont="1" applyFill="1" applyBorder="1" applyAlignment="1">
      <alignment horizontal="left" vertical="center" wrapText="1"/>
    </xf>
    <xf numFmtId="0" fontId="85" fillId="33" borderId="56" xfId="0" applyFont="1" applyFill="1" applyBorder="1" applyAlignment="1">
      <alignment/>
    </xf>
    <xf numFmtId="0" fontId="82" fillId="33" borderId="56" xfId="0" applyFont="1" applyFill="1" applyBorder="1" applyAlignment="1">
      <alignment/>
    </xf>
    <xf numFmtId="0" fontId="86" fillId="45" borderId="56" xfId="0" applyFont="1" applyFill="1" applyBorder="1" applyAlignment="1">
      <alignment horizontal="left" vertical="center" wrapText="1"/>
    </xf>
    <xf numFmtId="3" fontId="82" fillId="0" borderId="56" xfId="0" applyNumberFormat="1" applyFont="1" applyBorder="1" applyAlignment="1">
      <alignment/>
    </xf>
    <xf numFmtId="175" fontId="82" fillId="0" borderId="56" xfId="46" applyNumberFormat="1" applyFont="1" applyBorder="1" applyAlignment="1">
      <alignment/>
    </xf>
    <xf numFmtId="3" fontId="82" fillId="48" borderId="56" xfId="0" applyNumberFormat="1" applyFont="1" applyFill="1" applyBorder="1" applyAlignment="1">
      <alignment/>
    </xf>
    <xf numFmtId="3" fontId="82" fillId="0" borderId="56" xfId="0" applyNumberFormat="1" applyFont="1" applyBorder="1" applyAlignment="1">
      <alignment/>
    </xf>
    <xf numFmtId="3" fontId="86" fillId="0" borderId="56" xfId="0" applyNumberFormat="1" applyFont="1" applyBorder="1" applyAlignment="1">
      <alignment/>
    </xf>
    <xf numFmtId="0" fontId="82" fillId="0" borderId="56" xfId="0" applyFont="1" applyBorder="1" applyAlignment="1">
      <alignment/>
    </xf>
    <xf numFmtId="175" fontId="82" fillId="0" borderId="56" xfId="46" applyNumberFormat="1" applyFont="1" applyBorder="1" applyAlignment="1">
      <alignment/>
    </xf>
    <xf numFmtId="0" fontId="84" fillId="45" borderId="56" xfId="0" applyFont="1" applyFill="1" applyBorder="1" applyAlignment="1">
      <alignment horizontal="left" vertical="center" wrapText="1"/>
    </xf>
    <xf numFmtId="3" fontId="83" fillId="45" borderId="56" xfId="0" applyNumberFormat="1" applyFont="1" applyFill="1" applyBorder="1" applyAlignment="1">
      <alignment/>
    </xf>
    <xf numFmtId="0" fontId="83" fillId="33" borderId="56" xfId="0" applyFont="1" applyFill="1" applyBorder="1" applyAlignment="1">
      <alignment/>
    </xf>
    <xf numFmtId="3" fontId="82" fillId="36" borderId="56" xfId="0" applyNumberFormat="1" applyFont="1" applyFill="1" applyBorder="1" applyAlignment="1">
      <alignment/>
    </xf>
    <xf numFmtId="3" fontId="83" fillId="0" borderId="56" xfId="0" applyNumberFormat="1" applyFont="1" applyBorder="1" applyAlignment="1">
      <alignment/>
    </xf>
    <xf numFmtId="3" fontId="83" fillId="33" borderId="56" xfId="0" applyNumberFormat="1" applyFont="1" applyFill="1" applyBorder="1" applyAlignment="1">
      <alignment/>
    </xf>
    <xf numFmtId="3" fontId="86" fillId="0" borderId="0" xfId="0" applyNumberFormat="1" applyFont="1" applyAlignment="1">
      <alignment/>
    </xf>
    <xf numFmtId="3" fontId="8" fillId="0" borderId="155" xfId="0" applyNumberFormat="1" applyFont="1" applyBorder="1" applyAlignment="1">
      <alignment/>
    </xf>
    <xf numFmtId="3" fontId="8" fillId="0" borderId="156" xfId="0" applyNumberFormat="1" applyFont="1" applyBorder="1" applyAlignment="1">
      <alignment/>
    </xf>
    <xf numFmtId="175" fontId="8" fillId="0" borderId="157" xfId="46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3" fontId="24" fillId="33" borderId="14" xfId="0" applyNumberFormat="1" applyFont="1" applyFill="1" applyBorder="1" applyAlignment="1">
      <alignment horizontal="center" vertical="center" wrapText="1"/>
    </xf>
    <xf numFmtId="3" fontId="24" fillId="33" borderId="56" xfId="0" applyNumberFormat="1" applyFont="1" applyFill="1" applyBorder="1" applyAlignment="1">
      <alignment vertical="center" wrapText="1"/>
    </xf>
    <xf numFmtId="3" fontId="25" fillId="33" borderId="56" xfId="0" applyNumberFormat="1" applyFont="1" applyFill="1" applyBorder="1" applyAlignment="1">
      <alignment horizontal="center" vertical="center" wrapText="1"/>
    </xf>
    <xf numFmtId="3" fontId="0" fillId="40" borderId="0" xfId="0" applyNumberFormat="1" applyFill="1" applyAlignment="1">
      <alignment horizontal="right"/>
    </xf>
    <xf numFmtId="175" fontId="0" fillId="40" borderId="29" xfId="46" applyNumberFormat="1" applyFill="1" applyBorder="1" applyAlignment="1">
      <alignment/>
    </xf>
    <xf numFmtId="0" fontId="2" fillId="0" borderId="90" xfId="0" applyFont="1" applyBorder="1" applyAlignment="1">
      <alignment horizontal="center" vertical="center" wrapText="1"/>
    </xf>
    <xf numFmtId="175" fontId="2" fillId="0" borderId="79" xfId="46" applyNumberFormat="1" applyFont="1" applyBorder="1" applyAlignment="1">
      <alignment/>
    </xf>
    <xf numFmtId="175" fontId="0" fillId="36" borderId="79" xfId="46" applyNumberFormat="1" applyFont="1" applyFill="1" applyBorder="1" applyAlignment="1">
      <alignment/>
    </xf>
    <xf numFmtId="175" fontId="0" fillId="0" borderId="80" xfId="46" applyNumberFormat="1" applyFont="1" applyBorder="1" applyAlignment="1">
      <alignment/>
    </xf>
    <xf numFmtId="175" fontId="0" fillId="0" borderId="90" xfId="46" applyNumberFormat="1" applyFont="1" applyBorder="1" applyAlignment="1">
      <alignment/>
    </xf>
    <xf numFmtId="175" fontId="2" fillId="0" borderId="50" xfId="46" applyNumberFormat="1" applyFont="1" applyBorder="1" applyAlignment="1">
      <alignment/>
    </xf>
    <xf numFmtId="175" fontId="0" fillId="36" borderId="89" xfId="46" applyNumberFormat="1" applyFont="1" applyFill="1" applyBorder="1" applyAlignment="1">
      <alignment/>
    </xf>
    <xf numFmtId="175" fontId="0" fillId="0" borderId="91" xfId="46" applyNumberFormat="1" applyFont="1" applyBorder="1" applyAlignment="1">
      <alignment/>
    </xf>
    <xf numFmtId="175" fontId="2" fillId="0" borderId="92" xfId="46" applyNumberFormat="1" applyFont="1" applyBorder="1" applyAlignment="1">
      <alignment/>
    </xf>
    <xf numFmtId="175" fontId="2" fillId="0" borderId="158" xfId="46" applyNumberFormat="1" applyFont="1" applyBorder="1" applyAlignment="1">
      <alignment/>
    </xf>
    <xf numFmtId="175" fontId="8" fillId="0" borderId="89" xfId="46" applyNumberFormat="1" applyFont="1" applyBorder="1" applyAlignment="1">
      <alignment/>
    </xf>
    <xf numFmtId="175" fontId="8" fillId="0" borderId="91" xfId="46" applyNumberFormat="1" applyFont="1" applyBorder="1" applyAlignment="1">
      <alignment/>
    </xf>
    <xf numFmtId="175" fontId="8" fillId="0" borderId="90" xfId="46" applyNumberFormat="1" applyFont="1" applyBorder="1" applyAlignment="1">
      <alignment/>
    </xf>
    <xf numFmtId="175" fontId="8" fillId="0" borderId="80" xfId="46" applyNumberFormat="1" applyFont="1" applyBorder="1" applyAlignment="1">
      <alignment/>
    </xf>
    <xf numFmtId="175" fontId="0" fillId="0" borderId="89" xfId="46" applyNumberFormat="1" applyFont="1" applyBorder="1" applyAlignment="1">
      <alignment/>
    </xf>
    <xf numFmtId="175" fontId="2" fillId="0" borderId="91" xfId="46" applyNumberFormat="1" applyFont="1" applyBorder="1" applyAlignment="1">
      <alignment/>
    </xf>
    <xf numFmtId="0" fontId="2" fillId="0" borderId="159" xfId="0" applyFont="1" applyBorder="1" applyAlignment="1">
      <alignment/>
    </xf>
    <xf numFmtId="0" fontId="0" fillId="0" borderId="159" xfId="0" applyBorder="1" applyAlignment="1">
      <alignment/>
    </xf>
    <xf numFmtId="0" fontId="0" fillId="0" borderId="140" xfId="0" applyBorder="1" applyAlignment="1">
      <alignment/>
    </xf>
    <xf numFmtId="0" fontId="0" fillId="0" borderId="160" xfId="0" applyBorder="1" applyAlignment="1">
      <alignment/>
    </xf>
    <xf numFmtId="0" fontId="2" fillId="0" borderId="161" xfId="0" applyFont="1" applyBorder="1" applyAlignment="1">
      <alignment/>
    </xf>
    <xf numFmtId="0" fontId="8" fillId="0" borderId="160" xfId="0" applyFont="1" applyBorder="1" applyAlignment="1">
      <alignment/>
    </xf>
    <xf numFmtId="0" fontId="8" fillId="0" borderId="140" xfId="0" applyFont="1" applyBorder="1" applyAlignment="1">
      <alignment/>
    </xf>
    <xf numFmtId="0" fontId="0" fillId="0" borderId="138" xfId="0" applyBorder="1" applyAlignment="1">
      <alignment/>
    </xf>
    <xf numFmtId="0" fontId="0" fillId="0" borderId="138" xfId="0" applyBorder="1" applyAlignment="1">
      <alignment horizontal="left"/>
    </xf>
    <xf numFmtId="0" fontId="0" fillId="0" borderId="139" xfId="0" applyBorder="1" applyAlignment="1">
      <alignment horizontal="left"/>
    </xf>
    <xf numFmtId="175" fontId="8" fillId="40" borderId="12" xfId="46" applyNumberFormat="1" applyFont="1" applyFill="1" applyBorder="1" applyAlignment="1">
      <alignment/>
    </xf>
    <xf numFmtId="175" fontId="8" fillId="48" borderId="12" xfId="46" applyNumberFormat="1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56" xfId="0" applyFont="1" applyBorder="1" applyAlignment="1">
      <alignment horizontal="center" vertical="center" wrapText="1"/>
    </xf>
    <xf numFmtId="0" fontId="0" fillId="40" borderId="56" xfId="0" applyFont="1" applyFill="1" applyBorder="1" applyAlignment="1">
      <alignment horizontal="left" vertical="top" wrapText="1"/>
    </xf>
    <xf numFmtId="0" fontId="2" fillId="40" borderId="56" xfId="0" applyFont="1" applyFill="1" applyBorder="1" applyAlignment="1">
      <alignment horizontal="left" vertical="top" wrapText="1"/>
    </xf>
    <xf numFmtId="0" fontId="8" fillId="0" borderId="56" xfId="0" applyFont="1" applyBorder="1" applyAlignment="1">
      <alignment/>
    </xf>
    <xf numFmtId="0" fontId="2" fillId="0" borderId="64" xfId="0" applyFont="1" applyBorder="1" applyAlignment="1">
      <alignment horizontal="center" vertical="center" wrapText="1"/>
    </xf>
    <xf numFmtId="175" fontId="0" fillId="0" borderId="65" xfId="46" applyNumberFormat="1" applyBorder="1" applyAlignment="1">
      <alignment/>
    </xf>
    <xf numFmtId="0" fontId="2" fillId="0" borderId="66" xfId="0" applyFont="1" applyBorder="1" applyAlignment="1">
      <alignment wrapText="1"/>
    </xf>
    <xf numFmtId="0" fontId="0" fillId="0" borderId="65" xfId="0" applyBorder="1" applyAlignment="1">
      <alignment/>
    </xf>
    <xf numFmtId="0" fontId="2" fillId="40" borderId="66" xfId="0" applyFont="1" applyFill="1" applyBorder="1" applyAlignment="1">
      <alignment horizontal="left" vertical="top" wrapText="1"/>
    </xf>
    <xf numFmtId="0" fontId="0" fillId="0" borderId="64" xfId="0" applyBorder="1" applyAlignment="1">
      <alignment/>
    </xf>
    <xf numFmtId="0" fontId="0" fillId="40" borderId="64" xfId="0" applyFont="1" applyFill="1" applyBorder="1" applyAlignment="1">
      <alignment horizontal="left" vertical="top" wrapText="1"/>
    </xf>
    <xf numFmtId="0" fontId="5" fillId="40" borderId="56" xfId="0" applyFont="1" applyFill="1" applyBorder="1" applyAlignment="1">
      <alignment horizontal="left" vertical="top" wrapText="1"/>
    </xf>
    <xf numFmtId="0" fontId="0" fillId="0" borderId="114" xfId="0" applyBorder="1" applyAlignment="1">
      <alignment/>
    </xf>
    <xf numFmtId="0" fontId="5" fillId="40" borderId="66" xfId="0" applyFont="1" applyFill="1" applyBorder="1" applyAlignment="1">
      <alignment horizontal="left" vertical="top" wrapText="1"/>
    </xf>
    <xf numFmtId="0" fontId="8" fillId="0" borderId="64" xfId="0" applyFont="1" applyBorder="1" applyAlignment="1">
      <alignment/>
    </xf>
    <xf numFmtId="175" fontId="8" fillId="0" borderId="56" xfId="46" applyNumberFormat="1" applyFont="1" applyBorder="1" applyAlignment="1">
      <alignment horizontal="center" vertical="center"/>
    </xf>
    <xf numFmtId="175" fontId="8" fillId="0" borderId="64" xfId="46" applyNumberFormat="1" applyFont="1" applyBorder="1" applyAlignment="1">
      <alignment horizontal="center" vertical="center"/>
    </xf>
    <xf numFmtId="175" fontId="2" fillId="0" borderId="66" xfId="46" applyNumberFormat="1" applyFont="1" applyBorder="1" applyAlignment="1">
      <alignment horizontal="center" vertical="center"/>
    </xf>
    <xf numFmtId="175" fontId="2" fillId="0" borderId="94" xfId="46" applyNumberFormat="1" applyFont="1" applyBorder="1" applyAlignment="1">
      <alignment horizontal="center" vertical="center"/>
    </xf>
    <xf numFmtId="175" fontId="0" fillId="0" borderId="162" xfId="46" applyNumberFormat="1" applyBorder="1" applyAlignment="1">
      <alignment horizontal="center" vertical="center"/>
    </xf>
    <xf numFmtId="175" fontId="8" fillId="40" borderId="65" xfId="46" applyNumberFormat="1" applyFont="1" applyFill="1" applyBorder="1" applyAlignment="1">
      <alignment horizontal="center" vertical="center" wrapText="1"/>
    </xf>
    <xf numFmtId="175" fontId="8" fillId="0" borderId="65" xfId="46" applyNumberFormat="1" applyFont="1" applyBorder="1" applyAlignment="1">
      <alignment horizontal="center" vertical="center"/>
    </xf>
    <xf numFmtId="175" fontId="8" fillId="40" borderId="56" xfId="46" applyNumberFormat="1" applyFont="1" applyFill="1" applyBorder="1" applyAlignment="1">
      <alignment horizontal="center" vertical="center" wrapText="1"/>
    </xf>
    <xf numFmtId="175" fontId="8" fillId="40" borderId="64" xfId="46" applyNumberFormat="1" applyFont="1" applyFill="1" applyBorder="1" applyAlignment="1">
      <alignment horizontal="center" vertical="center" wrapText="1"/>
    </xf>
    <xf numFmtId="175" fontId="5" fillId="0" borderId="66" xfId="46" applyNumberFormat="1" applyFont="1" applyBorder="1" applyAlignment="1">
      <alignment horizontal="center" vertical="center"/>
    </xf>
    <xf numFmtId="175" fontId="5" fillId="0" borderId="94" xfId="46" applyNumberFormat="1" applyFont="1" applyBorder="1" applyAlignment="1">
      <alignment horizontal="center" vertical="center"/>
    </xf>
    <xf numFmtId="175" fontId="0" fillId="0" borderId="65" xfId="46" applyNumberFormat="1" applyBorder="1" applyAlignment="1">
      <alignment horizontal="center" vertical="center"/>
    </xf>
    <xf numFmtId="175" fontId="0" fillId="0" borderId="64" xfId="46" applyNumberFormat="1" applyBorder="1" applyAlignment="1">
      <alignment horizontal="center" vertical="center"/>
    </xf>
    <xf numFmtId="175" fontId="0" fillId="0" borderId="66" xfId="46" applyNumberFormat="1" applyBorder="1" applyAlignment="1">
      <alignment horizontal="center" vertical="center"/>
    </xf>
    <xf numFmtId="175" fontId="5" fillId="50" borderId="66" xfId="46" applyNumberFormat="1" applyFont="1" applyFill="1" applyBorder="1" applyAlignment="1">
      <alignment horizontal="center" vertical="center"/>
    </xf>
    <xf numFmtId="175" fontId="5" fillId="50" borderId="94" xfId="46" applyNumberFormat="1" applyFont="1" applyFill="1" applyBorder="1" applyAlignment="1">
      <alignment horizontal="center" vertical="center"/>
    </xf>
    <xf numFmtId="0" fontId="2" fillId="0" borderId="114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2" fillId="0" borderId="163" xfId="0" applyFont="1" applyBorder="1" applyAlignment="1">
      <alignment horizontal="right"/>
    </xf>
    <xf numFmtId="175" fontId="2" fillId="0" borderId="164" xfId="46" applyNumberFormat="1" applyFont="1" applyBorder="1" applyAlignment="1">
      <alignment horizontal="center" vertical="center"/>
    </xf>
    <xf numFmtId="175" fontId="2" fillId="0" borderId="96" xfId="46" applyNumberFormat="1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175" fontId="2" fillId="0" borderId="56" xfId="0" applyNumberFormat="1" applyFont="1" applyBorder="1" applyAlignment="1">
      <alignment/>
    </xf>
    <xf numFmtId="0" fontId="5" fillId="50" borderId="114" xfId="0" applyFont="1" applyFill="1" applyBorder="1" applyAlignment="1">
      <alignment/>
    </xf>
    <xf numFmtId="0" fontId="5" fillId="50" borderId="66" xfId="0" applyFont="1" applyFill="1" applyBorder="1" applyAlignment="1">
      <alignment/>
    </xf>
    <xf numFmtId="175" fontId="5" fillId="50" borderId="66" xfId="0" applyNumberFormat="1" applyFont="1" applyFill="1" applyBorder="1" applyAlignment="1">
      <alignment/>
    </xf>
    <xf numFmtId="175" fontId="5" fillId="50" borderId="94" xfId="0" applyNumberFormat="1" applyFont="1" applyFill="1" applyBorder="1" applyAlignment="1">
      <alignment/>
    </xf>
    <xf numFmtId="0" fontId="2" fillId="0" borderId="6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175" fontId="8" fillId="0" borderId="162" xfId="46" applyNumberFormat="1" applyFont="1" applyBorder="1" applyAlignment="1">
      <alignment horizontal="center" vertical="center"/>
    </xf>
    <xf numFmtId="175" fontId="0" fillId="0" borderId="56" xfId="46" applyNumberFormat="1" applyBorder="1" applyAlignment="1">
      <alignment horizontal="right"/>
    </xf>
    <xf numFmtId="175" fontId="0" fillId="0" borderId="64" xfId="46" applyNumberFormat="1" applyBorder="1" applyAlignment="1">
      <alignment horizontal="right"/>
    </xf>
    <xf numFmtId="0" fontId="1" fillId="40" borderId="56" xfId="0" applyFont="1" applyFill="1" applyBorder="1" applyAlignment="1">
      <alignment horizontal="left" vertical="top" wrapText="1"/>
    </xf>
    <xf numFmtId="0" fontId="31" fillId="40" borderId="56" xfId="0" applyFont="1" applyFill="1" applyBorder="1" applyAlignment="1">
      <alignment horizontal="left" vertical="top" wrapText="1"/>
    </xf>
    <xf numFmtId="0" fontId="2" fillId="0" borderId="95" xfId="0" applyFont="1" applyBorder="1" applyAlignment="1">
      <alignment horizontal="center" vertical="center" wrapText="1"/>
    </xf>
    <xf numFmtId="175" fontId="0" fillId="0" borderId="56" xfId="46" applyNumberFormat="1" applyBorder="1" applyAlignment="1">
      <alignment horizontal="center" vertical="center" wrapText="1"/>
    </xf>
    <xf numFmtId="175" fontId="1" fillId="0" borderId="56" xfId="46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5" fontId="5" fillId="0" borderId="56" xfId="46" applyNumberFormat="1" applyFont="1" applyBorder="1" applyAlignment="1">
      <alignment horizontal="center" vertical="center" wrapText="1"/>
    </xf>
    <xf numFmtId="175" fontId="5" fillId="0" borderId="56" xfId="0" applyNumberFormat="1" applyFont="1" applyBorder="1" applyAlignment="1">
      <alignment horizontal="center" vertical="center" wrapText="1"/>
    </xf>
    <xf numFmtId="0" fontId="0" fillId="40" borderId="64" xfId="0" applyFill="1" applyBorder="1" applyAlignment="1">
      <alignment horizontal="left" vertical="top" wrapText="1"/>
    </xf>
    <xf numFmtId="0" fontId="5" fillId="50" borderId="165" xfId="0" applyFont="1" applyFill="1" applyBorder="1" applyAlignment="1">
      <alignment/>
    </xf>
    <xf numFmtId="0" fontId="5" fillId="50" borderId="162" xfId="0" applyFont="1" applyFill="1" applyBorder="1" applyAlignment="1">
      <alignment/>
    </xf>
    <xf numFmtId="175" fontId="5" fillId="50" borderId="162" xfId="0" applyNumberFormat="1" applyFont="1" applyFill="1" applyBorder="1" applyAlignment="1">
      <alignment/>
    </xf>
    <xf numFmtId="175" fontId="5" fillId="50" borderId="16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0" borderId="64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0" fillId="0" borderId="117" xfId="0" applyBorder="1" applyAlignment="1">
      <alignment horizontal="center"/>
    </xf>
    <xf numFmtId="3" fontId="0" fillId="36" borderId="21" xfId="0" applyNumberFormat="1" applyFill="1" applyBorder="1" applyAlignment="1">
      <alignment horizontal="center"/>
    </xf>
    <xf numFmtId="3" fontId="0" fillId="36" borderId="21" xfId="0" applyNumberFormat="1" applyFill="1" applyBorder="1" applyAlignment="1">
      <alignment/>
    </xf>
    <xf numFmtId="177" fontId="0" fillId="36" borderId="21" xfId="0" applyNumberFormat="1" applyFill="1" applyBorder="1" applyAlignment="1">
      <alignment/>
    </xf>
    <xf numFmtId="3" fontId="0" fillId="36" borderId="56" xfId="0" applyNumberFormat="1" applyFill="1" applyBorder="1" applyAlignment="1">
      <alignment horizontal="center"/>
    </xf>
    <xf numFmtId="177" fontId="0" fillId="36" borderId="56" xfId="0" applyNumberFormat="1" applyFill="1" applyBorder="1" applyAlignment="1">
      <alignment/>
    </xf>
    <xf numFmtId="3" fontId="8" fillId="36" borderId="56" xfId="0" applyNumberFormat="1" applyFont="1" applyFill="1" applyBorder="1" applyAlignment="1">
      <alignment horizontal="right"/>
    </xf>
    <xf numFmtId="0" fontId="8" fillId="36" borderId="56" xfId="0" applyFont="1" applyFill="1" applyBorder="1" applyAlignment="1">
      <alignment horizontal="right"/>
    </xf>
    <xf numFmtId="0" fontId="8" fillId="36" borderId="0" xfId="0" applyFont="1" applyFill="1" applyAlignment="1">
      <alignment horizontal="right"/>
    </xf>
    <xf numFmtId="3" fontId="5" fillId="37" borderId="137" xfId="0" applyNumberFormat="1" applyFont="1" applyFill="1" applyBorder="1" applyAlignment="1">
      <alignment horizontal="center" wrapText="1"/>
    </xf>
    <xf numFmtId="3" fontId="5" fillId="37" borderId="63" xfId="0" applyNumberFormat="1" applyFont="1" applyFill="1" applyBorder="1" applyAlignment="1">
      <alignment horizontal="center"/>
    </xf>
    <xf numFmtId="3" fontId="5" fillId="37" borderId="63" xfId="0" applyNumberFormat="1" applyFont="1" applyFill="1" applyBorder="1" applyAlignment="1">
      <alignment wrapText="1"/>
    </xf>
    <xf numFmtId="177" fontId="5" fillId="37" borderId="63" xfId="0" applyNumberFormat="1" applyFont="1" applyFill="1" applyBorder="1" applyAlignment="1">
      <alignment/>
    </xf>
    <xf numFmtId="175" fontId="5" fillId="37" borderId="59" xfId="46" applyNumberFormat="1" applyFont="1" applyFill="1" applyBorder="1" applyAlignment="1">
      <alignment/>
    </xf>
    <xf numFmtId="3" fontId="0" fillId="0" borderId="142" xfId="0" applyNumberFormat="1" applyBorder="1" applyAlignment="1">
      <alignment horizontal="center"/>
    </xf>
    <xf numFmtId="3" fontId="0" fillId="36" borderId="143" xfId="0" applyNumberFormat="1" applyFill="1" applyBorder="1" applyAlignment="1">
      <alignment horizontal="center"/>
    </xf>
    <xf numFmtId="3" fontId="0" fillId="36" borderId="143" xfId="0" applyNumberFormat="1" applyFill="1" applyBorder="1" applyAlignment="1">
      <alignment/>
    </xf>
    <xf numFmtId="177" fontId="0" fillId="36" borderId="143" xfId="0" applyNumberFormat="1" applyFill="1" applyBorder="1" applyAlignment="1">
      <alignment/>
    </xf>
    <xf numFmtId="175" fontId="0" fillId="36" borderId="133" xfId="46" applyNumberFormat="1" applyFill="1" applyBorder="1" applyAlignment="1">
      <alignment/>
    </xf>
    <xf numFmtId="175" fontId="0" fillId="36" borderId="87" xfId="46" applyNumberFormat="1" applyFill="1" applyBorder="1" applyAlignment="1">
      <alignment/>
    </xf>
    <xf numFmtId="175" fontId="0" fillId="36" borderId="87" xfId="46" applyNumberFormat="1" applyFill="1" applyBorder="1" applyAlignment="1">
      <alignment horizontal="right"/>
    </xf>
    <xf numFmtId="0" fontId="8" fillId="36" borderId="105" xfId="0" applyFont="1" applyFill="1" applyBorder="1" applyAlignment="1">
      <alignment horizontal="right"/>
    </xf>
    <xf numFmtId="175" fontId="8" fillId="36" borderId="87" xfId="46" applyNumberFormat="1" applyFont="1" applyFill="1" applyBorder="1" applyAlignment="1">
      <alignment horizontal="right"/>
    </xf>
    <xf numFmtId="0" fontId="8" fillId="0" borderId="130" xfId="0" applyFont="1" applyBorder="1" applyAlignment="1">
      <alignment horizontal="right"/>
    </xf>
    <xf numFmtId="0" fontId="8" fillId="0" borderId="131" xfId="0" applyFont="1" applyBorder="1" applyAlignment="1">
      <alignment horizontal="right"/>
    </xf>
    <xf numFmtId="175" fontId="8" fillId="0" borderId="134" xfId="46" applyNumberFormat="1" applyFont="1" applyBorder="1" applyAlignment="1">
      <alignment horizontal="right"/>
    </xf>
    <xf numFmtId="175" fontId="0" fillId="36" borderId="87" xfId="46" applyNumberFormat="1" applyFill="1" applyBorder="1" applyAlignment="1">
      <alignment horizontal="center" vertical="center"/>
    </xf>
    <xf numFmtId="3" fontId="0" fillId="36" borderId="77" xfId="0" applyNumberFormat="1" applyFill="1" applyBorder="1" applyAlignment="1">
      <alignment/>
    </xf>
    <xf numFmtId="175" fontId="0" fillId="36" borderId="167" xfId="46" applyNumberFormat="1" applyFill="1" applyBorder="1" applyAlignment="1">
      <alignment horizontal="center" vertical="center"/>
    </xf>
    <xf numFmtId="175" fontId="8" fillId="36" borderId="87" xfId="46" applyNumberFormat="1" applyFont="1" applyFill="1" applyBorder="1" applyAlignment="1">
      <alignment horizontal="right" vertical="center"/>
    </xf>
    <xf numFmtId="175" fontId="8" fillId="0" borderId="134" xfId="46" applyNumberFormat="1" applyFont="1" applyBorder="1" applyAlignment="1">
      <alignment horizontal="right" vertical="center"/>
    </xf>
    <xf numFmtId="3" fontId="0" fillId="36" borderId="21" xfId="0" applyNumberFormat="1" applyFill="1" applyBorder="1" applyAlignment="1">
      <alignment horizontal="left"/>
    </xf>
    <xf numFmtId="175" fontId="0" fillId="36" borderId="168" xfId="46" applyNumberFormat="1" applyFill="1" applyBorder="1" applyAlignment="1">
      <alignment horizontal="right" vertical="center"/>
    </xf>
    <xf numFmtId="3" fontId="0" fillId="36" borderId="56" xfId="0" applyNumberFormat="1" applyFill="1" applyBorder="1" applyAlignment="1">
      <alignment horizontal="left"/>
    </xf>
    <xf numFmtId="3" fontId="0" fillId="0" borderId="78" xfId="0" applyNumberFormat="1" applyBorder="1" applyAlignment="1">
      <alignment horizontal="center"/>
    </xf>
    <xf numFmtId="1" fontId="0" fillId="36" borderId="77" xfId="0" applyNumberFormat="1" applyFill="1" applyBorder="1" applyAlignment="1">
      <alignment horizontal="center"/>
    </xf>
    <xf numFmtId="177" fontId="2" fillId="36" borderId="77" xfId="0" applyNumberFormat="1" applyFont="1" applyFill="1" applyBorder="1" applyAlignment="1">
      <alignment/>
    </xf>
    <xf numFmtId="175" fontId="0" fillId="36" borderId="120" xfId="46" applyNumberFormat="1" applyFill="1" applyBorder="1" applyAlignment="1">
      <alignment horizontal="right" vertical="center"/>
    </xf>
    <xf numFmtId="175" fontId="0" fillId="36" borderId="87" xfId="46" applyNumberFormat="1" applyFill="1" applyBorder="1" applyAlignment="1">
      <alignment horizontal="right" vertical="center"/>
    </xf>
    <xf numFmtId="0" fontId="8" fillId="0" borderId="105" xfId="0" applyFont="1" applyBorder="1" applyAlignment="1">
      <alignment horizontal="right"/>
    </xf>
    <xf numFmtId="175" fontId="8" fillId="0" borderId="87" xfId="46" applyNumberFormat="1" applyFont="1" applyBorder="1" applyAlignment="1">
      <alignment horizontal="right" vertical="center"/>
    </xf>
    <xf numFmtId="3" fontId="26" fillId="33" borderId="43" xfId="0" applyNumberFormat="1" applyFont="1" applyFill="1" applyBorder="1" applyAlignment="1">
      <alignment horizontal="right"/>
    </xf>
    <xf numFmtId="3" fontId="26" fillId="33" borderId="12" xfId="0" applyNumberFormat="1" applyFont="1" applyFill="1" applyBorder="1" applyAlignment="1">
      <alignment horizontal="right"/>
    </xf>
    <xf numFmtId="3" fontId="0" fillId="0" borderId="67" xfId="0" applyNumberFormat="1" applyBorder="1" applyAlignment="1">
      <alignment horizontal="left"/>
    </xf>
    <xf numFmtId="3" fontId="0" fillId="0" borderId="68" xfId="0" applyNumberFormat="1" applyBorder="1" applyAlignment="1">
      <alignment horizontal="left"/>
    </xf>
    <xf numFmtId="175" fontId="2" fillId="0" borderId="0" xfId="46" applyNumberFormat="1" applyFont="1" applyAlignment="1">
      <alignment/>
    </xf>
    <xf numFmtId="175" fontId="2" fillId="0" borderId="100" xfId="46" applyNumberFormat="1" applyFont="1" applyBorder="1" applyAlignment="1">
      <alignment/>
    </xf>
    <xf numFmtId="3" fontId="6" fillId="0" borderId="102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175" fontId="6" fillId="0" borderId="104" xfId="46" applyNumberFormat="1" applyFont="1" applyBorder="1" applyAlignment="1">
      <alignment/>
    </xf>
    <xf numFmtId="3" fontId="31" fillId="0" borderId="67" xfId="0" applyNumberFormat="1" applyFont="1" applyBorder="1" applyAlignment="1">
      <alignment/>
    </xf>
    <xf numFmtId="3" fontId="0" fillId="0" borderId="169" xfId="0" applyNumberForma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175" fontId="2" fillId="0" borderId="91" xfId="46" applyNumberFormat="1" applyFont="1" applyBorder="1" applyAlignment="1">
      <alignment horizontal="right" vertical="center"/>
    </xf>
    <xf numFmtId="175" fontId="2" fillId="42" borderId="56" xfId="46" applyNumberFormat="1" applyFont="1" applyFill="1" applyBorder="1" applyAlignment="1">
      <alignment horizontal="center" vertical="center"/>
    </xf>
    <xf numFmtId="175" fontId="8" fillId="42" borderId="56" xfId="46" applyNumberFormat="1" applyFont="1" applyFill="1" applyBorder="1" applyAlignment="1">
      <alignment horizontal="center" vertical="center"/>
    </xf>
    <xf numFmtId="3" fontId="8" fillId="42" borderId="56" xfId="0" applyNumberFormat="1" applyFont="1" applyFill="1" applyBorder="1" applyAlignment="1">
      <alignment vertical="center" wrapText="1"/>
    </xf>
    <xf numFmtId="3" fontId="2" fillId="42" borderId="56" xfId="0" applyNumberFormat="1" applyFont="1" applyFill="1" applyBorder="1" applyAlignment="1">
      <alignment vertical="center" wrapText="1"/>
    </xf>
    <xf numFmtId="0" fontId="2" fillId="0" borderId="170" xfId="0" applyFont="1" applyBorder="1" applyAlignment="1">
      <alignment wrapText="1"/>
    </xf>
    <xf numFmtId="0" fontId="2" fillId="0" borderId="163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40" borderId="56" xfId="0" applyFill="1" applyBorder="1" applyAlignment="1">
      <alignment horizontal="left" vertical="top" wrapText="1"/>
    </xf>
    <xf numFmtId="3" fontId="31" fillId="0" borderId="27" xfId="0" applyNumberFormat="1" applyFont="1" applyBorder="1" applyAlignment="1">
      <alignment wrapText="1"/>
    </xf>
    <xf numFmtId="1" fontId="8" fillId="0" borderId="12" xfId="46" applyNumberFormat="1" applyFont="1" applyBorder="1" applyAlignment="1">
      <alignment/>
    </xf>
    <xf numFmtId="3" fontId="31" fillId="0" borderId="64" xfId="0" applyNumberFormat="1" applyFont="1" applyBorder="1" applyAlignment="1">
      <alignment horizontal="center"/>
    </xf>
    <xf numFmtId="3" fontId="2" fillId="33" borderId="114" xfId="0" applyNumberFormat="1" applyFont="1" applyFill="1" applyBorder="1" applyAlignment="1">
      <alignment horizontal="center"/>
    </xf>
    <xf numFmtId="3" fontId="2" fillId="33" borderId="75" xfId="0" applyNumberFormat="1" applyFont="1" applyFill="1" applyBorder="1" applyAlignment="1">
      <alignment/>
    </xf>
    <xf numFmtId="3" fontId="0" fillId="42" borderId="65" xfId="0" applyNumberFormat="1" applyFill="1" applyBorder="1" applyAlignment="1">
      <alignment horizontal="center"/>
    </xf>
    <xf numFmtId="3" fontId="0" fillId="42" borderId="65" xfId="0" applyNumberFormat="1" applyFill="1" applyBorder="1" applyAlignment="1">
      <alignment wrapText="1"/>
    </xf>
    <xf numFmtId="3" fontId="0" fillId="42" borderId="65" xfId="0" applyNumberFormat="1" applyFill="1" applyBorder="1" applyAlignment="1">
      <alignment/>
    </xf>
    <xf numFmtId="3" fontId="8" fillId="42" borderId="64" xfId="0" applyNumberFormat="1" applyFont="1" applyFill="1" applyBorder="1" applyAlignment="1">
      <alignment horizontal="center"/>
    </xf>
    <xf numFmtId="3" fontId="8" fillId="42" borderId="64" xfId="0" applyNumberFormat="1" applyFont="1" applyFill="1" applyBorder="1" applyAlignment="1">
      <alignment wrapText="1"/>
    </xf>
    <xf numFmtId="3" fontId="8" fillId="42" borderId="64" xfId="0" applyNumberFormat="1" applyFont="1" applyFill="1" applyBorder="1" applyAlignment="1">
      <alignment/>
    </xf>
    <xf numFmtId="3" fontId="2" fillId="41" borderId="114" xfId="0" applyNumberFormat="1" applyFont="1" applyFill="1" applyBorder="1" applyAlignment="1">
      <alignment horizontal="center"/>
    </xf>
    <xf numFmtId="3" fontId="2" fillId="41" borderId="75" xfId="0" applyNumberFormat="1" applyFont="1" applyFill="1" applyBorder="1" applyAlignment="1">
      <alignment/>
    </xf>
    <xf numFmtId="3" fontId="0" fillId="0" borderId="171" xfId="0" applyNumberFormat="1" applyBorder="1" applyAlignment="1">
      <alignment horizontal="center"/>
    </xf>
    <xf numFmtId="3" fontId="0" fillId="0" borderId="172" xfId="0" applyNumberFormat="1" applyBorder="1" applyAlignment="1">
      <alignment/>
    </xf>
    <xf numFmtId="1" fontId="31" fillId="0" borderId="21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175" fontId="0" fillId="42" borderId="14" xfId="46" applyNumberFormat="1" applyFill="1" applyBorder="1" applyAlignment="1">
      <alignment horizontal="center" vertical="center" wrapText="1"/>
    </xf>
    <xf numFmtId="3" fontId="2" fillId="43" borderId="56" xfId="0" applyNumberFormat="1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176" fontId="6" fillId="0" borderId="0" xfId="61" applyFont="1" applyAlignment="1">
      <alignment horizontal="right" vertical="center"/>
    </xf>
    <xf numFmtId="0" fontId="0" fillId="0" borderId="173" xfId="0" applyBorder="1" applyAlignment="1">
      <alignment horizontal="right"/>
    </xf>
    <xf numFmtId="3" fontId="0" fillId="0" borderId="173" xfId="0" applyNumberFormat="1" applyBorder="1" applyAlignment="1">
      <alignment horizontal="right"/>
    </xf>
    <xf numFmtId="175" fontId="0" fillId="0" borderId="173" xfId="46" applyNumberFormat="1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175" fontId="0" fillId="0" borderId="173" xfId="46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175" fontId="0" fillId="0" borderId="174" xfId="46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45" borderId="16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45" borderId="13" xfId="0" applyFill="1" applyBorder="1" applyAlignment="1">
      <alignment horizontal="left" vertical="center" wrapText="1"/>
    </xf>
    <xf numFmtId="0" fontId="2" fillId="45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175" fontId="5" fillId="39" borderId="175" xfId="46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5" fillId="39" borderId="12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/>
    </xf>
    <xf numFmtId="0" fontId="5" fillId="39" borderId="12" xfId="0" applyFont="1" applyFill="1" applyBorder="1" applyAlignment="1">
      <alignment wrapText="1"/>
    </xf>
    <xf numFmtId="175" fontId="5" fillId="39" borderId="12" xfId="46" applyNumberFormat="1" applyFont="1" applyFill="1" applyBorder="1" applyAlignment="1">
      <alignment/>
    </xf>
    <xf numFmtId="178" fontId="0" fillId="0" borderId="12" xfId="0" applyNumberFormat="1" applyBorder="1" applyAlignment="1">
      <alignment/>
    </xf>
    <xf numFmtId="175" fontId="0" fillId="0" borderId="12" xfId="46" applyNumberFormat="1" applyBorder="1" applyAlignment="1">
      <alignment horizontal="right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175" fontId="0" fillId="36" borderId="0" xfId="46" applyNumberFormat="1" applyFill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2" fillId="49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5" fontId="0" fillId="0" borderId="12" xfId="46" applyNumberFormat="1" applyBorder="1" applyAlignment="1">
      <alignment vertical="center"/>
    </xf>
    <xf numFmtId="175" fontId="0" fillId="0" borderId="0" xfId="46" applyNumberFormat="1" applyAlignment="1">
      <alignment vertical="center"/>
    </xf>
    <xf numFmtId="0" fontId="5" fillId="39" borderId="12" xfId="0" applyFont="1" applyFill="1" applyBorder="1" applyAlignment="1">
      <alignment vertical="center"/>
    </xf>
    <xf numFmtId="175" fontId="0" fillId="39" borderId="12" xfId="46" applyNumberFormat="1" applyFill="1" applyBorder="1" applyAlignment="1">
      <alignment/>
    </xf>
    <xf numFmtId="175" fontId="2" fillId="0" borderId="12" xfId="46" applyNumberFormat="1" applyFont="1" applyBorder="1" applyAlignment="1">
      <alignment horizontal="center" vertical="center" wrapText="1"/>
    </xf>
    <xf numFmtId="3" fontId="0" fillId="40" borderId="56" xfId="0" applyNumberFormat="1" applyFill="1" applyBorder="1" applyAlignment="1">
      <alignment/>
    </xf>
    <xf numFmtId="3" fontId="0" fillId="40" borderId="56" xfId="0" applyNumberFormat="1" applyFill="1" applyBorder="1" applyAlignment="1">
      <alignment horizontal="center"/>
    </xf>
    <xf numFmtId="0" fontId="2" fillId="0" borderId="114" xfId="0" applyFont="1" applyBorder="1" applyAlignment="1">
      <alignment horizontal="center" vertical="center"/>
    </xf>
    <xf numFmtId="0" fontId="0" fillId="40" borderId="68" xfId="0" applyFont="1" applyFill="1" applyBorder="1" applyAlignment="1">
      <alignment horizontal="left" vertical="top" wrapText="1"/>
    </xf>
    <xf numFmtId="0" fontId="5" fillId="0" borderId="176" xfId="0" applyFont="1" applyBorder="1" applyAlignment="1">
      <alignment/>
    </xf>
    <xf numFmtId="0" fontId="2" fillId="40" borderId="68" xfId="0" applyFont="1" applyFill="1" applyBorder="1" applyAlignment="1">
      <alignment horizontal="left" vertical="top" wrapText="1"/>
    </xf>
    <xf numFmtId="0" fontId="6" fillId="0" borderId="56" xfId="0" applyFont="1" applyBorder="1" applyAlignment="1">
      <alignment horizontal="center" vertical="center"/>
    </xf>
    <xf numFmtId="0" fontId="2" fillId="0" borderId="177" xfId="0" applyFont="1" applyBorder="1" applyAlignment="1">
      <alignment horizontal="left" vertical="center" wrapText="1"/>
    </xf>
    <xf numFmtId="0" fontId="2" fillId="0" borderId="17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3" fontId="77" fillId="0" borderId="12" xfId="0" applyNumberFormat="1" applyFont="1" applyBorder="1" applyAlignment="1">
      <alignment/>
    </xf>
    <xf numFmtId="3" fontId="0" fillId="0" borderId="56" xfId="0" applyNumberFormat="1" applyBorder="1" applyAlignment="1">
      <alignment wrapText="1"/>
    </xf>
    <xf numFmtId="176" fontId="6" fillId="40" borderId="0" xfId="61" applyFont="1" applyFill="1" applyAlignment="1">
      <alignment vertical="center"/>
    </xf>
    <xf numFmtId="3" fontId="2" fillId="40" borderId="0" xfId="0" applyNumberFormat="1" applyFont="1" applyFill="1" applyAlignment="1">
      <alignment vertical="center"/>
    </xf>
    <xf numFmtId="3" fontId="15" fillId="40" borderId="0" xfId="0" applyNumberFormat="1" applyFont="1" applyFill="1" applyAlignment="1">
      <alignment vertical="center" wrapText="1"/>
    </xf>
    <xf numFmtId="3" fontId="2" fillId="42" borderId="56" xfId="0" applyNumberFormat="1" applyFont="1" applyFill="1" applyBorder="1" applyAlignment="1">
      <alignment horizontal="center"/>
    </xf>
    <xf numFmtId="3" fontId="2" fillId="42" borderId="0" xfId="0" applyNumberFormat="1" applyFont="1" applyFill="1" applyAlignment="1">
      <alignment horizontal="center"/>
    </xf>
    <xf numFmtId="3" fontId="2" fillId="40" borderId="0" xfId="0" applyNumberFormat="1" applyFont="1" applyFill="1" applyAlignment="1">
      <alignment/>
    </xf>
    <xf numFmtId="3" fontId="2" fillId="42" borderId="56" xfId="0" applyNumberFormat="1" applyFont="1" applyFill="1" applyBorder="1" applyAlignment="1">
      <alignment/>
    </xf>
    <xf numFmtId="3" fontId="2" fillId="42" borderId="0" xfId="0" applyNumberFormat="1" applyFont="1" applyFill="1" applyAlignment="1">
      <alignment/>
    </xf>
    <xf numFmtId="0" fontId="6" fillId="40" borderId="0" xfId="0" applyFont="1" applyFill="1" applyAlignment="1">
      <alignment vertical="center"/>
    </xf>
    <xf numFmtId="3" fontId="0" fillId="40" borderId="0" xfId="0" applyNumberFormat="1" applyFill="1" applyAlignment="1">
      <alignment/>
    </xf>
    <xf numFmtId="0" fontId="2" fillId="43" borderId="0" xfId="0" applyFont="1" applyFill="1" applyAlignment="1">
      <alignment horizontal="center"/>
    </xf>
    <xf numFmtId="0" fontId="2" fillId="40" borderId="79" xfId="0" applyFont="1" applyFill="1" applyBorder="1" applyAlignment="1">
      <alignment horizontal="center"/>
    </xf>
    <xf numFmtId="175" fontId="2" fillId="40" borderId="0" xfId="46" applyNumberFormat="1" applyFont="1" applyFill="1" applyAlignment="1">
      <alignment/>
    </xf>
    <xf numFmtId="0" fontId="0" fillId="40" borderId="79" xfId="0" applyFill="1" applyBorder="1" applyAlignment="1">
      <alignment horizontal="center"/>
    </xf>
    <xf numFmtId="175" fontId="0" fillId="40" borderId="0" xfId="46" applyNumberFormat="1" applyFill="1" applyAlignment="1">
      <alignment/>
    </xf>
    <xf numFmtId="175" fontId="0" fillId="48" borderId="0" xfId="46" applyNumberFormat="1" applyFill="1" applyAlignment="1">
      <alignment/>
    </xf>
    <xf numFmtId="175" fontId="0" fillId="51" borderId="0" xfId="46" applyNumberFormat="1" applyFill="1" applyAlignment="1">
      <alignment/>
    </xf>
    <xf numFmtId="0" fontId="2" fillId="42" borderId="81" xfId="0" applyFont="1" applyFill="1" applyBorder="1" applyAlignment="1">
      <alignment horizontal="center"/>
    </xf>
    <xf numFmtId="0" fontId="0" fillId="42" borderId="73" xfId="0" applyFill="1" applyBorder="1" applyAlignment="1">
      <alignment/>
    </xf>
    <xf numFmtId="175" fontId="2" fillId="42" borderId="0" xfId="46" applyNumberFormat="1" applyFont="1" applyFill="1" applyAlignment="1">
      <alignment/>
    </xf>
    <xf numFmtId="0" fontId="2" fillId="43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8" fillId="40" borderId="11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3" fillId="40" borderId="11" xfId="0" applyFont="1" applyFill="1" applyBorder="1" applyAlignment="1">
      <alignment wrapText="1"/>
    </xf>
    <xf numFmtId="0" fontId="2" fillId="42" borderId="85" xfId="0" applyFont="1" applyFill="1" applyBorder="1" applyAlignment="1">
      <alignment/>
    </xf>
    <xf numFmtId="0" fontId="2" fillId="43" borderId="125" xfId="0" applyFont="1" applyFill="1" applyBorder="1" applyAlignment="1">
      <alignment horizontal="center"/>
    </xf>
    <xf numFmtId="175" fontId="2" fillId="40" borderId="125" xfId="46" applyNumberFormat="1" applyFont="1" applyFill="1" applyBorder="1" applyAlignment="1">
      <alignment/>
    </xf>
    <xf numFmtId="175" fontId="0" fillId="40" borderId="125" xfId="46" applyNumberFormat="1" applyFill="1" applyBorder="1" applyAlignment="1">
      <alignment/>
    </xf>
    <xf numFmtId="175" fontId="0" fillId="48" borderId="125" xfId="46" applyNumberFormat="1" applyFill="1" applyBorder="1" applyAlignment="1">
      <alignment/>
    </xf>
    <xf numFmtId="175" fontId="0" fillId="51" borderId="125" xfId="46" applyNumberFormat="1" applyFill="1" applyBorder="1" applyAlignment="1">
      <alignment/>
    </xf>
    <xf numFmtId="175" fontId="2" fillId="42" borderId="86" xfId="46" applyNumberFormat="1" applyFont="1" applyFill="1" applyBorder="1" applyAlignment="1">
      <alignment/>
    </xf>
    <xf numFmtId="0" fontId="2" fillId="43" borderId="121" xfId="0" applyFont="1" applyFill="1" applyBorder="1" applyAlignment="1">
      <alignment horizontal="center"/>
    </xf>
    <xf numFmtId="175" fontId="2" fillId="40" borderId="121" xfId="46" applyNumberFormat="1" applyFont="1" applyFill="1" applyBorder="1" applyAlignment="1">
      <alignment/>
    </xf>
    <xf numFmtId="175" fontId="0" fillId="40" borderId="121" xfId="46" applyNumberFormat="1" applyFill="1" applyBorder="1" applyAlignment="1">
      <alignment/>
    </xf>
    <xf numFmtId="175" fontId="0" fillId="48" borderId="121" xfId="46" applyNumberFormat="1" applyFill="1" applyBorder="1" applyAlignment="1">
      <alignment/>
    </xf>
    <xf numFmtId="175" fontId="0" fillId="51" borderId="121" xfId="46" applyNumberFormat="1" applyFill="1" applyBorder="1" applyAlignment="1">
      <alignment/>
    </xf>
    <xf numFmtId="175" fontId="2" fillId="42" borderId="178" xfId="46" applyNumberFormat="1" applyFont="1" applyFill="1" applyBorder="1" applyAlignment="1">
      <alignment/>
    </xf>
    <xf numFmtId="3" fontId="2" fillId="42" borderId="56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left" vertical="center" wrapText="1"/>
    </xf>
    <xf numFmtId="3" fontId="31" fillId="0" borderId="29" xfId="0" applyNumberFormat="1" applyFont="1" applyBorder="1" applyAlignment="1">
      <alignment horizontal="left" vertical="center" wrapText="1"/>
    </xf>
    <xf numFmtId="0" fontId="0" fillId="0" borderId="56" xfId="0" applyBorder="1" applyAlignment="1">
      <alignment horizontal="left"/>
    </xf>
    <xf numFmtId="3" fontId="31" fillId="0" borderId="67" xfId="0" applyNumberFormat="1" applyFont="1" applyBorder="1" applyAlignment="1">
      <alignment horizontal="left"/>
    </xf>
    <xf numFmtId="3" fontId="31" fillId="0" borderId="68" xfId="0" applyNumberFormat="1" applyFont="1" applyBorder="1" applyAlignment="1">
      <alignment horizontal="left"/>
    </xf>
    <xf numFmtId="175" fontId="8" fillId="40" borderId="95" xfId="46" applyNumberFormat="1" applyFont="1" applyFill="1" applyBorder="1" applyAlignment="1">
      <alignment/>
    </xf>
    <xf numFmtId="175" fontId="2" fillId="40" borderId="147" xfId="46" applyNumberFormat="1" applyFont="1" applyFill="1" applyBorder="1" applyAlignment="1">
      <alignment horizontal="right" vertical="center"/>
    </xf>
    <xf numFmtId="3" fontId="2" fillId="33" borderId="30" xfId="0" applyNumberFormat="1" applyFont="1" applyFill="1" applyBorder="1" applyAlignment="1">
      <alignment horizontal="center" vertical="center"/>
    </xf>
    <xf numFmtId="3" fontId="77" fillId="0" borderId="26" xfId="0" applyNumberFormat="1" applyFont="1" applyBorder="1" applyAlignment="1">
      <alignment horizontal="right"/>
    </xf>
    <xf numFmtId="3" fontId="2" fillId="40" borderId="56" xfId="0" applyNumberFormat="1" applyFont="1" applyFill="1" applyBorder="1" applyAlignment="1">
      <alignment horizontal="center" wrapText="1"/>
    </xf>
    <xf numFmtId="3" fontId="0" fillId="48" borderId="56" xfId="0" applyNumberFormat="1" applyFill="1" applyBorder="1" applyAlignment="1">
      <alignment horizontal="center"/>
    </xf>
    <xf numFmtId="3" fontId="0" fillId="40" borderId="56" xfId="0" applyNumberFormat="1" applyFill="1" applyBorder="1" applyAlignment="1">
      <alignment/>
    </xf>
    <xf numFmtId="3" fontId="0" fillId="42" borderId="56" xfId="0" applyNumberFormat="1" applyFill="1" applyBorder="1" applyAlignment="1">
      <alignment horizontal="center"/>
    </xf>
    <xf numFmtId="3" fontId="2" fillId="0" borderId="155" xfId="0" applyNumberFormat="1" applyFont="1" applyBorder="1" applyAlignment="1">
      <alignment/>
    </xf>
    <xf numFmtId="3" fontId="2" fillId="0" borderId="156" xfId="0" applyNumberFormat="1" applyFont="1" applyBorder="1" applyAlignment="1">
      <alignment/>
    </xf>
    <xf numFmtId="175" fontId="2" fillId="0" borderId="157" xfId="46" applyNumberFormat="1" applyFont="1" applyBorder="1" applyAlignment="1">
      <alignment horizontal="center" vertical="center"/>
    </xf>
    <xf numFmtId="175" fontId="2" fillId="48" borderId="12" xfId="46" applyNumberFormat="1" applyFont="1" applyFill="1" applyBorder="1" applyAlignment="1">
      <alignment/>
    </xf>
    <xf numFmtId="175" fontId="2" fillId="40" borderId="21" xfId="46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56" xfId="0" applyFont="1" applyBorder="1" applyAlignment="1">
      <alignment horizontal="center"/>
    </xf>
    <xf numFmtId="3" fontId="0" fillId="0" borderId="140" xfId="0" applyNumberFormat="1" applyBorder="1" applyAlignment="1">
      <alignment/>
    </xf>
    <xf numFmtId="175" fontId="0" fillId="0" borderId="117" xfId="46" applyNumberFormat="1" applyFont="1" applyBorder="1" applyAlignment="1">
      <alignment/>
    </xf>
    <xf numFmtId="175" fontId="0" fillId="0" borderId="56" xfId="46" applyNumberFormat="1" applyFont="1" applyBorder="1" applyAlignment="1">
      <alignment/>
    </xf>
    <xf numFmtId="175" fontId="8" fillId="0" borderId="56" xfId="46" applyNumberFormat="1" applyFont="1" applyBorder="1" applyAlignment="1">
      <alignment horizontal="center"/>
    </xf>
    <xf numFmtId="3" fontId="0" fillId="0" borderId="56" xfId="0" applyNumberFormat="1" applyBorder="1" applyAlignment="1">
      <alignment horizontal="left" vertical="center" wrapText="1"/>
    </xf>
    <xf numFmtId="3" fontId="8" fillId="0" borderId="56" xfId="0" applyNumberFormat="1" applyFont="1" applyBorder="1" applyAlignment="1">
      <alignment horizontal="left"/>
    </xf>
    <xf numFmtId="0" fontId="34" fillId="0" borderId="0" xfId="57" applyFont="1">
      <alignment/>
      <protection/>
    </xf>
    <xf numFmtId="0" fontId="5" fillId="0" borderId="0" xfId="58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9" fillId="0" borderId="0" xfId="58" applyFont="1" applyAlignment="1">
      <alignment vertical="center" wrapText="1"/>
      <protection/>
    </xf>
    <xf numFmtId="0" fontId="24" fillId="0" borderId="56" xfId="57" applyFont="1" applyBorder="1" applyAlignment="1">
      <alignment horizontal="center" vertical="center"/>
      <protection/>
    </xf>
    <xf numFmtId="0" fontId="1" fillId="0" borderId="56" xfId="57" applyFont="1" applyBorder="1" applyAlignment="1">
      <alignment horizontal="right"/>
      <protection/>
    </xf>
    <xf numFmtId="0" fontId="39" fillId="0" borderId="0" xfId="57" applyFont="1">
      <alignment/>
      <protection/>
    </xf>
    <xf numFmtId="0" fontId="2" fillId="0" borderId="179" xfId="57" applyFont="1" applyBorder="1" applyAlignment="1">
      <alignment vertical="center"/>
      <protection/>
    </xf>
    <xf numFmtId="0" fontId="2" fillId="0" borderId="145" xfId="57" applyFont="1" applyBorder="1" applyAlignment="1">
      <alignment horizontal="center" vertical="center"/>
      <protection/>
    </xf>
    <xf numFmtId="0" fontId="2" fillId="0" borderId="157" xfId="57" applyFont="1" applyBorder="1" applyAlignment="1">
      <alignment horizontal="center" vertical="center"/>
      <protection/>
    </xf>
    <xf numFmtId="49" fontId="0" fillId="0" borderId="46" xfId="57" applyNumberFormat="1" applyFont="1" applyBorder="1" applyAlignment="1">
      <alignment vertical="center"/>
      <protection/>
    </xf>
    <xf numFmtId="3" fontId="0" fillId="0" borderId="18" xfId="57" applyNumberFormat="1" applyFont="1" applyBorder="1" applyAlignment="1" applyProtection="1">
      <alignment vertical="center"/>
      <protection locked="0"/>
    </xf>
    <xf numFmtId="3" fontId="0" fillId="0" borderId="47" xfId="57" applyNumberFormat="1" applyFont="1" applyBorder="1" applyAlignment="1">
      <alignment vertical="center"/>
      <protection/>
    </xf>
    <xf numFmtId="49" fontId="0" fillId="0" borderId="20" xfId="57" applyNumberFormat="1" applyFont="1" applyBorder="1" applyAlignment="1">
      <alignment vertical="center"/>
      <protection/>
    </xf>
    <xf numFmtId="3" fontId="0" fillId="0" borderId="12" xfId="57" applyNumberFormat="1" applyFont="1" applyBorder="1" applyAlignment="1" applyProtection="1">
      <alignment vertical="center"/>
      <protection locked="0"/>
    </xf>
    <xf numFmtId="3" fontId="0" fillId="0" borderId="37" xfId="57" applyNumberFormat="1" applyFont="1" applyBorder="1" applyAlignment="1">
      <alignment vertical="center"/>
      <protection/>
    </xf>
    <xf numFmtId="49" fontId="0" fillId="0" borderId="24" xfId="57" applyNumberFormat="1" applyFont="1" applyBorder="1" applyAlignment="1" applyProtection="1">
      <alignment vertical="center"/>
      <protection locked="0"/>
    </xf>
    <xf numFmtId="3" fontId="0" fillId="0" borderId="21" xfId="57" applyNumberFormat="1" applyFont="1" applyBorder="1" applyAlignment="1" applyProtection="1">
      <alignment vertical="center"/>
      <protection locked="0"/>
    </xf>
    <xf numFmtId="49" fontId="2" fillId="0" borderId="22" xfId="57" applyNumberFormat="1" applyFont="1" applyBorder="1" applyAlignment="1">
      <alignment vertical="center"/>
      <protection/>
    </xf>
    <xf numFmtId="3" fontId="2" fillId="0" borderId="23" xfId="57" applyNumberFormat="1" applyFont="1" applyBorder="1" applyAlignment="1">
      <alignment vertical="center"/>
      <protection/>
    </xf>
    <xf numFmtId="3" fontId="2" fillId="0" borderId="35" xfId="57" applyNumberFormat="1" applyFont="1" applyBorder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2" fillId="0" borderId="135" xfId="57" applyFont="1" applyBorder="1" applyAlignment="1">
      <alignment vertical="center"/>
      <protection/>
    </xf>
    <xf numFmtId="0" fontId="2" fillId="0" borderId="136" xfId="57" applyFont="1" applyBorder="1" applyAlignment="1">
      <alignment horizontal="center" vertical="center"/>
      <protection/>
    </xf>
    <xf numFmtId="0" fontId="2" fillId="0" borderId="180" xfId="57" applyFont="1" applyBorder="1" applyAlignment="1">
      <alignment horizontal="center" vertical="center"/>
      <protection/>
    </xf>
    <xf numFmtId="49" fontId="0" fillId="0" borderId="20" xfId="57" applyNumberFormat="1" applyFont="1" applyBorder="1" applyAlignment="1">
      <alignment horizontal="left" vertical="center"/>
      <protection/>
    </xf>
    <xf numFmtId="49" fontId="0" fillId="0" borderId="20" xfId="57" applyNumberFormat="1" applyFont="1" applyBorder="1" applyAlignment="1" applyProtection="1">
      <alignment vertical="center"/>
      <protection locked="0"/>
    </xf>
    <xf numFmtId="3" fontId="2" fillId="0" borderId="21" xfId="57" applyNumberFormat="1" applyFont="1" applyBorder="1" applyAlignment="1" applyProtection="1">
      <alignment vertical="center"/>
      <protection locked="0"/>
    </xf>
    <xf numFmtId="3" fontId="2" fillId="0" borderId="37" xfId="57" applyNumberFormat="1" applyFont="1" applyBorder="1" applyAlignment="1">
      <alignment vertical="center"/>
      <protection/>
    </xf>
    <xf numFmtId="0" fontId="18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2" fillId="0" borderId="0" xfId="57" applyFont="1" applyAlignment="1">
      <alignment horizontal="right" indent="1"/>
      <protection/>
    </xf>
    <xf numFmtId="0" fontId="24" fillId="0" borderId="56" xfId="57" applyFont="1" applyBorder="1" applyAlignment="1">
      <alignment vertical="top"/>
      <protection/>
    </xf>
    <xf numFmtId="3" fontId="0" fillId="40" borderId="12" xfId="57" applyNumberFormat="1" applyFont="1" applyFill="1" applyBorder="1" applyAlignment="1" applyProtection="1">
      <alignment vertical="center"/>
      <protection locked="0"/>
    </xf>
    <xf numFmtId="0" fontId="24" fillId="0" borderId="174" xfId="57" applyFont="1" applyBorder="1" applyAlignment="1">
      <alignment vertical="top"/>
      <protection/>
    </xf>
    <xf numFmtId="0" fontId="1" fillId="0" borderId="0" xfId="57" applyFont="1" applyAlignment="1">
      <alignment horizontal="right"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3" fontId="34" fillId="0" borderId="173" xfId="0" applyNumberFormat="1" applyFont="1" applyBorder="1" applyAlignment="1">
      <alignment horizontal="right"/>
    </xf>
    <xf numFmtId="3" fontId="35" fillId="0" borderId="89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175" fontId="35" fillId="0" borderId="181" xfId="46" applyNumberFormat="1" applyFont="1" applyBorder="1" applyAlignment="1">
      <alignment/>
    </xf>
    <xf numFmtId="0" fontId="35" fillId="0" borderId="0" xfId="0" applyFont="1" applyAlignment="1">
      <alignment/>
    </xf>
    <xf numFmtId="3" fontId="35" fillId="0" borderId="79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center"/>
    </xf>
    <xf numFmtId="175" fontId="35" fillId="0" borderId="80" xfId="46" applyNumberFormat="1" applyFont="1" applyBorder="1" applyAlignment="1">
      <alignment/>
    </xf>
    <xf numFmtId="3" fontId="35" fillId="0" borderId="182" xfId="0" applyNumberFormat="1" applyFont="1" applyBorder="1" applyAlignment="1">
      <alignment horizontal="center"/>
    </xf>
    <xf numFmtId="3" fontId="35" fillId="0" borderId="14" xfId="0" applyNumberFormat="1" applyFont="1" applyBorder="1" applyAlignment="1">
      <alignment horizontal="center"/>
    </xf>
    <xf numFmtId="3" fontId="35" fillId="0" borderId="183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175" fontId="35" fillId="36" borderId="80" xfId="46" applyNumberFormat="1" applyFont="1" applyFill="1" applyBorder="1" applyAlignment="1">
      <alignment/>
    </xf>
    <xf numFmtId="3" fontId="18" fillId="0" borderId="183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75" fontId="18" fillId="0" borderId="80" xfId="46" applyNumberFormat="1" applyFont="1" applyBorder="1" applyAlignment="1">
      <alignment/>
    </xf>
    <xf numFmtId="3" fontId="34" fillId="0" borderId="183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center"/>
    </xf>
    <xf numFmtId="175" fontId="34" fillId="0" borderId="80" xfId="46" applyNumberFormat="1" applyFont="1" applyBorder="1" applyAlignment="1">
      <alignment/>
    </xf>
    <xf numFmtId="0" fontId="34" fillId="0" borderId="0" xfId="0" applyFont="1" applyAlignment="1">
      <alignment/>
    </xf>
    <xf numFmtId="175" fontId="34" fillId="40" borderId="80" xfId="46" applyNumberFormat="1" applyFont="1" applyFill="1" applyBorder="1" applyAlignment="1">
      <alignment/>
    </xf>
    <xf numFmtId="3" fontId="24" fillId="0" borderId="183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175" fontId="24" fillId="0" borderId="80" xfId="46" applyNumberFormat="1" applyFont="1" applyBorder="1" applyAlignment="1">
      <alignment/>
    </xf>
    <xf numFmtId="0" fontId="24" fillId="0" borderId="0" xfId="0" applyFont="1" applyAlignment="1">
      <alignment vertical="center" wrapText="1"/>
    </xf>
    <xf numFmtId="3" fontId="18" fillId="0" borderId="183" xfId="0" applyNumberFormat="1" applyFont="1" applyBorder="1" applyAlignment="1">
      <alignment horizontal="left" vertical="center" wrapText="1"/>
    </xf>
    <xf numFmtId="3" fontId="18" fillId="0" borderId="12" xfId="0" applyNumberFormat="1" applyFont="1" applyBorder="1" applyAlignment="1">
      <alignment horizontal="left" vertical="center" wrapText="1"/>
    </xf>
    <xf numFmtId="175" fontId="18" fillId="0" borderId="80" xfId="46" applyNumberFormat="1" applyFont="1" applyBorder="1" applyAlignment="1">
      <alignment horizontal="left"/>
    </xf>
    <xf numFmtId="0" fontId="18" fillId="0" borderId="0" xfId="0" applyFont="1" applyAlignment="1">
      <alignment horizontal="left" vertical="center" wrapText="1"/>
    </xf>
    <xf numFmtId="3" fontId="34" fillId="0" borderId="183" xfId="0" applyNumberFormat="1" applyFont="1" applyBorder="1" applyAlignment="1">
      <alignment horizontal="left" vertical="center" wrapText="1"/>
    </xf>
    <xf numFmtId="3" fontId="34" fillId="0" borderId="12" xfId="0" applyNumberFormat="1" applyFont="1" applyBorder="1" applyAlignment="1">
      <alignment horizontal="left" vertical="center" wrapText="1"/>
    </xf>
    <xf numFmtId="175" fontId="35" fillId="0" borderId="80" xfId="46" applyNumberFormat="1" applyFont="1" applyBorder="1" applyAlignment="1">
      <alignment horizontal="left"/>
    </xf>
    <xf numFmtId="0" fontId="34" fillId="0" borderId="0" xfId="0" applyFont="1" applyAlignment="1">
      <alignment horizontal="left" vertical="center" wrapText="1"/>
    </xf>
    <xf numFmtId="3" fontId="24" fillId="0" borderId="183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3" fontId="0" fillId="0" borderId="184" xfId="0" applyNumberFormat="1" applyBorder="1" applyAlignment="1">
      <alignment horizontal="left" vertical="center"/>
    </xf>
    <xf numFmtId="3" fontId="0" fillId="0" borderId="185" xfId="0" applyNumberFormat="1" applyBorder="1" applyAlignment="1">
      <alignment horizontal="left" vertical="center"/>
    </xf>
    <xf numFmtId="3" fontId="0" fillId="0" borderId="155" xfId="0" applyNumberFormat="1" applyBorder="1" applyAlignment="1">
      <alignment horizontal="left" vertical="center"/>
    </xf>
    <xf numFmtId="3" fontId="0" fillId="0" borderId="156" xfId="0" applyNumberFormat="1" applyBorder="1" applyAlignment="1">
      <alignment horizontal="left" vertical="center"/>
    </xf>
    <xf numFmtId="3" fontId="24" fillId="0" borderId="12" xfId="0" applyNumberFormat="1" applyFont="1" applyBorder="1" applyAlignment="1">
      <alignment horizontal="center"/>
    </xf>
    <xf numFmtId="175" fontId="24" fillId="0" borderId="80" xfId="46" applyNumberFormat="1" applyFont="1" applyBorder="1" applyAlignment="1">
      <alignment horizontal="right"/>
    </xf>
    <xf numFmtId="175" fontId="35" fillId="0" borderId="11" xfId="46" applyNumberFormat="1" applyFont="1" applyBorder="1" applyAlignment="1">
      <alignment horizontal="left"/>
    </xf>
    <xf numFmtId="175" fontId="35" fillId="0" borderId="29" xfId="46" applyNumberFormat="1" applyFont="1" applyBorder="1" applyAlignment="1">
      <alignment horizontal="left"/>
    </xf>
    <xf numFmtId="175" fontId="31" fillId="0" borderId="80" xfId="46" applyNumberFormat="1" applyFont="1" applyBorder="1" applyAlignment="1">
      <alignment/>
    </xf>
    <xf numFmtId="175" fontId="24" fillId="0" borderId="12" xfId="46" applyNumberFormat="1" applyFont="1" applyBorder="1" applyAlignment="1">
      <alignment/>
    </xf>
    <xf numFmtId="3" fontId="35" fillId="0" borderId="186" xfId="0" applyNumberFormat="1" applyFont="1" applyBorder="1" applyAlignment="1">
      <alignment horizontal="center"/>
    </xf>
    <xf numFmtId="175" fontId="35" fillId="0" borderId="21" xfId="46" applyNumberFormat="1" applyFont="1" applyBorder="1" applyAlignment="1">
      <alignment/>
    </xf>
    <xf numFmtId="175" fontId="35" fillId="0" borderId="30" xfId="46" applyNumberFormat="1" applyFont="1" applyBorder="1" applyAlignment="1">
      <alignment horizontal="left" wrapText="1"/>
    </xf>
    <xf numFmtId="175" fontId="35" fillId="0" borderId="31" xfId="46" applyNumberFormat="1" applyFont="1" applyBorder="1" applyAlignment="1">
      <alignment horizontal="left"/>
    </xf>
    <xf numFmtId="175" fontId="35" fillId="0" borderId="90" xfId="46" applyNumberFormat="1" applyFont="1" applyBorder="1" applyAlignment="1">
      <alignment/>
    </xf>
    <xf numFmtId="175" fontId="35" fillId="0" borderId="30" xfId="46" applyNumberFormat="1" applyFont="1" applyBorder="1" applyAlignment="1">
      <alignment horizontal="left"/>
    </xf>
    <xf numFmtId="3" fontId="24" fillId="0" borderId="186" xfId="0" applyNumberFormat="1" applyFont="1" applyBorder="1" applyAlignment="1">
      <alignment horizontal="center"/>
    </xf>
    <xf numFmtId="175" fontId="24" fillId="0" borderId="21" xfId="46" applyNumberFormat="1" applyFont="1" applyBorder="1" applyAlignment="1">
      <alignment horizontal="center"/>
    </xf>
    <xf numFmtId="175" fontId="24" fillId="0" borderId="90" xfId="46" applyNumberFormat="1" applyFont="1" applyBorder="1" applyAlignment="1">
      <alignment/>
    </xf>
    <xf numFmtId="3" fontId="20" fillId="0" borderId="112" xfId="0" applyNumberFormat="1" applyFont="1" applyBorder="1" applyAlignment="1">
      <alignment horizontal="center"/>
    </xf>
    <xf numFmtId="175" fontId="20" fillId="0" borderId="52" xfId="46" applyNumberFormat="1" applyFont="1" applyBorder="1" applyAlignment="1">
      <alignment horizontal="center"/>
    </xf>
    <xf numFmtId="175" fontId="20" fillId="0" borderId="75" xfId="46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18" fillId="0" borderId="128" xfId="0" applyNumberFormat="1" applyFont="1" applyBorder="1" applyAlignment="1">
      <alignment horizontal="center"/>
    </xf>
    <xf numFmtId="175" fontId="18" fillId="0" borderId="77" xfId="46" applyNumberFormat="1" applyFont="1" applyBorder="1" applyAlignment="1">
      <alignment horizontal="center"/>
    </xf>
    <xf numFmtId="175" fontId="18" fillId="0" borderId="72" xfId="46" applyNumberFormat="1" applyFont="1" applyBorder="1" applyAlignment="1">
      <alignment/>
    </xf>
    <xf numFmtId="3" fontId="27" fillId="0" borderId="116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175" fontId="18" fillId="40" borderId="90" xfId="46" applyNumberFormat="1" applyFont="1" applyFill="1" applyBorder="1" applyAlignment="1">
      <alignment/>
    </xf>
    <xf numFmtId="0" fontId="27" fillId="0" borderId="0" xfId="0" applyFont="1" applyAlignment="1">
      <alignment/>
    </xf>
    <xf numFmtId="3" fontId="27" fillId="0" borderId="105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175" fontId="26" fillId="40" borderId="87" xfId="46" applyNumberFormat="1" applyFont="1" applyFill="1" applyBorder="1" applyAlignment="1">
      <alignment/>
    </xf>
    <xf numFmtId="3" fontId="18" fillId="0" borderId="105" xfId="0" applyNumberFormat="1" applyFont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87" xfId="0" applyNumberFormat="1" applyFont="1" applyBorder="1" applyAlignment="1">
      <alignment horizontal="center" vertical="center"/>
    </xf>
    <xf numFmtId="3" fontId="20" fillId="0" borderId="163" xfId="0" applyNumberFormat="1" applyFont="1" applyBorder="1" applyAlignment="1">
      <alignment horizontal="center"/>
    </xf>
    <xf numFmtId="3" fontId="20" fillId="0" borderId="164" xfId="0" applyNumberFormat="1" applyFont="1" applyBorder="1" applyAlignment="1">
      <alignment horizontal="center"/>
    </xf>
    <xf numFmtId="175" fontId="20" fillId="0" borderId="96" xfId="46" applyNumberFormat="1" applyFont="1" applyBorder="1" applyAlignment="1">
      <alignment horizontal="right"/>
    </xf>
    <xf numFmtId="3" fontId="22" fillId="37" borderId="102" xfId="0" applyNumberFormat="1" applyFont="1" applyFill="1" applyBorder="1" applyAlignment="1">
      <alignment/>
    </xf>
    <xf numFmtId="3" fontId="22" fillId="37" borderId="103" xfId="0" applyNumberFormat="1" applyFont="1" applyFill="1" applyBorder="1" applyAlignment="1">
      <alignment/>
    </xf>
    <xf numFmtId="0" fontId="37" fillId="0" borderId="0" xfId="0" applyFont="1" applyAlignment="1">
      <alignment/>
    </xf>
    <xf numFmtId="3" fontId="24" fillId="0" borderId="16" xfId="0" applyNumberFormat="1" applyFont="1" applyBorder="1" applyAlignment="1">
      <alignment horizontal="center"/>
    </xf>
    <xf numFmtId="3" fontId="24" fillId="0" borderId="32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/>
    </xf>
    <xf numFmtId="3" fontId="24" fillId="0" borderId="13" xfId="0" applyNumberFormat="1" applyFont="1" applyBorder="1" applyAlignment="1">
      <alignment horizontal="center"/>
    </xf>
    <xf numFmtId="3" fontId="24" fillId="0" borderId="28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/>
    </xf>
    <xf numFmtId="3" fontId="18" fillId="0" borderId="29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24" fillId="0" borderId="29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left" wrapText="1"/>
    </xf>
    <xf numFmtId="3" fontId="35" fillId="0" borderId="13" xfId="0" applyNumberFormat="1" applyFont="1" applyBorder="1" applyAlignment="1">
      <alignment horizontal="center"/>
    </xf>
    <xf numFmtId="3" fontId="35" fillId="0" borderId="29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right" wrapText="1"/>
    </xf>
    <xf numFmtId="3" fontId="3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3" fontId="35" fillId="0" borderId="13" xfId="0" applyNumberFormat="1" applyFont="1" applyBorder="1" applyAlignment="1">
      <alignment horizontal="right"/>
    </xf>
    <xf numFmtId="3" fontId="35" fillId="0" borderId="29" xfId="0" applyNumberFormat="1" applyFont="1" applyBorder="1" applyAlignment="1">
      <alignment horizontal="right"/>
    </xf>
    <xf numFmtId="3" fontId="35" fillId="40" borderId="12" xfId="0" applyNumberFormat="1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3" fontId="24" fillId="40" borderId="12" xfId="0" applyNumberFormat="1" applyFont="1" applyFill="1" applyBorder="1" applyAlignment="1">
      <alignment/>
    </xf>
    <xf numFmtId="3" fontId="26" fillId="0" borderId="13" xfId="0" applyNumberFormat="1" applyFont="1" applyBorder="1" applyAlignment="1">
      <alignment horizontal="center"/>
    </xf>
    <xf numFmtId="3" fontId="26" fillId="0" borderId="29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/>
    </xf>
    <xf numFmtId="3" fontId="26" fillId="40" borderId="12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wrapText="1"/>
    </xf>
    <xf numFmtId="3" fontId="18" fillId="0" borderId="0" xfId="0" applyNumberFormat="1" applyFont="1" applyAlignment="1">
      <alignment/>
    </xf>
    <xf numFmtId="3" fontId="24" fillId="0" borderId="13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18" fillId="0" borderId="2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3" fontId="18" fillId="0" borderId="16" xfId="0" applyNumberFormat="1" applyFont="1" applyBorder="1" applyAlignment="1">
      <alignment horizontal="center"/>
    </xf>
    <xf numFmtId="3" fontId="18" fillId="0" borderId="65" xfId="0" applyNumberFormat="1" applyFont="1" applyBorder="1" applyAlignment="1">
      <alignment/>
    </xf>
    <xf numFmtId="3" fontId="0" fillId="40" borderId="56" xfId="0" applyNumberFormat="1" applyFill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wrapText="1"/>
    </xf>
    <xf numFmtId="3" fontId="18" fillId="0" borderId="21" xfId="0" applyNumberFormat="1" applyFont="1" applyBorder="1" applyAlignment="1">
      <alignment horizontal="center"/>
    </xf>
    <xf numFmtId="3" fontId="18" fillId="0" borderId="155" xfId="0" applyNumberFormat="1" applyFont="1" applyBorder="1" applyAlignment="1">
      <alignment/>
    </xf>
    <xf numFmtId="3" fontId="27" fillId="33" borderId="187" xfId="0" applyNumberFormat="1" applyFont="1" applyFill="1" applyBorder="1" applyAlignment="1">
      <alignment/>
    </xf>
    <xf numFmtId="3" fontId="26" fillId="0" borderId="13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3" fontId="26" fillId="52" borderId="12" xfId="0" applyNumberFormat="1" applyFont="1" applyFill="1" applyBorder="1" applyAlignment="1">
      <alignment horizontal="right"/>
    </xf>
    <xf numFmtId="0" fontId="8" fillId="0" borderId="89" xfId="0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177" fontId="8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3" fontId="0" fillId="40" borderId="0" xfId="0" applyNumberForma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8" fillId="36" borderId="68" xfId="0" applyFont="1" applyFill="1" applyBorder="1" applyAlignment="1">
      <alignment horizontal="right"/>
    </xf>
    <xf numFmtId="0" fontId="8" fillId="0" borderId="188" xfId="0" applyFont="1" applyBorder="1" applyAlignment="1">
      <alignment horizontal="right"/>
    </xf>
    <xf numFmtId="0" fontId="82" fillId="36" borderId="26" xfId="0" applyFont="1" applyFill="1" applyBorder="1" applyAlignment="1">
      <alignment horizontal="center"/>
    </xf>
    <xf numFmtId="3" fontId="82" fillId="0" borderId="11" xfId="0" applyNumberFormat="1" applyFont="1" applyBorder="1" applyAlignment="1">
      <alignment/>
    </xf>
    <xf numFmtId="175" fontId="63" fillId="36" borderId="21" xfId="46" applyNumberFormat="1" applyFont="1" applyFill="1" applyBorder="1" applyAlignment="1">
      <alignment vertical="center"/>
    </xf>
    <xf numFmtId="175" fontId="63" fillId="48" borderId="21" xfId="46" applyNumberFormat="1" applyFont="1" applyFill="1" applyBorder="1" applyAlignment="1">
      <alignment vertical="center"/>
    </xf>
    <xf numFmtId="175" fontId="0" fillId="48" borderId="21" xfId="46" applyNumberFormat="1" applyFill="1" applyBorder="1" applyAlignment="1">
      <alignment vertical="center"/>
    </xf>
    <xf numFmtId="175" fontId="0" fillId="48" borderId="21" xfId="46" applyNumberFormat="1" applyFill="1" applyBorder="1" applyAlignment="1">
      <alignment vertical="center"/>
    </xf>
    <xf numFmtId="0" fontId="0" fillId="36" borderId="155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175" fontId="82" fillId="48" borderId="56" xfId="46" applyNumberFormat="1" applyFont="1" applyFill="1" applyBorder="1" applyAlignment="1">
      <alignment/>
    </xf>
    <xf numFmtId="0" fontId="0" fillId="40" borderId="162" xfId="0" applyFill="1" applyBorder="1" applyAlignment="1">
      <alignment/>
    </xf>
    <xf numFmtId="0" fontId="0" fillId="40" borderId="56" xfId="0" applyFill="1" applyBorder="1" applyAlignment="1">
      <alignment wrapText="1"/>
    </xf>
    <xf numFmtId="0" fontId="0" fillId="36" borderId="64" xfId="0" applyFill="1" applyBorder="1" applyAlignment="1">
      <alignment horizontal="center"/>
    </xf>
    <xf numFmtId="175" fontId="82" fillId="48" borderId="156" xfId="46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 horizontal="right"/>
    </xf>
    <xf numFmtId="175" fontId="2" fillId="36" borderId="34" xfId="46" applyNumberFormat="1" applyFont="1" applyFill="1" applyBorder="1" applyAlignment="1">
      <alignment/>
    </xf>
    <xf numFmtId="175" fontId="2" fillId="48" borderId="34" xfId="46" applyNumberFormat="1" applyFont="1" applyFill="1" applyBorder="1" applyAlignment="1">
      <alignment/>
    </xf>
    <xf numFmtId="175" fontId="2" fillId="40" borderId="29" xfId="46" applyNumberFormat="1" applyFont="1" applyFill="1" applyBorder="1" applyAlignment="1">
      <alignment/>
    </xf>
    <xf numFmtId="175" fontId="77" fillId="40" borderId="14" xfId="46" applyNumberFormat="1" applyFont="1" applyFill="1" applyBorder="1" applyAlignment="1">
      <alignment/>
    </xf>
    <xf numFmtId="3" fontId="82" fillId="40" borderId="21" xfId="0" applyNumberFormat="1" applyFont="1" applyFill="1" applyBorder="1" applyAlignment="1">
      <alignment/>
    </xf>
    <xf numFmtId="175" fontId="82" fillId="40" borderId="29" xfId="46" applyNumberFormat="1" applyFont="1" applyFill="1" applyBorder="1" applyAlignment="1">
      <alignment/>
    </xf>
    <xf numFmtId="0" fontId="87" fillId="0" borderId="0" xfId="0" applyFont="1" applyAlignment="1">
      <alignment/>
    </xf>
    <xf numFmtId="175" fontId="0" fillId="40" borderId="29" xfId="46" applyNumberFormat="1" applyFill="1" applyBorder="1" applyAlignment="1">
      <alignment/>
    </xf>
    <xf numFmtId="3" fontId="82" fillId="40" borderId="56" xfId="0" applyNumberFormat="1" applyFont="1" applyFill="1" applyBorder="1" applyAlignment="1">
      <alignment/>
    </xf>
    <xf numFmtId="0" fontId="82" fillId="40" borderId="56" xfId="0" applyFont="1" applyFill="1" applyBorder="1" applyAlignment="1">
      <alignment wrapText="1"/>
    </xf>
    <xf numFmtId="175" fontId="82" fillId="40" borderId="56" xfId="46" applyNumberFormat="1" applyFont="1" applyFill="1" applyBorder="1" applyAlignment="1">
      <alignment/>
    </xf>
    <xf numFmtId="175" fontId="0" fillId="40" borderId="56" xfId="46" applyNumberFormat="1" applyFill="1" applyBorder="1" applyAlignment="1">
      <alignment/>
    </xf>
    <xf numFmtId="3" fontId="82" fillId="40" borderId="56" xfId="0" applyNumberFormat="1" applyFont="1" applyFill="1" applyBorder="1" applyAlignment="1">
      <alignment/>
    </xf>
    <xf numFmtId="3" fontId="0" fillId="0" borderId="65" xfId="0" applyNumberFormat="1" applyBorder="1" applyAlignment="1">
      <alignment wrapText="1"/>
    </xf>
    <xf numFmtId="3" fontId="18" fillId="0" borderId="29" xfId="0" applyNumberFormat="1" applyFont="1" applyBorder="1" applyAlignment="1">
      <alignment/>
    </xf>
    <xf numFmtId="3" fontId="18" fillId="33" borderId="64" xfId="0" applyNumberFormat="1" applyFont="1" applyFill="1" applyBorder="1" applyAlignment="1">
      <alignment horizontal="center"/>
    </xf>
    <xf numFmtId="3" fontId="18" fillId="41" borderId="64" xfId="0" applyNumberFormat="1" applyFont="1" applyFill="1" applyBorder="1" applyAlignment="1">
      <alignment wrapText="1"/>
    </xf>
    <xf numFmtId="3" fontId="18" fillId="33" borderId="64" xfId="0" applyNumberFormat="1" applyFont="1" applyFill="1" applyBorder="1" applyAlignment="1">
      <alignment/>
    </xf>
    <xf numFmtId="177" fontId="5" fillId="37" borderId="145" xfId="0" applyNumberFormat="1" applyFont="1" applyFill="1" applyBorder="1" applyAlignment="1">
      <alignment/>
    </xf>
    <xf numFmtId="3" fontId="15" fillId="37" borderId="52" xfId="0" applyNumberFormat="1" applyFont="1" applyFill="1" applyBorder="1" applyAlignment="1">
      <alignment wrapText="1"/>
    </xf>
    <xf numFmtId="3" fontId="5" fillId="37" borderId="145" xfId="0" applyNumberFormat="1" applyFont="1" applyFill="1" applyBorder="1" applyAlignment="1">
      <alignment horizontal="center"/>
    </xf>
    <xf numFmtId="3" fontId="5" fillId="37" borderId="145" xfId="0" applyNumberFormat="1" applyFont="1" applyFill="1" applyBorder="1" applyAlignment="1">
      <alignment wrapText="1"/>
    </xf>
    <xf numFmtId="175" fontId="5" fillId="37" borderId="167" xfId="46" applyNumberFormat="1" applyFont="1" applyFill="1" applyBorder="1" applyAlignment="1">
      <alignment/>
    </xf>
    <xf numFmtId="3" fontId="0" fillId="0" borderId="56" xfId="0" applyNumberForma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0" fillId="0" borderId="64" xfId="0" applyNumberFormat="1" applyBorder="1" applyAlignment="1">
      <alignment vertical="center"/>
    </xf>
    <xf numFmtId="3" fontId="0" fillId="36" borderId="31" xfId="0" applyNumberFormat="1" applyFill="1" applyBorder="1" applyAlignment="1">
      <alignment/>
    </xf>
    <xf numFmtId="3" fontId="0" fillId="36" borderId="68" xfId="0" applyNumberFormat="1" applyFill="1" applyBorder="1" applyAlignment="1">
      <alignment/>
    </xf>
    <xf numFmtId="0" fontId="8" fillId="36" borderId="56" xfId="0" applyFont="1" applyFill="1" applyBorder="1" applyAlignment="1">
      <alignment/>
    </xf>
    <xf numFmtId="175" fontId="0" fillId="0" borderId="56" xfId="0" applyNumberFormat="1" applyBorder="1" applyAlignment="1">
      <alignment/>
    </xf>
    <xf numFmtId="0" fontId="2" fillId="0" borderId="130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175" fontId="0" fillId="0" borderId="67" xfId="46" applyNumberFormat="1" applyBorder="1" applyAlignment="1">
      <alignment horizontal="center" vertical="center" wrapText="1"/>
    </xf>
    <xf numFmtId="175" fontId="1" fillId="0" borderId="67" xfId="46" applyNumberFormat="1" applyFont="1" applyBorder="1" applyAlignment="1">
      <alignment horizontal="center" vertical="center" wrapText="1"/>
    </xf>
    <xf numFmtId="175" fontId="5" fillId="0" borderId="67" xfId="0" applyNumberFormat="1" applyFont="1" applyBorder="1" applyAlignment="1">
      <alignment horizontal="center" vertical="center" wrapText="1"/>
    </xf>
    <xf numFmtId="175" fontId="5" fillId="0" borderId="67" xfId="46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175" fontId="5" fillId="0" borderId="190" xfId="46" applyNumberFormat="1" applyFont="1" applyBorder="1" applyAlignment="1">
      <alignment horizontal="center" vertical="center"/>
    </xf>
    <xf numFmtId="175" fontId="0" fillId="0" borderId="69" xfId="46" applyNumberFormat="1" applyBorder="1" applyAlignment="1">
      <alignment horizontal="center" vertical="center"/>
    </xf>
    <xf numFmtId="175" fontId="0" fillId="0" borderId="190" xfId="46" applyNumberFormat="1" applyBorder="1" applyAlignment="1">
      <alignment horizontal="center" vertical="center"/>
    </xf>
    <xf numFmtId="175" fontId="5" fillId="50" borderId="190" xfId="46" applyNumberFormat="1" applyFont="1" applyFill="1" applyBorder="1" applyAlignment="1">
      <alignment horizontal="center" vertical="center"/>
    </xf>
    <xf numFmtId="175" fontId="0" fillId="0" borderId="69" xfId="46" applyNumberFormat="1" applyBorder="1" applyAlignment="1">
      <alignment/>
    </xf>
    <xf numFmtId="175" fontId="2" fillId="0" borderId="69" xfId="46" applyNumberFormat="1" applyFont="1" applyBorder="1" applyAlignment="1">
      <alignment/>
    </xf>
    <xf numFmtId="175" fontId="5" fillId="50" borderId="191" xfId="0" applyNumberFormat="1" applyFont="1" applyFill="1" applyBorder="1" applyAlignment="1">
      <alignment/>
    </xf>
    <xf numFmtId="175" fontId="0" fillId="0" borderId="67" xfId="46" applyNumberFormat="1" applyBorder="1" applyAlignment="1">
      <alignment/>
    </xf>
    <xf numFmtId="175" fontId="0" fillId="0" borderId="189" xfId="46" applyNumberFormat="1" applyBorder="1" applyAlignment="1">
      <alignment/>
    </xf>
    <xf numFmtId="175" fontId="5" fillId="50" borderId="190" xfId="0" applyNumberFormat="1" applyFont="1" applyFill="1" applyBorder="1" applyAlignment="1">
      <alignment/>
    </xf>
    <xf numFmtId="175" fontId="0" fillId="0" borderId="105" xfId="46" applyNumberFormat="1" applyBorder="1" applyAlignment="1">
      <alignment horizontal="center" vertical="center" wrapText="1"/>
    </xf>
    <xf numFmtId="175" fontId="0" fillId="0" borderId="87" xfId="46" applyNumberFormat="1" applyBorder="1" applyAlignment="1">
      <alignment horizontal="center" vertical="center" wrapText="1"/>
    </xf>
    <xf numFmtId="175" fontId="1" fillId="0" borderId="105" xfId="46" applyNumberFormat="1" applyFont="1" applyBorder="1" applyAlignment="1">
      <alignment horizontal="center" vertical="center" wrapText="1"/>
    </xf>
    <xf numFmtId="175" fontId="1" fillId="0" borderId="87" xfId="46" applyNumberFormat="1" applyFont="1" applyBorder="1" applyAlignment="1">
      <alignment horizontal="center" vertical="center" wrapText="1"/>
    </xf>
    <xf numFmtId="175" fontId="5" fillId="0" borderId="105" xfId="0" applyNumberFormat="1" applyFont="1" applyBorder="1" applyAlignment="1">
      <alignment horizontal="center" vertical="center" wrapText="1"/>
    </xf>
    <xf numFmtId="175" fontId="5" fillId="0" borderId="87" xfId="0" applyNumberFormat="1" applyFont="1" applyBorder="1" applyAlignment="1">
      <alignment horizontal="center" vertical="center" wrapText="1"/>
    </xf>
    <xf numFmtId="175" fontId="5" fillId="0" borderId="105" xfId="46" applyNumberFormat="1" applyFont="1" applyBorder="1" applyAlignment="1">
      <alignment horizontal="center" vertical="center" wrapText="1"/>
    </xf>
    <xf numFmtId="175" fontId="5" fillId="0" borderId="87" xfId="46" applyNumberFormat="1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175" fontId="5" fillId="0" borderId="114" xfId="46" applyNumberFormat="1" applyFont="1" applyBorder="1" applyAlignment="1">
      <alignment horizontal="center" vertical="center"/>
    </xf>
    <xf numFmtId="175" fontId="0" fillId="0" borderId="106" xfId="46" applyNumberFormat="1" applyBorder="1" applyAlignment="1">
      <alignment horizontal="center" vertical="center"/>
    </xf>
    <xf numFmtId="175" fontId="0" fillId="0" borderId="93" xfId="46" applyNumberFormat="1" applyBorder="1" applyAlignment="1">
      <alignment horizontal="center" vertical="center"/>
    </xf>
    <xf numFmtId="175" fontId="0" fillId="0" borderId="105" xfId="46" applyNumberFormat="1" applyBorder="1" applyAlignment="1">
      <alignment horizontal="center" vertical="center"/>
    </xf>
    <xf numFmtId="175" fontId="0" fillId="0" borderId="107" xfId="46" applyNumberFormat="1" applyBorder="1" applyAlignment="1">
      <alignment horizontal="center" vertical="center"/>
    </xf>
    <xf numFmtId="175" fontId="0" fillId="0" borderId="114" xfId="46" applyNumberFormat="1" applyBorder="1" applyAlignment="1">
      <alignment horizontal="center" vertical="center"/>
    </xf>
    <xf numFmtId="175" fontId="0" fillId="0" borderId="94" xfId="46" applyNumberFormat="1" applyBorder="1" applyAlignment="1">
      <alignment horizontal="center" vertical="center"/>
    </xf>
    <xf numFmtId="175" fontId="5" fillId="50" borderId="114" xfId="46" applyNumberFormat="1" applyFont="1" applyFill="1" applyBorder="1" applyAlignment="1">
      <alignment horizontal="center" vertical="center"/>
    </xf>
    <xf numFmtId="175" fontId="0" fillId="0" borderId="106" xfId="46" applyNumberFormat="1" applyBorder="1" applyAlignment="1">
      <alignment/>
    </xf>
    <xf numFmtId="175" fontId="0" fillId="0" borderId="93" xfId="46" applyNumberFormat="1" applyBorder="1" applyAlignment="1">
      <alignment/>
    </xf>
    <xf numFmtId="0" fontId="0" fillId="0" borderId="105" xfId="0" applyBorder="1" applyAlignment="1">
      <alignment/>
    </xf>
    <xf numFmtId="0" fontId="8" fillId="0" borderId="105" xfId="0" applyFont="1" applyBorder="1" applyAlignment="1">
      <alignment/>
    </xf>
    <xf numFmtId="175" fontId="2" fillId="0" borderId="105" xfId="46" applyNumberFormat="1" applyFont="1" applyBorder="1" applyAlignment="1">
      <alignment/>
    </xf>
    <xf numFmtId="175" fontId="5" fillId="50" borderId="165" xfId="0" applyNumberFormat="1" applyFont="1" applyFill="1" applyBorder="1" applyAlignment="1">
      <alignment/>
    </xf>
    <xf numFmtId="175" fontId="0" fillId="0" borderId="105" xfId="46" applyNumberFormat="1" applyBorder="1" applyAlignment="1">
      <alignment/>
    </xf>
    <xf numFmtId="175" fontId="0" fillId="0" borderId="107" xfId="46" applyNumberFormat="1" applyBorder="1" applyAlignment="1">
      <alignment/>
    </xf>
    <xf numFmtId="175" fontId="0" fillId="0" borderId="95" xfId="46" applyNumberFormat="1" applyBorder="1" applyAlignment="1">
      <alignment/>
    </xf>
    <xf numFmtId="175" fontId="5" fillId="50" borderId="114" xfId="0" applyNumberFormat="1" applyFont="1" applyFill="1" applyBorder="1" applyAlignment="1">
      <alignment/>
    </xf>
    <xf numFmtId="0" fontId="2" fillId="0" borderId="190" xfId="0" applyFont="1" applyBorder="1" applyAlignment="1">
      <alignment horizontal="center" vertical="center" wrapText="1"/>
    </xf>
    <xf numFmtId="175" fontId="2" fillId="0" borderId="177" xfId="46" applyNumberFormat="1" applyFont="1" applyBorder="1" applyAlignment="1">
      <alignment horizontal="center" vertical="center"/>
    </xf>
    <xf numFmtId="175" fontId="8" fillId="0" borderId="69" xfId="46" applyNumberFormat="1" applyFont="1" applyBorder="1" applyAlignment="1">
      <alignment horizontal="center" vertical="center"/>
    </xf>
    <xf numFmtId="175" fontId="8" fillId="0" borderId="67" xfId="46" applyNumberFormat="1" applyFont="1" applyBorder="1" applyAlignment="1">
      <alignment horizontal="center" vertical="center"/>
    </xf>
    <xf numFmtId="0" fontId="8" fillId="0" borderId="67" xfId="0" applyFont="1" applyBorder="1" applyAlignment="1">
      <alignment/>
    </xf>
    <xf numFmtId="0" fontId="8" fillId="0" borderId="189" xfId="0" applyFont="1" applyBorder="1" applyAlignment="1">
      <alignment/>
    </xf>
    <xf numFmtId="175" fontId="2" fillId="0" borderId="114" xfId="46" applyNumberFormat="1" applyFont="1" applyBorder="1" applyAlignment="1">
      <alignment horizontal="center" vertical="center"/>
    </xf>
    <xf numFmtId="175" fontId="8" fillId="40" borderId="106" xfId="46" applyNumberFormat="1" applyFont="1" applyFill="1" applyBorder="1" applyAlignment="1">
      <alignment horizontal="center" vertical="center" wrapText="1"/>
    </xf>
    <xf numFmtId="175" fontId="8" fillId="0" borderId="93" xfId="46" applyNumberFormat="1" applyFont="1" applyBorder="1" applyAlignment="1">
      <alignment horizontal="center" vertical="center"/>
    </xf>
    <xf numFmtId="175" fontId="8" fillId="40" borderId="105" xfId="46" applyNumberFormat="1" applyFont="1" applyFill="1" applyBorder="1" applyAlignment="1">
      <alignment horizontal="center" vertical="center" wrapText="1"/>
    </xf>
    <xf numFmtId="175" fontId="8" fillId="0" borderId="87" xfId="46" applyNumberFormat="1" applyFont="1" applyBorder="1" applyAlignment="1">
      <alignment horizontal="center" vertical="center"/>
    </xf>
    <xf numFmtId="175" fontId="2" fillId="0" borderId="106" xfId="46" applyNumberFormat="1" applyFont="1" applyBorder="1" applyAlignment="1">
      <alignment/>
    </xf>
    <xf numFmtId="175" fontId="2" fillId="0" borderId="105" xfId="0" applyNumberFormat="1" applyFont="1" applyBorder="1" applyAlignment="1">
      <alignment/>
    </xf>
    <xf numFmtId="175" fontId="8" fillId="0" borderId="105" xfId="46" applyNumberFormat="1" applyFont="1" applyBorder="1" applyAlignment="1">
      <alignment/>
    </xf>
    <xf numFmtId="0" fontId="8" fillId="0" borderId="87" xfId="0" applyFont="1" applyBorder="1" applyAlignment="1">
      <alignment/>
    </xf>
    <xf numFmtId="0" fontId="8" fillId="0" borderId="107" xfId="0" applyFont="1" applyBorder="1" applyAlignment="1">
      <alignment/>
    </xf>
    <xf numFmtId="0" fontId="8" fillId="0" borderId="95" xfId="0" applyFont="1" applyBorder="1" applyAlignment="1">
      <alignment/>
    </xf>
    <xf numFmtId="0" fontId="2" fillId="0" borderId="192" xfId="0" applyFont="1" applyBorder="1" applyAlignment="1">
      <alignment horizontal="center" vertical="center" wrapText="1"/>
    </xf>
    <xf numFmtId="175" fontId="2" fillId="0" borderId="190" xfId="46" applyNumberFormat="1" applyFont="1" applyBorder="1" applyAlignment="1">
      <alignment horizontal="center" vertical="center"/>
    </xf>
    <xf numFmtId="175" fontId="8" fillId="40" borderId="165" xfId="46" applyNumberFormat="1" applyFont="1" applyFill="1" applyBorder="1" applyAlignment="1">
      <alignment horizontal="center" vertical="center" wrapText="1"/>
    </xf>
    <xf numFmtId="175" fontId="0" fillId="0" borderId="87" xfId="46" applyNumberFormat="1" applyBorder="1" applyAlignment="1">
      <alignment horizontal="center" vertical="center"/>
    </xf>
    <xf numFmtId="175" fontId="0" fillId="0" borderId="87" xfId="46" applyNumberFormat="1" applyBorder="1" applyAlignment="1">
      <alignment horizontal="right"/>
    </xf>
    <xf numFmtId="175" fontId="0" fillId="0" borderId="95" xfId="46" applyNumberFormat="1" applyBorder="1" applyAlignment="1">
      <alignment horizontal="right"/>
    </xf>
    <xf numFmtId="175" fontId="0" fillId="0" borderId="191" xfId="46" applyNumberFormat="1" applyBorder="1" applyAlignment="1">
      <alignment horizontal="center" vertical="center"/>
    </xf>
    <xf numFmtId="175" fontId="2" fillId="0" borderId="67" xfId="46" applyNumberFormat="1" applyFont="1" applyBorder="1" applyAlignment="1">
      <alignment horizontal="center" vertical="center"/>
    </xf>
    <xf numFmtId="175" fontId="0" fillId="0" borderId="189" xfId="46" applyNumberFormat="1" applyBorder="1" applyAlignment="1">
      <alignment horizontal="center" vertical="center"/>
    </xf>
    <xf numFmtId="175" fontId="2" fillId="0" borderId="163" xfId="46" applyNumberFormat="1" applyFont="1" applyBorder="1" applyAlignment="1">
      <alignment horizontal="center" vertical="center"/>
    </xf>
    <xf numFmtId="175" fontId="0" fillId="0" borderId="165" xfId="46" applyNumberFormat="1" applyBorder="1" applyAlignment="1">
      <alignment horizontal="center" vertical="center"/>
    </xf>
    <xf numFmtId="175" fontId="0" fillId="0" borderId="166" xfId="46" applyNumberFormat="1" applyBorder="1" applyAlignment="1">
      <alignment horizontal="center" vertical="center"/>
    </xf>
    <xf numFmtId="175" fontId="2" fillId="0" borderId="105" xfId="46" applyNumberFormat="1" applyFont="1" applyBorder="1" applyAlignment="1">
      <alignment horizontal="center" vertical="center"/>
    </xf>
    <xf numFmtId="175" fontId="2" fillId="0" borderId="87" xfId="46" applyNumberFormat="1" applyFont="1" applyBorder="1" applyAlignment="1">
      <alignment horizontal="center" vertical="center"/>
    </xf>
    <xf numFmtId="175" fontId="0" fillId="0" borderId="95" xfId="46" applyNumberFormat="1" applyBorder="1" applyAlignment="1">
      <alignment horizontal="center" vertical="center"/>
    </xf>
    <xf numFmtId="0" fontId="8" fillId="0" borderId="131" xfId="0" applyFont="1" applyBorder="1" applyAlignment="1">
      <alignment/>
    </xf>
    <xf numFmtId="3" fontId="0" fillId="0" borderId="65" xfId="0" applyNumberFormat="1" applyBorder="1" applyAlignment="1">
      <alignment vertical="center"/>
    </xf>
    <xf numFmtId="3" fontId="0" fillId="36" borderId="34" xfId="0" applyNumberFormat="1" applyFill="1" applyBorder="1" applyAlignment="1">
      <alignment/>
    </xf>
    <xf numFmtId="175" fontId="0" fillId="36" borderId="91" xfId="46" applyNumberFormat="1" applyFill="1" applyBorder="1" applyAlignment="1">
      <alignment horizontal="center" vertical="center"/>
    </xf>
    <xf numFmtId="3" fontId="2" fillId="0" borderId="193" xfId="0" applyNumberFormat="1" applyFont="1" applyBorder="1" applyAlignment="1">
      <alignment horizontal="center"/>
    </xf>
    <xf numFmtId="3" fontId="2" fillId="0" borderId="77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5" fontId="2" fillId="0" borderId="72" xfId="46" applyNumberFormat="1" applyFont="1" applyBorder="1" applyAlignment="1">
      <alignment/>
    </xf>
    <xf numFmtId="3" fontId="0" fillId="0" borderId="194" xfId="0" applyNumberFormat="1" applyBorder="1" applyAlignment="1">
      <alignment horizontal="center"/>
    </xf>
    <xf numFmtId="3" fontId="0" fillId="0" borderId="73" xfId="0" applyNumberFormat="1" applyBorder="1" applyAlignment="1">
      <alignment/>
    </xf>
    <xf numFmtId="177" fontId="0" fillId="0" borderId="73" xfId="0" applyNumberFormat="1" applyBorder="1" applyAlignment="1">
      <alignment/>
    </xf>
    <xf numFmtId="175" fontId="0" fillId="0" borderId="74" xfId="46" applyNumberFormat="1" applyBorder="1" applyAlignment="1">
      <alignment/>
    </xf>
    <xf numFmtId="3" fontId="5" fillId="33" borderId="117" xfId="0" applyNumberFormat="1" applyFont="1" applyFill="1" applyBorder="1" applyAlignment="1">
      <alignment horizontal="center" vertical="center"/>
    </xf>
    <xf numFmtId="3" fontId="5" fillId="33" borderId="179" xfId="0" applyNumberFormat="1" applyFont="1" applyFill="1" applyBorder="1" applyAlignment="1">
      <alignment horizontal="center" vertical="center"/>
    </xf>
    <xf numFmtId="3" fontId="5" fillId="33" borderId="145" xfId="0" applyNumberFormat="1" applyFont="1" applyFill="1" applyBorder="1" applyAlignment="1">
      <alignment vertical="center"/>
    </xf>
    <xf numFmtId="177" fontId="5" fillId="33" borderId="145" xfId="0" applyNumberFormat="1" applyFont="1" applyFill="1" applyBorder="1" applyAlignment="1">
      <alignment vertical="center"/>
    </xf>
    <xf numFmtId="175" fontId="5" fillId="33" borderId="167" xfId="46" applyNumberFormat="1" applyFont="1" applyFill="1" applyBorder="1" applyAlignment="1">
      <alignment vertical="center"/>
    </xf>
    <xf numFmtId="3" fontId="0" fillId="36" borderId="77" xfId="0" applyNumberFormat="1" applyFill="1" applyBorder="1" applyAlignment="1">
      <alignment horizontal="center"/>
    </xf>
    <xf numFmtId="175" fontId="0" fillId="36" borderId="195" xfId="46" applyNumberFormat="1" applyFill="1" applyBorder="1" applyAlignment="1">
      <alignment/>
    </xf>
    <xf numFmtId="175" fontId="0" fillId="36" borderId="126" xfId="46" applyNumberFormat="1" applyFill="1" applyBorder="1" applyAlignment="1">
      <alignment/>
    </xf>
    <xf numFmtId="175" fontId="8" fillId="36" borderId="196" xfId="46" applyNumberFormat="1" applyFont="1" applyFill="1" applyBorder="1" applyAlignment="1">
      <alignment horizontal="right"/>
    </xf>
    <xf numFmtId="175" fontId="8" fillId="0" borderId="197" xfId="46" applyNumberFormat="1" applyFont="1" applyBorder="1" applyAlignment="1">
      <alignment horizontal="right"/>
    </xf>
    <xf numFmtId="175" fontId="0" fillId="36" borderId="120" xfId="46" applyNumberFormat="1" applyFill="1" applyBorder="1" applyAlignment="1">
      <alignment/>
    </xf>
    <xf numFmtId="175" fontId="0" fillId="36" borderId="122" xfId="46" applyNumberFormat="1" applyFill="1" applyBorder="1" applyAlignment="1">
      <alignment/>
    </xf>
    <xf numFmtId="175" fontId="8" fillId="36" borderId="123" xfId="46" applyNumberFormat="1" applyFont="1" applyFill="1" applyBorder="1" applyAlignment="1">
      <alignment horizontal="right"/>
    </xf>
    <xf numFmtId="175" fontId="8" fillId="0" borderId="198" xfId="46" applyNumberFormat="1" applyFont="1" applyBorder="1" applyAlignment="1">
      <alignment horizontal="right"/>
    </xf>
    <xf numFmtId="177" fontId="0" fillId="36" borderId="199" xfId="0" applyNumberFormat="1" applyFill="1" applyBorder="1" applyAlignment="1">
      <alignment/>
    </xf>
    <xf numFmtId="177" fontId="0" fillId="36" borderId="11" xfId="0" applyNumberFormat="1" applyFill="1" applyBorder="1" applyAlignment="1">
      <alignment/>
    </xf>
    <xf numFmtId="177" fontId="0" fillId="36" borderId="30" xfId="0" applyNumberFormat="1" applyFill="1" applyBorder="1" applyAlignment="1">
      <alignment/>
    </xf>
    <xf numFmtId="177" fontId="8" fillId="36" borderId="67" xfId="0" applyNumberFormat="1" applyFont="1" applyFill="1" applyBorder="1" applyAlignment="1">
      <alignment horizontal="right"/>
    </xf>
    <xf numFmtId="0" fontId="8" fillId="0" borderId="192" xfId="0" applyFont="1" applyBorder="1" applyAlignment="1">
      <alignment horizontal="right"/>
    </xf>
    <xf numFmtId="3" fontId="0" fillId="0" borderId="131" xfId="0" applyNumberFormat="1" applyBorder="1" applyAlignment="1">
      <alignment horizontal="center"/>
    </xf>
    <xf numFmtId="3" fontId="0" fillId="0" borderId="131" xfId="0" applyNumberFormat="1" applyBorder="1" applyAlignment="1">
      <alignment/>
    </xf>
    <xf numFmtId="177" fontId="2" fillId="0" borderId="154" xfId="0" applyNumberFormat="1" applyFont="1" applyBorder="1" applyAlignment="1">
      <alignment/>
    </xf>
    <xf numFmtId="177" fontId="0" fillId="0" borderId="67" xfId="0" applyNumberFormat="1" applyBorder="1" applyAlignment="1">
      <alignment/>
    </xf>
    <xf numFmtId="177" fontId="13" fillId="0" borderId="67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0" fillId="0" borderId="192" xfId="0" applyNumberFormat="1" applyBorder="1" applyAlignment="1">
      <alignment/>
    </xf>
    <xf numFmtId="175" fontId="2" fillId="0" borderId="200" xfId="46" applyNumberFormat="1" applyFont="1" applyBorder="1" applyAlignment="1">
      <alignment/>
    </xf>
    <xf numFmtId="175" fontId="0" fillId="0" borderId="123" xfId="46" applyNumberFormat="1" applyFont="1" applyBorder="1" applyAlignment="1">
      <alignment/>
    </xf>
    <xf numFmtId="175" fontId="13" fillId="0" borderId="123" xfId="46" applyNumberFormat="1" applyFont="1" applyBorder="1" applyAlignment="1">
      <alignment/>
    </xf>
    <xf numFmtId="175" fontId="2" fillId="0" borderId="123" xfId="46" applyNumberFormat="1" applyFont="1" applyBorder="1" applyAlignment="1">
      <alignment/>
    </xf>
    <xf numFmtId="175" fontId="0" fillId="0" borderId="198" xfId="46" applyNumberFormat="1" applyFont="1" applyBorder="1" applyAlignment="1">
      <alignment/>
    </xf>
    <xf numFmtId="175" fontId="2" fillId="0" borderId="201" xfId="46" applyNumberFormat="1" applyFont="1" applyBorder="1" applyAlignment="1">
      <alignment/>
    </xf>
    <xf numFmtId="175" fontId="0" fillId="0" borderId="202" xfId="46" applyNumberFormat="1" applyFont="1" applyBorder="1" applyAlignment="1">
      <alignment/>
    </xf>
    <xf numFmtId="175" fontId="13" fillId="0" borderId="202" xfId="46" applyNumberFormat="1" applyFont="1" applyBorder="1" applyAlignment="1">
      <alignment/>
    </xf>
    <xf numFmtId="175" fontId="2" fillId="0" borderId="202" xfId="46" applyNumberFormat="1" applyFont="1" applyBorder="1" applyAlignment="1">
      <alignment/>
    </xf>
    <xf numFmtId="175" fontId="0" fillId="0" borderId="203" xfId="46" applyNumberFormat="1" applyFont="1" applyBorder="1" applyAlignment="1">
      <alignment/>
    </xf>
    <xf numFmtId="1" fontId="2" fillId="0" borderId="77" xfId="0" applyNumberFormat="1" applyFont="1" applyBorder="1" applyAlignment="1">
      <alignment horizontal="center"/>
    </xf>
    <xf numFmtId="3" fontId="2" fillId="0" borderId="77" xfId="0" applyNumberFormat="1" applyFont="1" applyBorder="1" applyAlignment="1">
      <alignment horizontal="left" wrapText="1"/>
    </xf>
    <xf numFmtId="177" fontId="2" fillId="0" borderId="77" xfId="0" applyNumberFormat="1" applyFont="1" applyBorder="1" applyAlignment="1">
      <alignment horizontal="center"/>
    </xf>
    <xf numFmtId="177" fontId="0" fillId="0" borderId="131" xfId="0" applyNumberFormat="1" applyBorder="1" applyAlignment="1">
      <alignment horizontal="center"/>
    </xf>
    <xf numFmtId="175" fontId="0" fillId="0" borderId="198" xfId="46" applyNumberFormat="1" applyBorder="1" applyAlignment="1">
      <alignment horizontal="right" vertical="center"/>
    </xf>
    <xf numFmtId="3" fontId="0" fillId="0" borderId="64" xfId="0" applyNumberFormat="1" applyBorder="1" applyAlignment="1">
      <alignment wrapText="1"/>
    </xf>
    <xf numFmtId="175" fontId="0" fillId="48" borderId="64" xfId="46" applyNumberFormat="1" applyFill="1" applyBorder="1" applyAlignment="1">
      <alignment vertical="center"/>
    </xf>
    <xf numFmtId="0" fontId="0" fillId="36" borderId="162" xfId="0" applyFill="1" applyBorder="1" applyAlignment="1">
      <alignment horizontal="center"/>
    </xf>
    <xf numFmtId="0" fontId="0" fillId="40" borderId="162" xfId="0" applyFill="1" applyBorder="1" applyAlignment="1">
      <alignment wrapText="1"/>
    </xf>
    <xf numFmtId="0" fontId="0" fillId="40" borderId="56" xfId="0" applyFill="1" applyBorder="1" applyAlignment="1">
      <alignment/>
    </xf>
    <xf numFmtId="175" fontId="0" fillId="48" borderId="56" xfId="46" applyNumberFormat="1" applyFill="1" applyBorder="1" applyAlignment="1">
      <alignment/>
    </xf>
    <xf numFmtId="175" fontId="8" fillId="40" borderId="80" xfId="46" applyNumberFormat="1" applyFont="1" applyFill="1" applyBorder="1" applyAlignment="1">
      <alignment horizontal="right" vertical="center"/>
    </xf>
    <xf numFmtId="3" fontId="18" fillId="0" borderId="56" xfId="0" applyNumberFormat="1" applyFont="1" applyBorder="1" applyAlignment="1">
      <alignment wrapText="1"/>
    </xf>
    <xf numFmtId="3" fontId="18" fillId="52" borderId="44" xfId="0" applyNumberFormat="1" applyFont="1" applyFill="1" applyBorder="1" applyAlignment="1">
      <alignment horizontal="center"/>
    </xf>
    <xf numFmtId="3" fontId="18" fillId="53" borderId="56" xfId="0" applyNumberFormat="1" applyFont="1" applyFill="1" applyBorder="1" applyAlignment="1">
      <alignment wrapText="1"/>
    </xf>
    <xf numFmtId="3" fontId="18" fillId="52" borderId="21" xfId="0" applyNumberFormat="1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0" fillId="0" borderId="10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8" fillId="0" borderId="11" xfId="0" applyNumberFormat="1" applyFont="1" applyBorder="1" applyAlignment="1">
      <alignment horizontal="left"/>
    </xf>
    <xf numFmtId="3" fontId="8" fillId="0" borderId="29" xfId="0" applyNumberFormat="1" applyFont="1" applyBorder="1" applyAlignment="1">
      <alignment horizontal="left"/>
    </xf>
    <xf numFmtId="3" fontId="18" fillId="33" borderId="131" xfId="0" applyNumberFormat="1" applyFont="1" applyFill="1" applyBorder="1" applyAlignment="1">
      <alignment/>
    </xf>
    <xf numFmtId="3" fontId="0" fillId="0" borderId="201" xfId="0" applyNumberFormat="1" applyBorder="1" applyAlignment="1">
      <alignment/>
    </xf>
    <xf numFmtId="3" fontId="0" fillId="0" borderId="15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56" xfId="0" applyNumberFormat="1" applyFon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106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56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8" fillId="36" borderId="105" xfId="0" applyFont="1" applyFill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3" fontId="8" fillId="36" borderId="105" xfId="0" applyNumberFormat="1" applyFont="1" applyFill="1" applyBorder="1" applyAlignment="1">
      <alignment horizontal="center" vertical="center"/>
    </xf>
    <xf numFmtId="3" fontId="2" fillId="0" borderId="142" xfId="0" applyNumberFormat="1" applyFont="1" applyBorder="1" applyAlignment="1">
      <alignment horizontal="center" vertical="center"/>
    </xf>
    <xf numFmtId="3" fontId="13" fillId="0" borderId="105" xfId="0" applyNumberFormat="1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3" fontId="2" fillId="0" borderId="105" xfId="0" applyNumberFormat="1" applyFont="1" applyBorder="1" applyAlignment="1">
      <alignment horizontal="center" vertical="center"/>
    </xf>
    <xf numFmtId="3" fontId="0" fillId="0" borderId="130" xfId="0" applyNumberFormat="1" applyBorder="1" applyAlignment="1">
      <alignment horizontal="center" vertical="center"/>
    </xf>
    <xf numFmtId="3" fontId="5" fillId="37" borderId="117" xfId="0" applyNumberFormat="1" applyFont="1" applyFill="1" applyBorder="1" applyAlignment="1">
      <alignment horizontal="center" vertical="center" wrapText="1"/>
    </xf>
    <xf numFmtId="3" fontId="0" fillId="0" borderId="142" xfId="0" applyNumberFormat="1" applyBorder="1" applyAlignment="1">
      <alignment horizontal="center" vertical="center"/>
    </xf>
    <xf numFmtId="3" fontId="2" fillId="0" borderId="78" xfId="0" applyNumberFormat="1" applyFon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3" fontId="0" fillId="0" borderId="117" xfId="0" applyNumberForma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75" fontId="8" fillId="0" borderId="166" xfId="46" applyNumberFormat="1" applyFont="1" applyBorder="1" applyAlignment="1">
      <alignment horizontal="center" vertical="center"/>
    </xf>
    <xf numFmtId="175" fontId="2" fillId="0" borderId="162" xfId="46" applyNumberFormat="1" applyFont="1" applyBorder="1" applyAlignment="1">
      <alignment horizontal="center" vertical="center"/>
    </xf>
    <xf numFmtId="175" fontId="2" fillId="0" borderId="191" xfId="46" applyNumberFormat="1" applyFont="1" applyBorder="1" applyAlignment="1">
      <alignment horizontal="center" vertical="center"/>
    </xf>
    <xf numFmtId="175" fontId="2" fillId="0" borderId="166" xfId="46" applyNumberFormat="1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 wrapText="1"/>
    </xf>
    <xf numFmtId="175" fontId="2" fillId="0" borderId="205" xfId="46" applyNumberFormat="1" applyFont="1" applyBorder="1" applyAlignment="1">
      <alignment horizontal="center" vertical="center"/>
    </xf>
    <xf numFmtId="175" fontId="0" fillId="0" borderId="206" xfId="46" applyNumberFormat="1" applyBorder="1" applyAlignment="1">
      <alignment horizontal="center" vertical="center"/>
    </xf>
    <xf numFmtId="175" fontId="2" fillId="0" borderId="151" xfId="46" applyNumberFormat="1" applyFont="1" applyBorder="1" applyAlignment="1">
      <alignment horizontal="center" vertical="center"/>
    </xf>
    <xf numFmtId="175" fontId="8" fillId="40" borderId="70" xfId="46" applyNumberFormat="1" applyFont="1" applyFill="1" applyBorder="1" applyAlignment="1">
      <alignment horizontal="center" vertical="center" wrapText="1"/>
    </xf>
    <xf numFmtId="175" fontId="8" fillId="40" borderId="68" xfId="46" applyNumberFormat="1" applyFont="1" applyFill="1" applyBorder="1" applyAlignment="1">
      <alignment horizontal="center" vertical="center" wrapText="1"/>
    </xf>
    <xf numFmtId="175" fontId="2" fillId="40" borderId="206" xfId="46" applyNumberFormat="1" applyFont="1" applyFill="1" applyBorder="1" applyAlignment="1">
      <alignment horizontal="center" vertical="center" wrapText="1"/>
    </xf>
    <xf numFmtId="175" fontId="5" fillId="0" borderId="151" xfId="46" applyNumberFormat="1" applyFont="1" applyBorder="1" applyAlignment="1">
      <alignment horizontal="center" vertical="center"/>
    </xf>
    <xf numFmtId="175" fontId="0" fillId="0" borderId="70" xfId="46" applyNumberFormat="1" applyBorder="1" applyAlignment="1">
      <alignment horizontal="center" vertical="center"/>
    </xf>
    <xf numFmtId="175" fontId="2" fillId="0" borderId="68" xfId="46" applyNumberFormat="1" applyFont="1" applyBorder="1" applyAlignment="1">
      <alignment horizontal="center" vertical="center"/>
    </xf>
    <xf numFmtId="175" fontId="0" fillId="0" borderId="150" xfId="46" applyNumberFormat="1" applyBorder="1" applyAlignment="1">
      <alignment horizontal="center" vertical="center"/>
    </xf>
    <xf numFmtId="175" fontId="5" fillId="50" borderId="151" xfId="46" applyNumberFormat="1" applyFont="1" applyFill="1" applyBorder="1" applyAlignment="1">
      <alignment horizontal="center" vertical="center"/>
    </xf>
    <xf numFmtId="175" fontId="2" fillId="0" borderId="70" xfId="46" applyNumberFormat="1" applyFont="1" applyBorder="1" applyAlignment="1">
      <alignment/>
    </xf>
    <xf numFmtId="175" fontId="2" fillId="0" borderId="68" xfId="0" applyNumberFormat="1" applyFont="1" applyBorder="1" applyAlignment="1">
      <alignment/>
    </xf>
    <xf numFmtId="175" fontId="8" fillId="0" borderId="68" xfId="46" applyNumberFormat="1" applyFont="1" applyBorder="1" applyAlignment="1">
      <alignment/>
    </xf>
    <xf numFmtId="0" fontId="8" fillId="0" borderId="150" xfId="0" applyFont="1" applyBorder="1" applyAlignment="1">
      <alignment/>
    </xf>
    <xf numFmtId="175" fontId="5" fillId="50" borderId="151" xfId="0" applyNumberFormat="1" applyFont="1" applyFill="1" applyBorder="1" applyAlignment="1">
      <alignment/>
    </xf>
    <xf numFmtId="0" fontId="8" fillId="0" borderId="165" xfId="0" applyFont="1" applyBorder="1" applyAlignment="1">
      <alignment horizontal="right"/>
    </xf>
    <xf numFmtId="0" fontId="8" fillId="0" borderId="106" xfId="0" applyFont="1" applyBorder="1" applyAlignment="1">
      <alignment horizontal="right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2" fillId="0" borderId="106" xfId="0" applyFont="1" applyBorder="1" applyAlignment="1">
      <alignment horizontal="right"/>
    </xf>
    <xf numFmtId="0" fontId="2" fillId="0" borderId="105" xfId="0" applyFont="1" applyBorder="1" applyAlignment="1">
      <alignment horizontal="right"/>
    </xf>
    <xf numFmtId="0" fontId="0" fillId="40" borderId="56" xfId="0" applyFont="1" applyFill="1" applyBorder="1" applyAlignment="1">
      <alignment horizontal="left" vertical="top" wrapText="1"/>
    </xf>
    <xf numFmtId="175" fontId="0" fillId="0" borderId="142" xfId="46" applyNumberFormat="1" applyBorder="1" applyAlignment="1">
      <alignment horizontal="center" vertical="center"/>
    </xf>
    <xf numFmtId="175" fontId="0" fillId="0" borderId="143" xfId="46" applyNumberFormat="1" applyBorder="1" applyAlignment="1">
      <alignment horizontal="center" vertical="center"/>
    </xf>
    <xf numFmtId="175" fontId="0" fillId="0" borderId="133" xfId="46" applyNumberFormat="1" applyBorder="1" applyAlignment="1">
      <alignment horizontal="center" vertical="center"/>
    </xf>
    <xf numFmtId="0" fontId="2" fillId="40" borderId="94" xfId="0" applyFont="1" applyFill="1" applyBorder="1" applyAlignment="1">
      <alignment horizontal="left" vertical="top" wrapText="1"/>
    </xf>
    <xf numFmtId="0" fontId="0" fillId="40" borderId="87" xfId="0" applyFont="1" applyFill="1" applyBorder="1" applyAlignment="1">
      <alignment horizontal="left" vertical="top" wrapText="1"/>
    </xf>
    <xf numFmtId="0" fontId="2" fillId="40" borderId="87" xfId="0" applyFont="1" applyFill="1" applyBorder="1" applyAlignment="1">
      <alignment horizontal="left" vertical="top" wrapText="1"/>
    </xf>
    <xf numFmtId="0" fontId="0" fillId="40" borderId="95" xfId="0" applyFont="1" applyFill="1" applyBorder="1" applyAlignment="1">
      <alignment horizontal="left" vertical="top" wrapText="1"/>
    </xf>
    <xf numFmtId="0" fontId="5" fillId="40" borderId="94" xfId="0" applyFont="1" applyFill="1" applyBorder="1" applyAlignment="1">
      <alignment horizontal="left" vertical="top" wrapText="1"/>
    </xf>
    <xf numFmtId="0" fontId="2" fillId="0" borderId="87" xfId="0" applyFont="1" applyBorder="1" applyAlignment="1">
      <alignment/>
    </xf>
    <xf numFmtId="0" fontId="5" fillId="50" borderId="94" xfId="0" applyFont="1" applyFill="1" applyBorder="1" applyAlignment="1">
      <alignment/>
    </xf>
    <xf numFmtId="3" fontId="2" fillId="33" borderId="66" xfId="0" applyNumberFormat="1" applyFont="1" applyFill="1" applyBorder="1" applyAlignment="1">
      <alignment horizontal="center" vertical="center" wrapText="1"/>
    </xf>
    <xf numFmtId="3" fontId="2" fillId="33" borderId="190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189" xfId="0" applyNumberFormat="1" applyBorder="1" applyAlignment="1">
      <alignment/>
    </xf>
    <xf numFmtId="177" fontId="5" fillId="37" borderId="51" xfId="0" applyNumberFormat="1" applyFont="1" applyFill="1" applyBorder="1" applyAlignment="1">
      <alignment/>
    </xf>
    <xf numFmtId="177" fontId="0" fillId="36" borderId="67" xfId="0" applyNumberFormat="1" applyFill="1" applyBorder="1" applyAlignment="1">
      <alignment/>
    </xf>
    <xf numFmtId="0" fontId="8" fillId="36" borderId="67" xfId="0" applyFont="1" applyFill="1" applyBorder="1" applyAlignment="1">
      <alignment horizontal="right"/>
    </xf>
    <xf numFmtId="175" fontId="2" fillId="33" borderId="132" xfId="46" applyNumberFormat="1" applyFont="1" applyFill="1" applyBorder="1" applyAlignment="1">
      <alignment horizontal="center" vertical="center" wrapText="1"/>
    </xf>
    <xf numFmtId="175" fontId="2" fillId="33" borderId="132" xfId="46" applyNumberFormat="1" applyFont="1" applyFill="1" applyBorder="1" applyAlignment="1">
      <alignment horizontal="center" vertical="center"/>
    </xf>
    <xf numFmtId="175" fontId="2" fillId="0" borderId="207" xfId="46" applyNumberFormat="1" applyFont="1" applyBorder="1" applyAlignment="1">
      <alignment horizontal="center" vertical="center"/>
    </xf>
    <xf numFmtId="175" fontId="0" fillId="0" borderId="121" xfId="46" applyNumberFormat="1" applyBorder="1" applyAlignment="1">
      <alignment horizontal="center" vertical="center"/>
    </xf>
    <xf numFmtId="175" fontId="2" fillId="0" borderId="121" xfId="46" applyNumberFormat="1" applyFont="1" applyBorder="1" applyAlignment="1">
      <alignment horizontal="center" vertical="center"/>
    </xf>
    <xf numFmtId="175" fontId="2" fillId="0" borderId="122" xfId="46" applyNumberFormat="1" applyFont="1" applyBorder="1" applyAlignment="1">
      <alignment horizontal="center" vertical="center"/>
    </xf>
    <xf numFmtId="175" fontId="0" fillId="0" borderId="122" xfId="46" applyNumberFormat="1" applyBorder="1" applyAlignment="1">
      <alignment horizontal="center" vertical="center"/>
    </xf>
    <xf numFmtId="175" fontId="2" fillId="0" borderId="123" xfId="46" applyNumberFormat="1" applyFont="1" applyBorder="1" applyAlignment="1">
      <alignment horizontal="center" vertical="center"/>
    </xf>
    <xf numFmtId="175" fontId="0" fillId="0" borderId="123" xfId="46" applyNumberFormat="1" applyBorder="1" applyAlignment="1">
      <alignment horizontal="center" vertical="center"/>
    </xf>
    <xf numFmtId="175" fontId="0" fillId="0" borderId="124" xfId="46" applyNumberFormat="1" applyBorder="1" applyAlignment="1">
      <alignment horizontal="center" vertical="center"/>
    </xf>
    <xf numFmtId="175" fontId="5" fillId="37" borderId="132" xfId="46" applyNumberFormat="1" applyFont="1" applyFill="1" applyBorder="1" applyAlignment="1">
      <alignment/>
    </xf>
    <xf numFmtId="175" fontId="0" fillId="36" borderId="120" xfId="46" applyNumberFormat="1" applyFill="1" applyBorder="1" applyAlignment="1">
      <alignment horizontal="center" vertical="center"/>
    </xf>
    <xf numFmtId="175" fontId="0" fillId="36" borderId="168" xfId="46" applyNumberFormat="1" applyFill="1" applyBorder="1" applyAlignment="1">
      <alignment horizontal="center" vertical="center"/>
    </xf>
    <xf numFmtId="175" fontId="0" fillId="36" borderId="123" xfId="46" applyNumberFormat="1" applyFill="1" applyBorder="1" applyAlignment="1">
      <alignment horizontal="center" vertical="center"/>
    </xf>
    <xf numFmtId="175" fontId="8" fillId="36" borderId="123" xfId="46" applyNumberFormat="1" applyFont="1" applyFill="1" applyBorder="1" applyAlignment="1">
      <alignment horizontal="right" vertical="center"/>
    </xf>
    <xf numFmtId="175" fontId="8" fillId="0" borderId="198" xfId="46" applyNumberFormat="1" applyFont="1" applyBorder="1" applyAlignment="1">
      <alignment horizontal="right" vertical="center"/>
    </xf>
    <xf numFmtId="175" fontId="2" fillId="33" borderId="176" xfId="46" applyNumberFormat="1" applyFont="1" applyFill="1" applyBorder="1" applyAlignment="1">
      <alignment horizontal="center" vertical="center" wrapText="1"/>
    </xf>
    <xf numFmtId="175" fontId="2" fillId="33" borderId="176" xfId="46" applyNumberFormat="1" applyFont="1" applyFill="1" applyBorder="1" applyAlignment="1">
      <alignment horizontal="center" vertical="center"/>
    </xf>
    <xf numFmtId="175" fontId="2" fillId="0" borderId="32" xfId="46" applyNumberFormat="1" applyFont="1" applyBorder="1" applyAlignment="1">
      <alignment horizontal="center" vertical="center"/>
    </xf>
    <xf numFmtId="175" fontId="0" fillId="0" borderId="28" xfId="46" applyNumberFormat="1" applyBorder="1" applyAlignment="1">
      <alignment horizontal="center" vertical="center"/>
    </xf>
    <xf numFmtId="175" fontId="2" fillId="0" borderId="28" xfId="46" applyNumberFormat="1" applyFont="1" applyBorder="1" applyAlignment="1">
      <alignment horizontal="center" vertical="center"/>
    </xf>
    <xf numFmtId="175" fontId="2" fillId="0" borderId="33" xfId="46" applyNumberFormat="1" applyFont="1" applyBorder="1" applyAlignment="1">
      <alignment horizontal="center" vertical="center"/>
    </xf>
    <xf numFmtId="175" fontId="0" fillId="0" borderId="33" xfId="46" applyNumberFormat="1" applyBorder="1" applyAlignment="1">
      <alignment horizontal="center" vertical="center"/>
    </xf>
    <xf numFmtId="175" fontId="2" fillId="0" borderId="202" xfId="46" applyNumberFormat="1" applyFont="1" applyBorder="1" applyAlignment="1">
      <alignment horizontal="center" vertical="center"/>
    </xf>
    <xf numFmtId="175" fontId="0" fillId="0" borderId="202" xfId="46" applyNumberFormat="1" applyBorder="1" applyAlignment="1">
      <alignment horizontal="center" vertical="center"/>
    </xf>
    <xf numFmtId="175" fontId="0" fillId="0" borderId="208" xfId="46" applyNumberFormat="1" applyBorder="1" applyAlignment="1">
      <alignment horizontal="center" vertical="center"/>
    </xf>
    <xf numFmtId="175" fontId="5" fillId="37" borderId="176" xfId="46" applyNumberFormat="1" applyFont="1" applyFill="1" applyBorder="1" applyAlignment="1">
      <alignment/>
    </xf>
    <xf numFmtId="175" fontId="0" fillId="36" borderId="193" xfId="46" applyNumberFormat="1" applyFill="1" applyBorder="1" applyAlignment="1">
      <alignment horizontal="center" vertical="center"/>
    </xf>
    <xf numFmtId="175" fontId="0" fillId="36" borderId="0" xfId="46" applyNumberFormat="1" applyFill="1" applyBorder="1" applyAlignment="1">
      <alignment horizontal="center" vertical="center"/>
    </xf>
    <xf numFmtId="175" fontId="0" fillId="36" borderId="202" xfId="46" applyNumberFormat="1" applyFill="1" applyBorder="1" applyAlignment="1">
      <alignment horizontal="center" vertical="center"/>
    </xf>
    <xf numFmtId="175" fontId="8" fillId="36" borderId="202" xfId="46" applyNumberFormat="1" applyFont="1" applyFill="1" applyBorder="1" applyAlignment="1">
      <alignment horizontal="right" vertical="center"/>
    </xf>
    <xf numFmtId="175" fontId="8" fillId="0" borderId="203" xfId="46" applyNumberFormat="1" applyFont="1" applyBorder="1" applyAlignment="1">
      <alignment horizontal="right" vertical="center"/>
    </xf>
    <xf numFmtId="3" fontId="4" fillId="37" borderId="82" xfId="0" applyNumberFormat="1" applyFont="1" applyFill="1" applyBorder="1" applyAlignment="1">
      <alignment horizontal="center" vertical="center" wrapText="1"/>
    </xf>
    <xf numFmtId="3" fontId="2" fillId="37" borderId="39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5" fillId="33" borderId="41" xfId="0" applyNumberFormat="1" applyFont="1" applyFill="1" applyBorder="1" applyAlignment="1">
      <alignment vertical="center"/>
    </xf>
    <xf numFmtId="177" fontId="0" fillId="36" borderId="26" xfId="0" applyNumberFormat="1" applyFill="1" applyBorder="1" applyAlignment="1">
      <alignment/>
    </xf>
    <xf numFmtId="0" fontId="8" fillId="0" borderId="67" xfId="0" applyFont="1" applyBorder="1" applyAlignment="1">
      <alignment horizontal="right"/>
    </xf>
    <xf numFmtId="175" fontId="2" fillId="37" borderId="209" xfId="46" applyNumberFormat="1" applyFont="1" applyFill="1" applyBorder="1" applyAlignment="1">
      <alignment horizontal="center" vertical="center" wrapText="1"/>
    </xf>
    <xf numFmtId="175" fontId="2" fillId="37" borderId="121" xfId="46" applyNumberFormat="1" applyFont="1" applyFill="1" applyBorder="1" applyAlignment="1">
      <alignment horizontal="center"/>
    </xf>
    <xf numFmtId="175" fontId="2" fillId="0" borderId="121" xfId="46" applyNumberFormat="1" applyFont="1" applyBorder="1" applyAlignment="1">
      <alignment/>
    </xf>
    <xf numFmtId="175" fontId="0" fillId="0" borderId="121" xfId="46" applyNumberFormat="1" applyBorder="1" applyAlignment="1">
      <alignment/>
    </xf>
    <xf numFmtId="175" fontId="0" fillId="0" borderId="122" xfId="46" applyNumberFormat="1" applyBorder="1" applyAlignment="1">
      <alignment/>
    </xf>
    <xf numFmtId="175" fontId="0" fillId="0" borderId="123" xfId="46" applyNumberFormat="1" applyBorder="1" applyAlignment="1">
      <alignment/>
    </xf>
    <xf numFmtId="175" fontId="0" fillId="0" borderId="207" xfId="46" applyNumberFormat="1" applyBorder="1" applyAlignment="1">
      <alignment/>
    </xf>
    <xf numFmtId="175" fontId="8" fillId="0" borderId="121" xfId="46" applyNumberFormat="1" applyFont="1" applyBorder="1" applyAlignment="1">
      <alignment/>
    </xf>
    <xf numFmtId="175" fontId="5" fillId="33" borderId="210" xfId="46" applyNumberFormat="1" applyFont="1" applyFill="1" applyBorder="1" applyAlignment="1">
      <alignment vertical="center"/>
    </xf>
    <xf numFmtId="175" fontId="0" fillId="36" borderId="207" xfId="46" applyNumberFormat="1" applyFill="1" applyBorder="1" applyAlignment="1">
      <alignment/>
    </xf>
    <xf numFmtId="175" fontId="2" fillId="37" borderId="211" xfId="46" applyNumberFormat="1" applyFont="1" applyFill="1" applyBorder="1" applyAlignment="1">
      <alignment horizontal="center" vertical="center" wrapText="1"/>
    </xf>
    <xf numFmtId="175" fontId="2" fillId="37" borderId="28" xfId="46" applyNumberFormat="1" applyFont="1" applyFill="1" applyBorder="1" applyAlignment="1">
      <alignment horizontal="center"/>
    </xf>
    <xf numFmtId="175" fontId="2" fillId="0" borderId="28" xfId="46" applyNumberFormat="1" applyFont="1" applyBorder="1" applyAlignment="1">
      <alignment/>
    </xf>
    <xf numFmtId="175" fontId="0" fillId="0" borderId="28" xfId="46" applyNumberFormat="1" applyBorder="1" applyAlignment="1">
      <alignment/>
    </xf>
    <xf numFmtId="175" fontId="0" fillId="36" borderId="28" xfId="46" applyNumberFormat="1" applyFill="1" applyBorder="1" applyAlignment="1">
      <alignment/>
    </xf>
    <xf numFmtId="175" fontId="0" fillId="0" borderId="33" xfId="46" applyNumberFormat="1" applyBorder="1" applyAlignment="1">
      <alignment/>
    </xf>
    <xf numFmtId="175" fontId="0" fillId="0" borderId="202" xfId="46" applyNumberFormat="1" applyBorder="1" applyAlignment="1">
      <alignment/>
    </xf>
    <xf numFmtId="175" fontId="0" fillId="0" borderId="32" xfId="46" applyNumberFormat="1" applyBorder="1" applyAlignment="1">
      <alignment/>
    </xf>
    <xf numFmtId="175" fontId="8" fillId="0" borderId="28" xfId="46" applyNumberFormat="1" applyFont="1" applyBorder="1" applyAlignment="1">
      <alignment/>
    </xf>
    <xf numFmtId="175" fontId="5" fillId="33" borderId="212" xfId="46" applyNumberFormat="1" applyFont="1" applyFill="1" applyBorder="1" applyAlignment="1">
      <alignment vertical="center"/>
    </xf>
    <xf numFmtId="175" fontId="0" fillId="36" borderId="32" xfId="46" applyNumberFormat="1" applyFill="1" applyBorder="1" applyAlignment="1">
      <alignment/>
    </xf>
    <xf numFmtId="175" fontId="0" fillId="36" borderId="33" xfId="46" applyNumberFormat="1" applyFill="1" applyBorder="1" applyAlignment="1">
      <alignment/>
    </xf>
    <xf numFmtId="175" fontId="8" fillId="36" borderId="202" xfId="46" applyNumberFormat="1" applyFont="1" applyFill="1" applyBorder="1" applyAlignment="1">
      <alignment horizontal="right"/>
    </xf>
    <xf numFmtId="175" fontId="8" fillId="0" borderId="202" xfId="46" applyNumberFormat="1" applyFont="1" applyBorder="1" applyAlignment="1">
      <alignment horizontal="right"/>
    </xf>
    <xf numFmtId="175" fontId="0" fillId="48" borderId="56" xfId="46" applyNumberFormat="1" applyFont="1" applyFill="1" applyBorder="1" applyAlignment="1">
      <alignment/>
    </xf>
    <xf numFmtId="175" fontId="0" fillId="40" borderId="29" xfId="46" applyNumberFormat="1" applyFont="1" applyFill="1" applyBorder="1" applyAlignment="1">
      <alignment/>
    </xf>
    <xf numFmtId="175" fontId="60" fillId="48" borderId="21" xfId="46" applyNumberFormat="1" applyFont="1" applyFill="1" applyBorder="1" applyAlignment="1">
      <alignment vertical="center"/>
    </xf>
    <xf numFmtId="175" fontId="2" fillId="40" borderId="10" xfId="46" applyNumberFormat="1" applyFont="1" applyFill="1" applyBorder="1" applyAlignment="1">
      <alignment horizontal="center" vertical="center" wrapText="1"/>
    </xf>
    <xf numFmtId="175" fontId="0" fillId="40" borderId="12" xfId="46" applyNumberFormat="1" applyFill="1" applyBorder="1" applyAlignment="1">
      <alignment vertical="center" wrapText="1"/>
    </xf>
    <xf numFmtId="175" fontId="0" fillId="40" borderId="14" xfId="46" applyNumberFormat="1" applyFill="1" applyBorder="1" applyAlignment="1">
      <alignment/>
    </xf>
    <xf numFmtId="3" fontId="2" fillId="44" borderId="10" xfId="0" applyNumberFormat="1" applyFont="1" applyFill="1" applyBorder="1" applyAlignment="1">
      <alignment horizontal="center" vertical="center" wrapText="1"/>
    </xf>
    <xf numFmtId="175" fontId="24" fillId="40" borderId="80" xfId="46" applyNumberFormat="1" applyFont="1" applyFill="1" applyBorder="1" applyAlignment="1">
      <alignment/>
    </xf>
    <xf numFmtId="175" fontId="18" fillId="40" borderId="80" xfId="46" applyNumberFormat="1" applyFont="1" applyFill="1" applyBorder="1" applyAlignment="1">
      <alignment/>
    </xf>
    <xf numFmtId="175" fontId="24" fillId="40" borderId="80" xfId="46" applyNumberFormat="1" applyFont="1" applyFill="1" applyBorder="1" applyAlignment="1">
      <alignment horizontal="right"/>
    </xf>
    <xf numFmtId="175" fontId="2" fillId="40" borderId="80" xfId="46" applyNumberFormat="1" applyFont="1" applyFill="1" applyBorder="1" applyAlignment="1">
      <alignment/>
    </xf>
    <xf numFmtId="175" fontId="35" fillId="40" borderId="80" xfId="46" applyNumberFormat="1" applyFont="1" applyFill="1" applyBorder="1" applyAlignment="1">
      <alignment/>
    </xf>
    <xf numFmtId="3" fontId="88" fillId="40" borderId="12" xfId="0" applyNumberFormat="1" applyFont="1" applyFill="1" applyBorder="1" applyAlignment="1">
      <alignment/>
    </xf>
    <xf numFmtId="3" fontId="88" fillId="40" borderId="12" xfId="0" applyNumberFormat="1" applyFont="1" applyFill="1" applyBorder="1" applyAlignment="1">
      <alignment horizontal="right"/>
    </xf>
    <xf numFmtId="3" fontId="0" fillId="40" borderId="56" xfId="0" applyNumberFormat="1" applyFont="1" applyFill="1" applyBorder="1" applyAlignment="1">
      <alignment/>
    </xf>
    <xf numFmtId="3" fontId="9" fillId="40" borderId="56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3" fontId="8" fillId="52" borderId="12" xfId="0" applyNumberFormat="1" applyFont="1" applyFill="1" applyBorder="1" applyAlignment="1">
      <alignment horizontal="right"/>
    </xf>
    <xf numFmtId="3" fontId="0" fillId="33" borderId="21" xfId="0" applyNumberFormat="1" applyFont="1" applyFill="1" applyBorder="1" applyAlignment="1">
      <alignment/>
    </xf>
    <xf numFmtId="3" fontId="0" fillId="33" borderId="56" xfId="0" applyNumberFormat="1" applyFont="1" applyFill="1" applyBorder="1" applyAlignment="1">
      <alignment/>
    </xf>
    <xf numFmtId="3" fontId="2" fillId="33" borderId="77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/>
    </xf>
    <xf numFmtId="175" fontId="8" fillId="0" borderId="117" xfId="46" applyNumberFormat="1" applyFont="1" applyBorder="1" applyAlignment="1">
      <alignment/>
    </xf>
    <xf numFmtId="175" fontId="8" fillId="0" borderId="145" xfId="46" applyNumberFormat="1" applyFont="1" applyBorder="1" applyAlignment="1">
      <alignment/>
    </xf>
    <xf numFmtId="175" fontId="8" fillId="0" borderId="167" xfId="46" applyNumberFormat="1" applyFont="1" applyBorder="1" applyAlignment="1">
      <alignment/>
    </xf>
    <xf numFmtId="175" fontId="8" fillId="0" borderId="30" xfId="46" applyNumberFormat="1" applyFont="1" applyBorder="1" applyAlignment="1">
      <alignment/>
    </xf>
    <xf numFmtId="175" fontId="8" fillId="0" borderId="155" xfId="46" applyNumberFormat="1" applyFont="1" applyBorder="1" applyAlignment="1">
      <alignment/>
    </xf>
    <xf numFmtId="175" fontId="2" fillId="0" borderId="213" xfId="46" applyNumberFormat="1" applyFont="1" applyBorder="1" applyAlignment="1">
      <alignment/>
    </xf>
    <xf numFmtId="175" fontId="2" fillId="0" borderId="136" xfId="46" applyNumberFormat="1" applyFont="1" applyBorder="1" applyAlignment="1">
      <alignment/>
    </xf>
    <xf numFmtId="175" fontId="2" fillId="0" borderId="214" xfId="46" applyNumberFormat="1" applyFont="1" applyBorder="1" applyAlignment="1">
      <alignment/>
    </xf>
    <xf numFmtId="175" fontId="2" fillId="0" borderId="215" xfId="46" applyNumberFormat="1" applyFont="1" applyBorder="1" applyAlignment="1">
      <alignment/>
    </xf>
    <xf numFmtId="175" fontId="2" fillId="0" borderId="187" xfId="46" applyNumberFormat="1" applyFont="1" applyBorder="1" applyAlignment="1">
      <alignment/>
    </xf>
    <xf numFmtId="175" fontId="2" fillId="0" borderId="216" xfId="46" applyNumberFormat="1" applyFont="1" applyBorder="1" applyAlignment="1">
      <alignment/>
    </xf>
    <xf numFmtId="175" fontId="8" fillId="0" borderId="137" xfId="46" applyNumberFormat="1" applyFont="1" applyBorder="1" applyAlignment="1">
      <alignment/>
    </xf>
    <xf numFmtId="175" fontId="8" fillId="0" borderId="63" xfId="46" applyNumberFormat="1" applyFont="1" applyBorder="1" applyAlignment="1">
      <alignment/>
    </xf>
    <xf numFmtId="175" fontId="8" fillId="0" borderId="59" xfId="46" applyNumberFormat="1" applyFont="1" applyBorder="1" applyAlignment="1">
      <alignment/>
    </xf>
    <xf numFmtId="175" fontId="8" fillId="0" borderId="204" xfId="46" applyNumberFormat="1" applyFont="1" applyBorder="1" applyAlignment="1">
      <alignment/>
    </xf>
    <xf numFmtId="175" fontId="8" fillId="0" borderId="144" xfId="46" applyNumberFormat="1" applyFont="1" applyBorder="1" applyAlignment="1">
      <alignment/>
    </xf>
    <xf numFmtId="175" fontId="8" fillId="0" borderId="217" xfId="46" applyNumberFormat="1" applyFont="1" applyBorder="1" applyAlignment="1">
      <alignment/>
    </xf>
    <xf numFmtId="175" fontId="8" fillId="0" borderId="26" xfId="46" applyNumberFormat="1" applyFont="1" applyBorder="1" applyAlignment="1">
      <alignment/>
    </xf>
    <xf numFmtId="175" fontId="2" fillId="40" borderId="163" xfId="46" applyNumberFormat="1" applyFont="1" applyFill="1" applyBorder="1" applyAlignment="1">
      <alignment horizontal="center" vertical="center" wrapText="1"/>
    </xf>
    <xf numFmtId="0" fontId="2" fillId="0" borderId="94" xfId="0" applyFont="1" applyBorder="1" applyAlignment="1">
      <alignment wrapText="1"/>
    </xf>
    <xf numFmtId="0" fontId="8" fillId="40" borderId="166" xfId="0" applyFont="1" applyFill="1" applyBorder="1" applyAlignment="1">
      <alignment horizontal="left" vertical="top" wrapText="1"/>
    </xf>
    <xf numFmtId="0" fontId="8" fillId="40" borderId="93" xfId="0" applyFont="1" applyFill="1" applyBorder="1" applyAlignment="1">
      <alignment horizontal="left" vertical="top" wrapText="1"/>
    </xf>
    <xf numFmtId="0" fontId="8" fillId="40" borderId="87" xfId="0" applyFont="1" applyFill="1" applyBorder="1" applyAlignment="1">
      <alignment horizontal="left" vertical="top" wrapText="1"/>
    </xf>
    <xf numFmtId="0" fontId="2" fillId="40" borderId="96" xfId="0" applyFont="1" applyFill="1" applyBorder="1" applyAlignment="1">
      <alignment horizontal="left" vertical="top" wrapText="1"/>
    </xf>
    <xf numFmtId="175" fontId="8" fillId="0" borderId="189" xfId="46" applyNumberFormat="1" applyFont="1" applyBorder="1" applyAlignment="1">
      <alignment horizontal="center" vertical="center"/>
    </xf>
    <xf numFmtId="175" fontId="0" fillId="0" borderId="67" xfId="46" applyNumberFormat="1" applyBorder="1" applyAlignment="1">
      <alignment horizontal="center" vertical="center"/>
    </xf>
    <xf numFmtId="175" fontId="8" fillId="40" borderId="107" xfId="46" applyNumberFormat="1" applyFont="1" applyFill="1" applyBorder="1" applyAlignment="1">
      <alignment horizontal="center" vertical="center" wrapText="1"/>
    </xf>
    <xf numFmtId="175" fontId="8" fillId="0" borderId="95" xfId="46" applyNumberFormat="1" applyFont="1" applyBorder="1" applyAlignment="1">
      <alignment horizontal="center" vertical="center"/>
    </xf>
    <xf numFmtId="0" fontId="8" fillId="0" borderId="107" xfId="0" applyFont="1" applyBorder="1" applyAlignment="1">
      <alignment horizontal="right"/>
    </xf>
    <xf numFmtId="0" fontId="0" fillId="40" borderId="95" xfId="0" applyFont="1" applyFill="1" applyBorder="1" applyAlignment="1">
      <alignment horizontal="left" vertical="top" wrapText="1"/>
    </xf>
    <xf numFmtId="175" fontId="5" fillId="0" borderId="163" xfId="46" applyNumberFormat="1" applyFont="1" applyBorder="1" applyAlignment="1">
      <alignment horizontal="center" vertical="center"/>
    </xf>
    <xf numFmtId="175" fontId="5" fillId="0" borderId="164" xfId="46" applyNumberFormat="1" applyFont="1" applyBorder="1" applyAlignment="1">
      <alignment horizontal="center" vertical="center"/>
    </xf>
    <xf numFmtId="175" fontId="5" fillId="0" borderId="96" xfId="46" applyNumberFormat="1" applyFont="1" applyBorder="1" applyAlignment="1">
      <alignment horizontal="center" vertical="center"/>
    </xf>
    <xf numFmtId="175" fontId="5" fillId="0" borderId="205" xfId="46" applyNumberFormat="1" applyFont="1" applyBorder="1" applyAlignment="1">
      <alignment horizontal="center" vertical="center"/>
    </xf>
    <xf numFmtId="175" fontId="2" fillId="40" borderId="151" xfId="46" applyNumberFormat="1" applyFont="1" applyFill="1" applyBorder="1" applyAlignment="1">
      <alignment horizontal="center" vertical="center" wrapText="1"/>
    </xf>
    <xf numFmtId="175" fontId="2" fillId="40" borderId="114" xfId="46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175" fontId="2" fillId="33" borderId="199" xfId="46" applyNumberFormat="1" applyFont="1" applyFill="1" applyBorder="1" applyAlignment="1">
      <alignment horizontal="center" vertical="center" wrapText="1"/>
    </xf>
    <xf numFmtId="175" fontId="2" fillId="33" borderId="85" xfId="46" applyNumberFormat="1" applyFont="1" applyFill="1" applyBorder="1" applyAlignment="1">
      <alignment horizontal="center"/>
    </xf>
    <xf numFmtId="175" fontId="0" fillId="36" borderId="14" xfId="46" applyNumberFormat="1" applyFont="1" applyFill="1" applyBorder="1" applyAlignment="1">
      <alignment/>
    </xf>
    <xf numFmtId="3" fontId="15" fillId="37" borderId="144" xfId="0" applyNumberFormat="1" applyFont="1" applyFill="1" applyBorder="1" applyAlignment="1">
      <alignment wrapText="1"/>
    </xf>
    <xf numFmtId="177" fontId="5" fillId="37" borderId="144" xfId="0" applyNumberFormat="1" applyFont="1" applyFill="1" applyBorder="1" applyAlignment="1">
      <alignment/>
    </xf>
    <xf numFmtId="175" fontId="5" fillId="37" borderId="218" xfId="46" applyNumberFormat="1" applyFont="1" applyFill="1" applyBorder="1" applyAlignment="1">
      <alignment/>
    </xf>
    <xf numFmtId="175" fontId="5" fillId="37" borderId="217" xfId="46" applyNumberFormat="1" applyFont="1" applyFill="1" applyBorder="1" applyAlignment="1">
      <alignment/>
    </xf>
    <xf numFmtId="176" fontId="11" fillId="0" borderId="0" xfId="61" applyFont="1" applyAlignment="1">
      <alignment horizontal="center"/>
    </xf>
    <xf numFmtId="3" fontId="83" fillId="0" borderId="0" xfId="0" applyNumberFormat="1" applyFont="1" applyAlignment="1">
      <alignment horizontal="center" vertical="center"/>
    </xf>
    <xf numFmtId="176" fontId="6" fillId="0" borderId="0" xfId="61" applyFont="1" applyAlignment="1">
      <alignment horizontal="right" vertical="center"/>
    </xf>
    <xf numFmtId="175" fontId="0" fillId="0" borderId="0" xfId="46" applyNumberFormat="1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 horizontal="center"/>
    </xf>
    <xf numFmtId="0" fontId="0" fillId="35" borderId="42" xfId="0" applyFill="1" applyBorder="1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176" fontId="7" fillId="0" borderId="0" xfId="61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3" fontId="5" fillId="37" borderId="204" xfId="0" applyNumberFormat="1" applyFont="1" applyFill="1" applyBorder="1" applyAlignment="1">
      <alignment horizontal="center" vertical="center"/>
    </xf>
    <xf numFmtId="3" fontId="5" fillId="37" borderId="219" xfId="0" applyNumberFormat="1" applyFont="1" applyFill="1" applyBorder="1" applyAlignment="1">
      <alignment horizontal="center" vertical="center"/>
    </xf>
    <xf numFmtId="3" fontId="2" fillId="33" borderId="220" xfId="0" applyNumberFormat="1" applyFont="1" applyFill="1" applyBorder="1" applyAlignment="1">
      <alignment horizontal="center" vertical="center" wrapText="1"/>
    </xf>
    <xf numFmtId="3" fontId="2" fillId="33" borderId="221" xfId="0" applyNumberFormat="1" applyFont="1" applyFill="1" applyBorder="1" applyAlignment="1">
      <alignment horizontal="center" vertical="center" wrapText="1"/>
    </xf>
    <xf numFmtId="3" fontId="2" fillId="33" borderId="222" xfId="0" applyNumberFormat="1" applyFont="1" applyFill="1" applyBorder="1" applyAlignment="1">
      <alignment horizontal="center" vertical="center" wrapText="1"/>
    </xf>
    <xf numFmtId="3" fontId="2" fillId="33" borderId="223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center" vertical="center" wrapText="1"/>
    </xf>
    <xf numFmtId="3" fontId="6" fillId="36" borderId="135" xfId="0" applyNumberFormat="1" applyFont="1" applyFill="1" applyBorder="1" applyAlignment="1">
      <alignment horizontal="center" vertical="center"/>
    </xf>
    <xf numFmtId="3" fontId="6" fillId="0" borderId="10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2" fillId="37" borderId="58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176" fontId="11" fillId="0" borderId="0" xfId="61" applyFont="1" applyAlignment="1">
      <alignment horizontal="center" vertical="center" wrapText="1"/>
    </xf>
    <xf numFmtId="176" fontId="6" fillId="0" borderId="0" xfId="61" applyFont="1" applyAlignment="1">
      <alignment horizontal="right" vertical="center"/>
    </xf>
    <xf numFmtId="3" fontId="0" fillId="37" borderId="224" xfId="0" applyNumberFormat="1" applyFill="1" applyBorder="1" applyAlignment="1">
      <alignment horizontal="center" vertical="center" wrapText="1"/>
    </xf>
    <xf numFmtId="3" fontId="0" fillId="37" borderId="60" xfId="0" applyNumberForma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2" fillId="37" borderId="128" xfId="0" applyNumberFormat="1" applyFont="1" applyFill="1" applyBorder="1" applyAlignment="1">
      <alignment horizontal="center" vertical="center" wrapText="1"/>
    </xf>
    <xf numFmtId="3" fontId="2" fillId="37" borderId="115" xfId="0" applyNumberFormat="1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77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3" fontId="2" fillId="33" borderId="128" xfId="0" applyNumberFormat="1" applyFont="1" applyFill="1" applyBorder="1" applyAlignment="1">
      <alignment horizontal="center" vertical="center" wrapText="1"/>
    </xf>
    <xf numFmtId="3" fontId="2" fillId="33" borderId="58" xfId="0" applyNumberFormat="1" applyFont="1" applyFill="1" applyBorder="1" applyAlignment="1">
      <alignment horizontal="center" vertical="center" wrapText="1"/>
    </xf>
    <xf numFmtId="3" fontId="2" fillId="33" borderId="116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176" fontId="11" fillId="0" borderId="0" xfId="61" applyFont="1" applyAlignment="1">
      <alignment horizontal="center" vertical="center"/>
    </xf>
    <xf numFmtId="3" fontId="4" fillId="33" borderId="225" xfId="0" applyNumberFormat="1" applyFont="1" applyFill="1" applyBorder="1" applyAlignment="1">
      <alignment horizontal="center" vertical="center" wrapText="1"/>
    </xf>
    <xf numFmtId="3" fontId="4" fillId="33" borderId="71" xfId="0" applyNumberFormat="1" applyFont="1" applyFill="1" applyBorder="1" applyAlignment="1">
      <alignment horizontal="center" vertical="center" wrapText="1"/>
    </xf>
    <xf numFmtId="3" fontId="4" fillId="33" borderId="224" xfId="0" applyNumberFormat="1" applyFont="1" applyFill="1" applyBorder="1" applyAlignment="1">
      <alignment horizontal="center" vertical="center" wrapText="1"/>
    </xf>
    <xf numFmtId="3" fontId="4" fillId="33" borderId="6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44" borderId="142" xfId="0" applyNumberFormat="1" applyFont="1" applyFill="1" applyBorder="1" applyAlignment="1">
      <alignment horizontal="center" vertical="center" wrapText="1"/>
    </xf>
    <xf numFmtId="3" fontId="4" fillId="44" borderId="143" xfId="0" applyNumberFormat="1" applyFont="1" applyFill="1" applyBorder="1" applyAlignment="1">
      <alignment horizontal="center" vertical="center" wrapText="1"/>
    </xf>
    <xf numFmtId="3" fontId="4" fillId="44" borderId="130" xfId="0" applyNumberFormat="1" applyFont="1" applyFill="1" applyBorder="1" applyAlignment="1">
      <alignment horizontal="center" vertical="center" wrapText="1"/>
    </xf>
    <xf numFmtId="3" fontId="4" fillId="44" borderId="131" xfId="0" applyNumberFormat="1" applyFont="1" applyFill="1" applyBorder="1" applyAlignment="1">
      <alignment horizontal="center" vertical="center" wrapText="1"/>
    </xf>
    <xf numFmtId="176" fontId="11" fillId="0" borderId="0" xfId="6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5" fillId="46" borderId="66" xfId="0" applyNumberFormat="1" applyFont="1" applyFill="1" applyBorder="1" applyAlignment="1">
      <alignment horizontal="left" vertical="center" wrapText="1"/>
    </xf>
    <xf numFmtId="3" fontId="24" fillId="0" borderId="226" xfId="0" applyNumberFormat="1" applyFont="1" applyBorder="1" applyAlignment="1">
      <alignment horizontal="left"/>
    </xf>
    <xf numFmtId="3" fontId="24" fillId="0" borderId="227" xfId="0" applyNumberFormat="1" applyFont="1" applyBorder="1" applyAlignment="1">
      <alignment horizontal="left"/>
    </xf>
    <xf numFmtId="3" fontId="15" fillId="37" borderId="204" xfId="0" applyNumberFormat="1" applyFont="1" applyFill="1" applyBorder="1" applyAlignment="1">
      <alignment horizontal="center" vertical="center"/>
    </xf>
    <xf numFmtId="3" fontId="15" fillId="37" borderId="219" xfId="0" applyNumberFormat="1" applyFont="1" applyFill="1" applyBorder="1" applyAlignment="1">
      <alignment horizontal="center" vertical="center"/>
    </xf>
    <xf numFmtId="0" fontId="2" fillId="0" borderId="139" xfId="0" applyFont="1" applyBorder="1" applyAlignment="1">
      <alignment horizontal="center"/>
    </xf>
    <xf numFmtId="0" fontId="2" fillId="0" borderId="226" xfId="0" applyFont="1" applyBorder="1" applyAlignment="1">
      <alignment horizontal="center"/>
    </xf>
    <xf numFmtId="0" fontId="2" fillId="0" borderId="227" xfId="0" applyFont="1" applyBorder="1" applyAlignment="1">
      <alignment horizontal="center"/>
    </xf>
    <xf numFmtId="3" fontId="2" fillId="33" borderId="78" xfId="0" applyNumberFormat="1" applyFont="1" applyFill="1" applyBorder="1" applyAlignment="1">
      <alignment horizontal="center" vertical="center" wrapText="1"/>
    </xf>
    <xf numFmtId="3" fontId="2" fillId="33" borderId="77" xfId="0" applyNumberFormat="1" applyFont="1" applyFill="1" applyBorder="1" applyAlignment="1">
      <alignment horizontal="center" vertical="center" wrapText="1"/>
    </xf>
    <xf numFmtId="3" fontId="2" fillId="33" borderId="81" xfId="0" applyNumberFormat="1" applyFont="1" applyFill="1" applyBorder="1" applyAlignment="1">
      <alignment horizontal="center" vertical="center" wrapText="1"/>
    </xf>
    <xf numFmtId="3" fontId="2" fillId="33" borderId="73" xfId="0" applyNumberFormat="1" applyFont="1" applyFill="1" applyBorder="1" applyAlignment="1">
      <alignment horizontal="center" vertical="center" wrapText="1"/>
    </xf>
    <xf numFmtId="0" fontId="0" fillId="40" borderId="42" xfId="0" applyFill="1" applyBorder="1" applyAlignment="1">
      <alignment horizontal="right" vertical="center"/>
    </xf>
    <xf numFmtId="0" fontId="2" fillId="40" borderId="0" xfId="0" applyFont="1" applyFill="1" applyAlignment="1">
      <alignment horizontal="center"/>
    </xf>
    <xf numFmtId="3" fontId="2" fillId="42" borderId="56" xfId="0" applyNumberFormat="1" applyFont="1" applyFill="1" applyBorder="1" applyAlignment="1">
      <alignment horizontal="center" vertical="center" wrapText="1"/>
    </xf>
    <xf numFmtId="3" fontId="0" fillId="40" borderId="0" xfId="0" applyNumberFormat="1" applyFill="1" applyAlignment="1">
      <alignment horizontal="right" vertical="center"/>
    </xf>
    <xf numFmtId="0" fontId="2" fillId="43" borderId="78" xfId="0" applyFont="1" applyFill="1" applyBorder="1" applyAlignment="1">
      <alignment horizontal="center" vertical="center" wrapText="1"/>
    </xf>
    <xf numFmtId="0" fontId="2" fillId="43" borderId="228" xfId="0" applyFont="1" applyFill="1" applyBorder="1" applyAlignment="1">
      <alignment horizontal="center" vertical="center" wrapText="1"/>
    </xf>
    <xf numFmtId="0" fontId="2" fillId="43" borderId="229" xfId="0" applyFont="1" applyFill="1" applyBorder="1" applyAlignment="1">
      <alignment horizontal="center" vertical="center" wrapText="1"/>
    </xf>
    <xf numFmtId="0" fontId="2" fillId="43" borderId="46" xfId="0" applyFont="1" applyFill="1" applyBorder="1" applyAlignment="1">
      <alignment horizontal="center" vertical="center" wrapText="1"/>
    </xf>
    <xf numFmtId="3" fontId="2" fillId="43" borderId="230" xfId="0" applyNumberFormat="1" applyFont="1" applyFill="1" applyBorder="1" applyAlignment="1">
      <alignment horizontal="center" vertical="center" wrapText="1"/>
    </xf>
    <xf numFmtId="3" fontId="2" fillId="43" borderId="147" xfId="0" applyNumberFormat="1" applyFont="1" applyFill="1" applyBorder="1" applyAlignment="1">
      <alignment horizontal="center" vertical="center" wrapText="1"/>
    </xf>
    <xf numFmtId="3" fontId="2" fillId="43" borderId="0" xfId="0" applyNumberFormat="1" applyFont="1" applyFill="1" applyAlignment="1">
      <alignment horizontal="center" vertical="center" wrapText="1"/>
    </xf>
    <xf numFmtId="3" fontId="4" fillId="42" borderId="0" xfId="0" applyNumberFormat="1" applyFont="1" applyFill="1" applyAlignment="1">
      <alignment horizontal="center" vertical="center" wrapText="1"/>
    </xf>
    <xf numFmtId="3" fontId="2" fillId="42" borderId="0" xfId="0" applyNumberFormat="1" applyFont="1" applyFill="1" applyAlignment="1">
      <alignment horizontal="center" vertical="center" wrapText="1"/>
    </xf>
    <xf numFmtId="0" fontId="6" fillId="40" borderId="0" xfId="0" applyFont="1" applyFill="1" applyAlignment="1">
      <alignment horizontal="right"/>
    </xf>
    <xf numFmtId="0" fontId="2" fillId="43" borderId="199" xfId="0" applyFont="1" applyFill="1" applyBorder="1" applyAlignment="1">
      <alignment horizontal="center" vertical="center"/>
    </xf>
    <xf numFmtId="0" fontId="2" fillId="43" borderId="153" xfId="0" applyFont="1" applyFill="1" applyBorder="1" applyAlignment="1">
      <alignment horizontal="center" vertical="center"/>
    </xf>
    <xf numFmtId="3" fontId="2" fillId="43" borderId="231" xfId="0" applyNumberFormat="1" applyFont="1" applyFill="1" applyBorder="1" applyAlignment="1">
      <alignment horizontal="center" vertical="center" wrapText="1"/>
    </xf>
    <xf numFmtId="3" fontId="2" fillId="43" borderId="207" xfId="0" applyNumberFormat="1" applyFont="1" applyFill="1" applyBorder="1" applyAlignment="1">
      <alignment horizontal="center" vertical="center" wrapText="1"/>
    </xf>
    <xf numFmtId="3" fontId="15" fillId="40" borderId="0" xfId="0" applyNumberFormat="1" applyFont="1" applyFill="1" applyAlignment="1">
      <alignment horizontal="center" vertical="center" wrapText="1"/>
    </xf>
    <xf numFmtId="3" fontId="2" fillId="40" borderId="0" xfId="0" applyNumberFormat="1" applyFont="1" applyFill="1" applyAlignment="1">
      <alignment horizontal="center" vertical="center"/>
    </xf>
    <xf numFmtId="176" fontId="6" fillId="40" borderId="0" xfId="61" applyFont="1" applyFill="1" applyAlignment="1">
      <alignment horizontal="right" vertical="center"/>
    </xf>
    <xf numFmtId="3" fontId="0" fillId="40" borderId="0" xfId="0" applyNumberFormat="1" applyFill="1" applyAlignment="1">
      <alignment horizontal="center"/>
    </xf>
    <xf numFmtId="0" fontId="5" fillId="40" borderId="0" xfId="0" applyFont="1" applyFill="1" applyAlignment="1">
      <alignment horizontal="center" vertical="center" wrapText="1"/>
    </xf>
    <xf numFmtId="0" fontId="6" fillId="40" borderId="0" xfId="0" applyFont="1" applyFill="1" applyAlignment="1">
      <alignment horizontal="right" vertical="center"/>
    </xf>
    <xf numFmtId="3" fontId="0" fillId="40" borderId="232" xfId="0" applyNumberFormat="1" applyFill="1" applyBorder="1" applyAlignment="1">
      <alignment horizontal="right" vertical="center" wrapText="1"/>
    </xf>
    <xf numFmtId="0" fontId="84" fillId="0" borderId="56" xfId="0" applyFont="1" applyBorder="1" applyAlignment="1">
      <alignment horizontal="center" vertical="center" wrapText="1"/>
    </xf>
    <xf numFmtId="176" fontId="81" fillId="0" borderId="0" xfId="61" applyFont="1" applyAlignment="1">
      <alignment horizontal="center"/>
    </xf>
    <xf numFmtId="176" fontId="89" fillId="0" borderId="0" xfId="61" applyFont="1" applyAlignment="1">
      <alignment horizontal="right" vertical="center"/>
    </xf>
    <xf numFmtId="3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right" vertical="center"/>
    </xf>
    <xf numFmtId="0" fontId="82" fillId="0" borderId="0" xfId="0" applyFont="1" applyAlignment="1">
      <alignment horizontal="right"/>
    </xf>
    <xf numFmtId="176" fontId="6" fillId="0" borderId="0" xfId="61" applyFont="1" applyAlignment="1">
      <alignment horizontal="right" vertical="center"/>
    </xf>
    <xf numFmtId="3" fontId="2" fillId="0" borderId="0" xfId="0" applyNumberFormat="1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76" fontId="7" fillId="0" borderId="0" xfId="6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2" fillId="54" borderId="15" xfId="0" applyFont="1" applyFill="1" applyBorder="1" applyAlignment="1">
      <alignment horizontal="left" vertical="center" wrapText="1"/>
    </xf>
    <xf numFmtId="0" fontId="2" fillId="54" borderId="17" xfId="0" applyFont="1" applyFill="1" applyBorder="1" applyAlignment="1">
      <alignment horizontal="left" vertical="center" wrapText="1"/>
    </xf>
    <xf numFmtId="0" fontId="0" fillId="54" borderId="17" xfId="0" applyFill="1" applyBorder="1" applyAlignment="1">
      <alignment horizontal="left" vertical="center" wrapText="1"/>
    </xf>
    <xf numFmtId="0" fontId="0" fillId="0" borderId="42" xfId="0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31" fillId="0" borderId="105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3" fontId="6" fillId="0" borderId="190" xfId="0" applyNumberFormat="1" applyFont="1" applyBorder="1" applyAlignment="1">
      <alignment horizontal="left" vertical="center"/>
    </xf>
    <xf numFmtId="3" fontId="6" fillId="0" borderId="151" xfId="0" applyNumberFormat="1" applyFont="1" applyBorder="1" applyAlignment="1">
      <alignment horizontal="left" vertical="center"/>
    </xf>
    <xf numFmtId="0" fontId="2" fillId="0" borderId="10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6" fillId="0" borderId="11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" fontId="31" fillId="0" borderId="56" xfId="0" applyNumberFormat="1" applyFont="1" applyBorder="1" applyAlignment="1">
      <alignment horizontal="left"/>
    </xf>
    <xf numFmtId="3" fontId="2" fillId="37" borderId="78" xfId="0" applyNumberFormat="1" applyFont="1" applyFill="1" applyBorder="1" applyAlignment="1">
      <alignment horizontal="center" vertical="center" wrapText="1"/>
    </xf>
    <xf numFmtId="3" fontId="2" fillId="37" borderId="228" xfId="0" applyNumberFormat="1" applyFont="1" applyFill="1" applyBorder="1" applyAlignment="1">
      <alignment horizontal="center" vertical="center" wrapText="1"/>
    </xf>
    <xf numFmtId="3" fontId="2" fillId="37" borderId="222" xfId="0" applyNumberFormat="1" applyFont="1" applyFill="1" applyBorder="1" applyAlignment="1">
      <alignment horizontal="center" vertical="center" wrapText="1"/>
    </xf>
    <xf numFmtId="3" fontId="2" fillId="37" borderId="223" xfId="0" applyNumberFormat="1" applyFont="1" applyFill="1" applyBorder="1" applyAlignment="1">
      <alignment horizontal="center" vertical="center" wrapText="1"/>
    </xf>
    <xf numFmtId="0" fontId="2" fillId="0" borderId="137" xfId="0" applyFont="1" applyBorder="1" applyAlignment="1">
      <alignment horizontal="center"/>
    </xf>
    <xf numFmtId="0" fontId="2" fillId="0" borderId="233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3" fontId="13" fillId="0" borderId="67" xfId="0" applyNumberFormat="1" applyFont="1" applyBorder="1" applyAlignment="1">
      <alignment horizontal="left"/>
    </xf>
    <xf numFmtId="3" fontId="13" fillId="0" borderId="68" xfId="0" applyNumberFormat="1" applyFont="1" applyBorder="1" applyAlignment="1">
      <alignment horizontal="left"/>
    </xf>
    <xf numFmtId="3" fontId="2" fillId="0" borderId="56" xfId="0" applyNumberFormat="1" applyFont="1" applyBorder="1" applyAlignment="1">
      <alignment horizontal="left"/>
    </xf>
    <xf numFmtId="3" fontId="2" fillId="0" borderId="67" xfId="0" applyNumberFormat="1" applyFont="1" applyBorder="1" applyAlignment="1">
      <alignment horizontal="left"/>
    </xf>
    <xf numFmtId="3" fontId="2" fillId="0" borderId="68" xfId="0" applyNumberFormat="1" applyFont="1" applyBorder="1" applyAlignment="1">
      <alignment horizontal="left"/>
    </xf>
    <xf numFmtId="0" fontId="31" fillId="0" borderId="138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3" fontId="2" fillId="0" borderId="69" xfId="0" applyNumberFormat="1" applyFont="1" applyBorder="1" applyAlignment="1">
      <alignment horizontal="left"/>
    </xf>
    <xf numFmtId="3" fontId="2" fillId="0" borderId="70" xfId="0" applyNumberFormat="1" applyFont="1" applyBorder="1" applyAlignment="1">
      <alignment horizontal="left"/>
    </xf>
    <xf numFmtId="3" fontId="2" fillId="0" borderId="82" xfId="0" applyNumberFormat="1" applyFont="1" applyBorder="1" applyAlignment="1">
      <alignment horizontal="left" vertical="center" wrapText="1"/>
    </xf>
    <xf numFmtId="3" fontId="2" fillId="0" borderId="83" xfId="0" applyNumberFormat="1" applyFont="1" applyBorder="1" applyAlignment="1">
      <alignment horizontal="left" vertical="center" wrapText="1"/>
    </xf>
    <xf numFmtId="3" fontId="2" fillId="0" borderId="64" xfId="0" applyNumberFormat="1" applyFont="1" applyBorder="1" applyAlignment="1">
      <alignment horizontal="left"/>
    </xf>
    <xf numFmtId="3" fontId="6" fillId="36" borderId="66" xfId="0" applyNumberFormat="1" applyFont="1" applyFill="1" applyBorder="1" applyAlignment="1">
      <alignment horizontal="left" vertical="center"/>
    </xf>
    <xf numFmtId="0" fontId="5" fillId="39" borderId="163" xfId="0" applyFont="1" applyFill="1" applyBorder="1" applyAlignment="1">
      <alignment horizontal="center"/>
    </xf>
    <xf numFmtId="0" fontId="5" fillId="39" borderId="164" xfId="0" applyFont="1" applyFill="1" applyBorder="1" applyAlignment="1">
      <alignment horizontal="center"/>
    </xf>
    <xf numFmtId="0" fontId="31" fillId="0" borderId="56" xfId="0" applyFont="1" applyBorder="1" applyAlignment="1">
      <alignment horizontal="left"/>
    </xf>
    <xf numFmtId="0" fontId="2" fillId="0" borderId="106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3" fontId="31" fillId="0" borderId="56" xfId="0" applyNumberFormat="1" applyFont="1" applyBorder="1" applyAlignment="1">
      <alignment horizontal="center"/>
    </xf>
    <xf numFmtId="0" fontId="2" fillId="0" borderId="13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3" fontId="2" fillId="37" borderId="229" xfId="0" applyNumberFormat="1" applyFont="1" applyFill="1" applyBorder="1" applyAlignment="1">
      <alignment horizontal="center" vertical="center" wrapText="1"/>
    </xf>
    <xf numFmtId="3" fontId="2" fillId="37" borderId="46" xfId="0" applyNumberFormat="1" applyFont="1" applyFill="1" applyBorder="1" applyAlignment="1">
      <alignment horizontal="center" vertical="center" wrapText="1"/>
    </xf>
    <xf numFmtId="0" fontId="8" fillId="0" borderId="10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6" fillId="36" borderId="114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3" fontId="5" fillId="39" borderId="164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0" fillId="0" borderId="152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1" xfId="0" applyNumberForma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234" xfId="0" applyFont="1" applyBorder="1" applyAlignment="1">
      <alignment horizontal="center"/>
    </xf>
    <xf numFmtId="3" fontId="6" fillId="0" borderId="52" xfId="0" applyNumberFormat="1" applyFont="1" applyBorder="1" applyAlignment="1">
      <alignment horizontal="left"/>
    </xf>
    <xf numFmtId="3" fontId="2" fillId="33" borderId="77" xfId="0" applyNumberFormat="1" applyFont="1" applyFill="1" applyBorder="1" applyAlignment="1">
      <alignment horizontal="center" vertical="center"/>
    </xf>
    <xf numFmtId="0" fontId="31" fillId="0" borderId="67" xfId="0" applyFont="1" applyBorder="1" applyAlignment="1">
      <alignment horizontal="center"/>
    </xf>
    <xf numFmtId="0" fontId="5" fillId="37" borderId="204" xfId="0" applyFont="1" applyFill="1" applyBorder="1" applyAlignment="1">
      <alignment horizontal="center"/>
    </xf>
    <xf numFmtId="0" fontId="5" fillId="37" borderId="219" xfId="0" applyFont="1" applyFill="1" applyBorder="1" applyAlignment="1">
      <alignment horizontal="center"/>
    </xf>
    <xf numFmtId="3" fontId="2" fillId="33" borderId="225" xfId="0" applyNumberFormat="1" applyFont="1" applyFill="1" applyBorder="1" applyAlignment="1">
      <alignment horizontal="center" vertical="center" wrapText="1"/>
    </xf>
    <xf numFmtId="3" fontId="2" fillId="33" borderId="235" xfId="0" applyNumberFormat="1" applyFont="1" applyFill="1" applyBorder="1" applyAlignment="1">
      <alignment horizontal="center" vertical="center" wrapText="1"/>
    </xf>
    <xf numFmtId="3" fontId="2" fillId="33" borderId="236" xfId="0" applyNumberFormat="1" applyFont="1" applyFill="1" applyBorder="1" applyAlignment="1">
      <alignment horizontal="center" vertical="center" wrapText="1"/>
    </xf>
    <xf numFmtId="3" fontId="2" fillId="33" borderId="237" xfId="0" applyNumberFormat="1" applyFont="1" applyFill="1" applyBorder="1" applyAlignment="1">
      <alignment horizontal="center" vertical="center" wrapText="1"/>
    </xf>
    <xf numFmtId="3" fontId="2" fillId="33" borderId="229" xfId="0" applyNumberFormat="1" applyFont="1" applyFill="1" applyBorder="1" applyAlignment="1">
      <alignment horizontal="center" vertical="center" wrapText="1"/>
    </xf>
    <xf numFmtId="0" fontId="2" fillId="0" borderId="15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204" xfId="0" applyFont="1" applyBorder="1" applyAlignment="1">
      <alignment horizontal="center"/>
    </xf>
    <xf numFmtId="0" fontId="6" fillId="0" borderId="21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33" borderId="14" xfId="0" applyNumberFormat="1" applyFont="1" applyFill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8" fillId="0" borderId="238" xfId="0" applyNumberFormat="1" applyFont="1" applyBorder="1" applyAlignment="1">
      <alignment horizontal="center"/>
    </xf>
    <xf numFmtId="3" fontId="8" fillId="0" borderId="239" xfId="0" applyNumberFormat="1" applyFont="1" applyBorder="1" applyAlignment="1">
      <alignment horizontal="center"/>
    </xf>
    <xf numFmtId="3" fontId="0" fillId="0" borderId="64" xfId="0" applyNumberFormat="1" applyBorder="1" applyAlignment="1">
      <alignment horizontal="center" vertical="center"/>
    </xf>
    <xf numFmtId="3" fontId="2" fillId="0" borderId="240" xfId="0" applyNumberFormat="1" applyFont="1" applyBorder="1" applyAlignment="1">
      <alignment horizontal="center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left"/>
    </xf>
    <xf numFmtId="3" fontId="0" fillId="0" borderId="179" xfId="0" applyNumberFormat="1" applyBorder="1" applyAlignment="1">
      <alignment horizontal="center"/>
    </xf>
    <xf numFmtId="3" fontId="6" fillId="0" borderId="170" xfId="0" applyNumberFormat="1" applyFont="1" applyBorder="1" applyAlignment="1">
      <alignment horizontal="center" vertical="center"/>
    </xf>
    <xf numFmtId="3" fontId="6" fillId="0" borderId="241" xfId="0" applyNumberFormat="1" applyFont="1" applyBorder="1" applyAlignment="1">
      <alignment horizontal="center" vertical="center"/>
    </xf>
    <xf numFmtId="3" fontId="8" fillId="0" borderId="242" xfId="0" applyNumberFormat="1" applyFont="1" applyBorder="1" applyAlignment="1">
      <alignment horizontal="center"/>
    </xf>
    <xf numFmtId="3" fontId="8" fillId="0" borderId="243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left"/>
    </xf>
    <xf numFmtId="3" fontId="6" fillId="0" borderId="50" xfId="0" applyNumberFormat="1" applyFont="1" applyBorder="1" applyAlignment="1">
      <alignment horizontal="center"/>
    </xf>
    <xf numFmtId="3" fontId="6" fillId="0" borderId="234" xfId="0" applyNumberFormat="1" applyFont="1" applyBorder="1" applyAlignment="1">
      <alignment horizontal="center"/>
    </xf>
    <xf numFmtId="3" fontId="5" fillId="37" borderId="244" xfId="0" applyNumberFormat="1" applyFont="1" applyFill="1" applyBorder="1" applyAlignment="1">
      <alignment horizontal="center"/>
    </xf>
    <xf numFmtId="3" fontId="2" fillId="33" borderId="50" xfId="0" applyNumberFormat="1" applyFont="1" applyFill="1" applyBorder="1" applyAlignment="1">
      <alignment horizontal="center" vertical="center" wrapText="1"/>
    </xf>
    <xf numFmtId="3" fontId="2" fillId="33" borderId="241" xfId="0" applyNumberFormat="1" applyFont="1" applyFill="1" applyBorder="1" applyAlignment="1">
      <alignment horizontal="center" vertical="center" wrapText="1"/>
    </xf>
    <xf numFmtId="3" fontId="8" fillId="0" borderId="67" xfId="0" applyNumberFormat="1" applyFont="1" applyBorder="1" applyAlignment="1">
      <alignment horizontal="left"/>
    </xf>
    <xf numFmtId="3" fontId="8" fillId="0" borderId="68" xfId="0" applyNumberFormat="1" applyFont="1" applyBorder="1" applyAlignment="1">
      <alignment horizontal="left"/>
    </xf>
    <xf numFmtId="3" fontId="0" fillId="0" borderId="245" xfId="0" applyNumberFormat="1" applyBorder="1" applyAlignment="1">
      <alignment horizontal="center"/>
    </xf>
    <xf numFmtId="3" fontId="0" fillId="0" borderId="246" xfId="0" applyNumberFormat="1" applyBorder="1" applyAlignment="1">
      <alignment horizontal="center"/>
    </xf>
    <xf numFmtId="3" fontId="8" fillId="0" borderId="246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8" fillId="0" borderId="24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0" fontId="8" fillId="36" borderId="138" xfId="0" applyFont="1" applyFill="1" applyBorder="1" applyAlignment="1">
      <alignment horizontal="right"/>
    </xf>
    <xf numFmtId="0" fontId="8" fillId="36" borderId="68" xfId="0" applyFont="1" applyFill="1" applyBorder="1" applyAlignment="1">
      <alignment horizontal="right"/>
    </xf>
    <xf numFmtId="0" fontId="8" fillId="0" borderId="248" xfId="0" applyFont="1" applyBorder="1" applyAlignment="1">
      <alignment horizontal="right"/>
    </xf>
    <xf numFmtId="0" fontId="8" fillId="0" borderId="188" xfId="0" applyFont="1" applyBorder="1" applyAlignment="1">
      <alignment horizontal="right"/>
    </xf>
    <xf numFmtId="3" fontId="15" fillId="37" borderId="50" xfId="0" applyNumberFormat="1" applyFont="1" applyFill="1" applyBorder="1" applyAlignment="1">
      <alignment horizontal="center" vertical="center"/>
    </xf>
    <xf numFmtId="3" fontId="15" fillId="37" borderId="234" xfId="0" applyNumberFormat="1" applyFont="1" applyFill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0" fillId="0" borderId="228" xfId="0" applyNumberFormat="1" applyBorder="1" applyAlignment="1">
      <alignment horizontal="center" vertical="center"/>
    </xf>
    <xf numFmtId="3" fontId="0" fillId="0" borderId="152" xfId="0" applyNumberFormat="1" applyBorder="1" applyAlignment="1">
      <alignment horizontal="center" vertical="center"/>
    </xf>
    <xf numFmtId="3" fontId="0" fillId="0" borderId="105" xfId="0" applyNumberFormat="1" applyBorder="1" applyAlignment="1">
      <alignment horizontal="center" vertical="center"/>
    </xf>
    <xf numFmtId="3" fontId="2" fillId="0" borderId="11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42" borderId="67" xfId="0" applyNumberFormat="1" applyFont="1" applyFill="1" applyBorder="1" applyAlignment="1">
      <alignment horizontal="left" vertical="center"/>
    </xf>
    <xf numFmtId="3" fontId="2" fillId="42" borderId="68" xfId="0" applyNumberFormat="1" applyFont="1" applyFill="1" applyBorder="1" applyAlignment="1">
      <alignment horizontal="left" vertical="center"/>
    </xf>
    <xf numFmtId="3" fontId="8" fillId="42" borderId="67" xfId="0" applyNumberFormat="1" applyFont="1" applyFill="1" applyBorder="1" applyAlignment="1">
      <alignment horizontal="left" vertical="center"/>
    </xf>
    <xf numFmtId="3" fontId="8" fillId="42" borderId="68" xfId="0" applyNumberFormat="1" applyFont="1" applyFill="1" applyBorder="1" applyAlignment="1">
      <alignment horizontal="left" vertical="center"/>
    </xf>
    <xf numFmtId="3" fontId="2" fillId="33" borderId="228" xfId="0" applyNumberFormat="1" applyFont="1" applyFill="1" applyBorder="1" applyAlignment="1">
      <alignment horizontal="center" vertical="center" wrapText="1"/>
    </xf>
    <xf numFmtId="3" fontId="13" fillId="0" borderId="131" xfId="0" applyNumberFormat="1" applyFont="1" applyBorder="1" applyAlignment="1">
      <alignment horizontal="left"/>
    </xf>
    <xf numFmtId="3" fontId="2" fillId="33" borderId="21" xfId="0" applyNumberFormat="1" applyFont="1" applyFill="1" applyBorder="1" applyAlignment="1">
      <alignment horizontal="center" vertical="center"/>
    </xf>
    <xf numFmtId="3" fontId="2" fillId="33" borderId="213" xfId="0" applyNumberFormat="1" applyFont="1" applyFill="1" applyBorder="1" applyAlignment="1">
      <alignment horizontal="center" vertical="center" wrapText="1"/>
    </xf>
    <xf numFmtId="3" fontId="2" fillId="33" borderId="135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3" fontId="6" fillId="0" borderId="51" xfId="0" applyNumberFormat="1" applyFont="1" applyBorder="1" applyAlignment="1">
      <alignment horizontal="left" vertical="center"/>
    </xf>
    <xf numFmtId="3" fontId="6" fillId="0" borderId="113" xfId="0" applyNumberFormat="1" applyFont="1" applyBorder="1" applyAlignment="1">
      <alignment horizontal="left" vertical="center"/>
    </xf>
    <xf numFmtId="3" fontId="2" fillId="33" borderId="249" xfId="0" applyNumberFormat="1" applyFont="1" applyFill="1" applyBorder="1" applyAlignment="1">
      <alignment horizontal="center" vertical="center" wrapText="1"/>
    </xf>
    <xf numFmtId="3" fontId="2" fillId="33" borderId="48" xfId="0" applyNumberFormat="1" applyFont="1" applyFill="1" applyBorder="1" applyAlignment="1">
      <alignment horizontal="center" vertical="center" wrapText="1"/>
    </xf>
    <xf numFmtId="3" fontId="5" fillId="46" borderId="66" xfId="0" applyNumberFormat="1" applyFont="1" applyFill="1" applyBorder="1" applyAlignment="1">
      <alignment horizontal="left" vertical="center"/>
    </xf>
    <xf numFmtId="3" fontId="8" fillId="0" borderId="11" xfId="0" applyNumberFormat="1" applyFont="1" applyBorder="1" applyAlignment="1">
      <alignment horizontal="left"/>
    </xf>
    <xf numFmtId="3" fontId="8" fillId="0" borderId="29" xfId="0" applyNumberFormat="1" applyFont="1" applyBorder="1" applyAlignment="1">
      <alignment horizontal="left"/>
    </xf>
    <xf numFmtId="3" fontId="6" fillId="0" borderId="66" xfId="0" applyNumberFormat="1" applyFont="1" applyBorder="1" applyAlignment="1">
      <alignment horizontal="left" vertical="center"/>
    </xf>
    <xf numFmtId="3" fontId="2" fillId="0" borderId="199" xfId="0" applyNumberFormat="1" applyFont="1" applyBorder="1" applyAlignment="1">
      <alignment horizontal="left"/>
    </xf>
    <xf numFmtId="3" fontId="2" fillId="0" borderId="250" xfId="0" applyNumberFormat="1" applyFont="1" applyBorder="1" applyAlignment="1">
      <alignment horizontal="left"/>
    </xf>
    <xf numFmtId="3" fontId="24" fillId="33" borderId="14" xfId="0" applyNumberFormat="1" applyFont="1" applyFill="1" applyBorder="1" applyAlignment="1">
      <alignment horizontal="center" vertical="center" wrapText="1"/>
    </xf>
    <xf numFmtId="175" fontId="18" fillId="0" borderId="30" xfId="46" applyNumberFormat="1" applyFont="1" applyBorder="1" applyAlignment="1">
      <alignment horizontal="left"/>
    </xf>
    <xf numFmtId="175" fontId="18" fillId="0" borderId="31" xfId="46" applyNumberFormat="1" applyFont="1" applyBorder="1" applyAlignment="1">
      <alignment horizontal="left"/>
    </xf>
    <xf numFmtId="175" fontId="26" fillId="0" borderId="56" xfId="46" applyNumberFormat="1" applyFont="1" applyBorder="1" applyAlignment="1">
      <alignment horizontal="center"/>
    </xf>
    <xf numFmtId="175" fontId="18" fillId="0" borderId="56" xfId="46" applyNumberFormat="1" applyFont="1" applyBorder="1" applyAlignment="1">
      <alignment horizontal="left"/>
    </xf>
    <xf numFmtId="175" fontId="20" fillId="0" borderId="177" xfId="46" applyNumberFormat="1" applyFont="1" applyBorder="1" applyAlignment="1">
      <alignment horizontal="left"/>
    </xf>
    <xf numFmtId="175" fontId="20" fillId="0" borderId="205" xfId="46" applyNumberFormat="1" applyFont="1" applyBorder="1" applyAlignment="1">
      <alignment horizontal="left"/>
    </xf>
    <xf numFmtId="3" fontId="24" fillId="33" borderId="56" xfId="0" applyNumberFormat="1" applyFont="1" applyFill="1" applyBorder="1" applyAlignment="1">
      <alignment horizontal="center" vertical="center" wrapText="1"/>
    </xf>
    <xf numFmtId="175" fontId="24" fillId="0" borderId="11" xfId="46" applyNumberFormat="1" applyFont="1" applyBorder="1" applyAlignment="1">
      <alignment horizontal="left"/>
    </xf>
    <xf numFmtId="175" fontId="24" fillId="0" borderId="29" xfId="46" applyNumberFormat="1" applyFont="1" applyBorder="1" applyAlignment="1">
      <alignment horizontal="left"/>
    </xf>
    <xf numFmtId="175" fontId="24" fillId="0" borderId="12" xfId="46" applyNumberFormat="1" applyFont="1" applyBorder="1" applyAlignment="1">
      <alignment horizontal="left"/>
    </xf>
    <xf numFmtId="175" fontId="24" fillId="0" borderId="30" xfId="46" applyNumberFormat="1" applyFont="1" applyBorder="1" applyAlignment="1">
      <alignment horizontal="left"/>
    </xf>
    <xf numFmtId="175" fontId="24" fillId="0" borderId="31" xfId="46" applyNumberFormat="1" applyFont="1" applyBorder="1" applyAlignment="1">
      <alignment horizontal="left"/>
    </xf>
    <xf numFmtId="175" fontId="20" fillId="0" borderId="51" xfId="46" applyNumberFormat="1" applyFont="1" applyBorder="1" applyAlignment="1">
      <alignment horizontal="left"/>
    </xf>
    <xf numFmtId="175" fontId="20" fillId="0" borderId="113" xfId="46" applyNumberFormat="1" applyFont="1" applyBorder="1" applyAlignment="1">
      <alignment horizontal="left"/>
    </xf>
    <xf numFmtId="175" fontId="18" fillId="0" borderId="199" xfId="46" applyNumberFormat="1" applyFont="1" applyBorder="1" applyAlignment="1">
      <alignment horizontal="left"/>
    </xf>
    <xf numFmtId="175" fontId="18" fillId="0" borderId="250" xfId="46" applyNumberFormat="1" applyFont="1" applyBorder="1" applyAlignment="1">
      <alignment horizontal="left"/>
    </xf>
    <xf numFmtId="3" fontId="0" fillId="0" borderId="251" xfId="0" applyNumberFormat="1" applyBorder="1" applyAlignment="1">
      <alignment horizontal="left" vertical="center"/>
    </xf>
    <xf numFmtId="3" fontId="0" fillId="0" borderId="252" xfId="0" applyNumberFormat="1" applyBorder="1" applyAlignment="1">
      <alignment horizontal="left" vertical="center"/>
    </xf>
    <xf numFmtId="3" fontId="0" fillId="0" borderId="253" xfId="0" applyNumberFormat="1" applyBorder="1" applyAlignment="1">
      <alignment horizontal="left" vertical="center"/>
    </xf>
    <xf numFmtId="3" fontId="0" fillId="0" borderId="254" xfId="0" applyNumberFormat="1" applyBorder="1" applyAlignment="1">
      <alignment horizontal="left" vertical="center"/>
    </xf>
    <xf numFmtId="3" fontId="0" fillId="0" borderId="255" xfId="0" applyNumberFormat="1" applyBorder="1" applyAlignment="1">
      <alignment horizontal="left" vertical="center"/>
    </xf>
    <xf numFmtId="3" fontId="0" fillId="0" borderId="256" xfId="0" applyNumberFormat="1" applyBorder="1" applyAlignment="1">
      <alignment horizontal="left" vertical="center"/>
    </xf>
    <xf numFmtId="3" fontId="0" fillId="0" borderId="257" xfId="0" applyNumberFormat="1" applyBorder="1" applyAlignment="1">
      <alignment horizontal="left" vertical="center"/>
    </xf>
    <xf numFmtId="3" fontId="0" fillId="0" borderId="258" xfId="0" applyNumberFormat="1" applyBorder="1" applyAlignment="1">
      <alignment horizontal="left" vertical="center"/>
    </xf>
    <xf numFmtId="3" fontId="31" fillId="0" borderId="259" xfId="0" applyNumberFormat="1" applyFont="1" applyBorder="1" applyAlignment="1">
      <alignment horizontal="left" vertical="center"/>
    </xf>
    <xf numFmtId="3" fontId="31" fillId="0" borderId="260" xfId="0" applyNumberFormat="1" applyFont="1" applyBorder="1" applyAlignment="1">
      <alignment horizontal="left" vertical="center"/>
    </xf>
    <xf numFmtId="3" fontId="31" fillId="0" borderId="261" xfId="0" applyNumberFormat="1" applyFont="1" applyBorder="1" applyAlignment="1">
      <alignment horizontal="left" vertical="center"/>
    </xf>
    <xf numFmtId="3" fontId="31" fillId="0" borderId="239" xfId="0" applyNumberFormat="1" applyFont="1" applyBorder="1" applyAlignment="1">
      <alignment horizontal="left" vertical="center"/>
    </xf>
    <xf numFmtId="3" fontId="31" fillId="0" borderId="261" xfId="0" applyNumberFormat="1" applyFont="1" applyBorder="1" applyAlignment="1">
      <alignment horizontal="left" vertical="center" wrapText="1"/>
    </xf>
    <xf numFmtId="3" fontId="31" fillId="0" borderId="239" xfId="0" applyNumberFormat="1" applyFont="1" applyBorder="1" applyAlignment="1">
      <alignment horizontal="left" vertical="center" wrapText="1"/>
    </xf>
    <xf numFmtId="3" fontId="31" fillId="0" borderId="257" xfId="0" applyNumberFormat="1" applyFont="1" applyBorder="1" applyAlignment="1">
      <alignment horizontal="left" vertical="center"/>
    </xf>
    <xf numFmtId="3" fontId="31" fillId="0" borderId="258" xfId="0" applyNumberFormat="1" applyFont="1" applyBorder="1" applyAlignment="1">
      <alignment horizontal="left" vertical="center"/>
    </xf>
    <xf numFmtId="175" fontId="24" fillId="0" borderId="11" xfId="46" applyNumberFormat="1" applyFont="1" applyBorder="1" applyAlignment="1">
      <alignment horizontal="left" vertical="center" wrapText="1"/>
    </xf>
    <xf numFmtId="175" fontId="24" fillId="0" borderId="29" xfId="46" applyNumberFormat="1" applyFont="1" applyBorder="1" applyAlignment="1">
      <alignment horizontal="left" vertical="center" wrapText="1"/>
    </xf>
    <xf numFmtId="3" fontId="31" fillId="0" borderId="253" xfId="0" applyNumberFormat="1" applyFont="1" applyBorder="1" applyAlignment="1">
      <alignment horizontal="center"/>
    </xf>
    <xf numFmtId="3" fontId="31" fillId="0" borderId="254" xfId="0" applyNumberFormat="1" applyFont="1" applyBorder="1" applyAlignment="1">
      <alignment horizontal="center"/>
    </xf>
    <xf numFmtId="3" fontId="31" fillId="0" borderId="255" xfId="0" applyNumberFormat="1" applyFont="1" applyBorder="1" applyAlignment="1">
      <alignment horizontal="left"/>
    </xf>
    <xf numFmtId="3" fontId="31" fillId="0" borderId="256" xfId="0" applyNumberFormat="1" applyFont="1" applyBorder="1" applyAlignment="1">
      <alignment horizontal="left"/>
    </xf>
    <xf numFmtId="3" fontId="2" fillId="0" borderId="257" xfId="0" applyNumberFormat="1" applyFont="1" applyBorder="1" applyAlignment="1">
      <alignment horizontal="left" vertical="center" wrapText="1"/>
    </xf>
    <xf numFmtId="3" fontId="2" fillId="0" borderId="258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0" fillId="0" borderId="29" xfId="0" applyNumberFormat="1" applyBorder="1" applyAlignment="1">
      <alignment horizontal="left" vertical="center" wrapText="1"/>
    </xf>
    <xf numFmtId="3" fontId="31" fillId="0" borderId="11" xfId="0" applyNumberFormat="1" applyFont="1" applyBorder="1" applyAlignment="1">
      <alignment horizontal="left" vertical="center" wrapText="1"/>
    </xf>
    <xf numFmtId="3" fontId="31" fillId="0" borderId="29" xfId="0" applyNumberFormat="1" applyFont="1" applyBorder="1" applyAlignment="1">
      <alignment horizontal="left" vertical="center" wrapText="1"/>
    </xf>
    <xf numFmtId="175" fontId="24" fillId="0" borderId="12" xfId="46" applyNumberFormat="1" applyFont="1" applyBorder="1" applyAlignment="1">
      <alignment horizontal="left" vertical="center" wrapText="1"/>
    </xf>
    <xf numFmtId="3" fontId="31" fillId="0" borderId="261" xfId="0" applyNumberFormat="1" applyFont="1" applyBorder="1" applyAlignment="1">
      <alignment horizontal="left" wrapText="1"/>
    </xf>
    <xf numFmtId="3" fontId="31" fillId="0" borderId="239" xfId="0" applyNumberFormat="1" applyFont="1" applyBorder="1" applyAlignment="1">
      <alignment horizontal="left" wrapText="1"/>
    </xf>
    <xf numFmtId="3" fontId="0" fillId="0" borderId="262" xfId="0" applyNumberFormat="1" applyBorder="1" applyAlignment="1">
      <alignment horizontal="left" vertical="center" wrapText="1"/>
    </xf>
    <xf numFmtId="3" fontId="0" fillId="0" borderId="263" xfId="0" applyNumberFormat="1" applyBorder="1" applyAlignment="1">
      <alignment horizontal="left" vertical="center" wrapText="1"/>
    </xf>
    <xf numFmtId="3" fontId="0" fillId="40" borderId="253" xfId="0" applyNumberFormat="1" applyFill="1" applyBorder="1" applyAlignment="1">
      <alignment horizontal="left" wrapText="1"/>
    </xf>
    <xf numFmtId="3" fontId="0" fillId="40" borderId="254" xfId="0" applyNumberFormat="1" applyFill="1" applyBorder="1" applyAlignment="1">
      <alignment horizontal="left" wrapText="1"/>
    </xf>
    <xf numFmtId="3" fontId="31" fillId="0" borderId="253" xfId="0" applyNumberFormat="1" applyFont="1" applyBorder="1" applyAlignment="1">
      <alignment horizontal="left"/>
    </xf>
    <xf numFmtId="3" fontId="31" fillId="0" borderId="254" xfId="0" applyNumberFormat="1" applyFont="1" applyBorder="1" applyAlignment="1">
      <alignment horizontal="left"/>
    </xf>
    <xf numFmtId="3" fontId="24" fillId="33" borderId="81" xfId="0" applyNumberFormat="1" applyFont="1" applyFill="1" applyBorder="1" applyAlignment="1">
      <alignment horizontal="center" vertical="center" wrapText="1"/>
    </xf>
    <xf numFmtId="3" fontId="24" fillId="33" borderId="73" xfId="0" applyNumberFormat="1" applyFont="1" applyFill="1" applyBorder="1" applyAlignment="1">
      <alignment horizontal="center" vertical="center" wrapText="1"/>
    </xf>
    <xf numFmtId="3" fontId="24" fillId="33" borderId="73" xfId="0" applyNumberFormat="1" applyFont="1" applyFill="1" applyBorder="1" applyAlignment="1">
      <alignment horizontal="center" vertical="center"/>
    </xf>
    <xf numFmtId="3" fontId="31" fillId="0" borderId="65" xfId="0" applyNumberFormat="1" applyFont="1" applyBorder="1" applyAlignment="1">
      <alignment horizontal="left" wrapText="1"/>
    </xf>
    <xf numFmtId="3" fontId="31" fillId="0" borderId="264" xfId="0" applyNumberFormat="1" applyFont="1" applyBorder="1" applyAlignment="1">
      <alignment horizontal="left" wrapText="1"/>
    </xf>
    <xf numFmtId="3" fontId="31" fillId="0" borderId="265" xfId="0" applyNumberFormat="1" applyFont="1" applyBorder="1" applyAlignment="1">
      <alignment horizontal="left" wrapText="1"/>
    </xf>
    <xf numFmtId="0" fontId="24" fillId="0" borderId="0" xfId="0" applyFont="1" applyAlignment="1">
      <alignment horizontal="center"/>
    </xf>
    <xf numFmtId="3" fontId="24" fillId="33" borderId="78" xfId="0" applyNumberFormat="1" applyFont="1" applyFill="1" applyBorder="1" applyAlignment="1">
      <alignment horizontal="center" vertical="center" wrapText="1"/>
    </xf>
    <xf numFmtId="3" fontId="24" fillId="33" borderId="77" xfId="0" applyNumberFormat="1" applyFont="1" applyFill="1" applyBorder="1" applyAlignment="1">
      <alignment horizontal="center" vertical="center" wrapText="1"/>
    </xf>
    <xf numFmtId="3" fontId="24" fillId="33" borderId="7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137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 wrapText="1"/>
    </xf>
    <xf numFmtId="0" fontId="2" fillId="0" borderId="266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226" xfId="0" applyFont="1" applyBorder="1" applyAlignment="1">
      <alignment horizontal="center" vertical="center"/>
    </xf>
    <xf numFmtId="0" fontId="2" fillId="0" borderId="26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50" borderId="170" xfId="0" applyFont="1" applyFill="1" applyBorder="1" applyAlignment="1">
      <alignment horizontal="center"/>
    </xf>
    <xf numFmtId="0" fontId="5" fillId="50" borderId="151" xfId="0" applyFont="1" applyFill="1" applyBorder="1" applyAlignment="1">
      <alignment horizontal="center"/>
    </xf>
    <xf numFmtId="0" fontId="2" fillId="0" borderId="142" xfId="0" applyFont="1" applyBorder="1" applyAlignment="1">
      <alignment horizontal="center" vertical="center" wrapText="1"/>
    </xf>
    <xf numFmtId="0" fontId="2" fillId="0" borderId="143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143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4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268" xfId="0" applyFont="1" applyBorder="1" applyAlignment="1">
      <alignment horizontal="center"/>
    </xf>
    <xf numFmtId="0" fontId="2" fillId="0" borderId="154" xfId="0" applyFont="1" applyBorder="1" applyAlignment="1">
      <alignment horizontal="center"/>
    </xf>
    <xf numFmtId="0" fontId="5" fillId="0" borderId="170" xfId="0" applyFont="1" applyBorder="1" applyAlignment="1">
      <alignment horizontal="center"/>
    </xf>
    <xf numFmtId="0" fontId="5" fillId="0" borderId="151" xfId="0" applyFont="1" applyBorder="1" applyAlignment="1">
      <alignment horizontal="center"/>
    </xf>
    <xf numFmtId="0" fontId="5" fillId="50" borderId="88" xfId="0" applyFont="1" applyFill="1" applyBorder="1" applyAlignment="1">
      <alignment horizontal="center"/>
    </xf>
    <xf numFmtId="0" fontId="2" fillId="0" borderId="133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5" fillId="0" borderId="146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3" fontId="1" fillId="35" borderId="0" xfId="0" applyNumberFormat="1" applyFont="1" applyFill="1" applyAlignment="1">
      <alignment horizontal="center" vertical="center" wrapText="1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wrapText="1"/>
    </xf>
    <xf numFmtId="0" fontId="2" fillId="35" borderId="47" xfId="0" applyFont="1" applyFill="1" applyBorder="1" applyAlignment="1">
      <alignment horizontal="center"/>
    </xf>
    <xf numFmtId="175" fontId="0" fillId="0" borderId="0" xfId="46" applyNumberFormat="1" applyFont="1" applyAlignment="1">
      <alignment horizontal="right"/>
    </xf>
    <xf numFmtId="3" fontId="2" fillId="33" borderId="3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46" xfId="57" applyFont="1" applyBorder="1" applyAlignment="1" applyProtection="1">
      <alignment horizontal="left" indent="1"/>
      <protection locked="0"/>
    </xf>
    <xf numFmtId="0" fontId="0" fillId="0" borderId="47" xfId="57" applyFont="1" applyBorder="1" applyAlignment="1" applyProtection="1">
      <alignment horizontal="right" indent="1"/>
      <protection locked="0"/>
    </xf>
    <xf numFmtId="0" fontId="0" fillId="0" borderId="24" xfId="57" applyFont="1" applyBorder="1" applyAlignment="1" applyProtection="1">
      <alignment horizontal="left" indent="1"/>
      <protection locked="0"/>
    </xf>
    <xf numFmtId="0" fontId="0" fillId="0" borderId="38" xfId="57" applyFont="1" applyBorder="1" applyAlignment="1" applyProtection="1">
      <alignment horizontal="right" indent="1"/>
      <protection locked="0"/>
    </xf>
    <xf numFmtId="0" fontId="2" fillId="0" borderId="22" xfId="57" applyFont="1" applyBorder="1" applyAlignment="1">
      <alignment horizontal="left" indent="1"/>
      <protection/>
    </xf>
    <xf numFmtId="0" fontId="2" fillId="0" borderId="35" xfId="57" applyFont="1" applyBorder="1" applyAlignment="1">
      <alignment horizontal="right" indent="1"/>
      <protection/>
    </xf>
    <xf numFmtId="0" fontId="0" fillId="0" borderId="0" xfId="0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4" fillId="0" borderId="174" xfId="57" applyFont="1" applyBorder="1" applyAlignment="1">
      <alignment vertical="top" wrapText="1"/>
      <protection/>
    </xf>
    <xf numFmtId="0" fontId="39" fillId="0" borderId="174" xfId="57" applyFont="1" applyBorder="1" applyAlignment="1">
      <alignment wrapText="1"/>
      <protection/>
    </xf>
    <xf numFmtId="49" fontId="2" fillId="0" borderId="0" xfId="57" applyNumberFormat="1" applyFont="1" applyAlignment="1">
      <alignment horizontal="left" vertical="center"/>
      <protection/>
    </xf>
    <xf numFmtId="0" fontId="2" fillId="0" borderId="135" xfId="57" applyFont="1" applyBorder="1" applyAlignment="1">
      <alignment horizontal="center"/>
      <protection/>
    </xf>
    <xf numFmtId="0" fontId="2" fillId="0" borderId="180" xfId="57" applyFont="1" applyBorder="1" applyAlignment="1">
      <alignment horizontal="center"/>
      <protection/>
    </xf>
    <xf numFmtId="0" fontId="24" fillId="0" borderId="56" xfId="57" applyFont="1" applyBorder="1" applyAlignment="1">
      <alignment vertical="top" wrapText="1"/>
      <protection/>
    </xf>
    <xf numFmtId="0" fontId="39" fillId="0" borderId="56" xfId="57" applyFont="1" applyBorder="1" applyAlignment="1">
      <alignment wrapText="1"/>
      <protection/>
    </xf>
    <xf numFmtId="0" fontId="24" fillId="0" borderId="56" xfId="57" applyFont="1" applyBorder="1" applyAlignment="1">
      <alignment horizontal="center" vertical="center" wrapText="1"/>
      <protection/>
    </xf>
    <xf numFmtId="0" fontId="39" fillId="0" borderId="56" xfId="57" applyFont="1" applyBorder="1" applyAlignment="1">
      <alignment horizontal="center" vertical="center" wrapText="1"/>
      <protection/>
    </xf>
    <xf numFmtId="0" fontId="2" fillId="0" borderId="201" xfId="0" applyFont="1" applyBorder="1" applyAlignment="1">
      <alignment horizontal="center"/>
    </xf>
    <xf numFmtId="3" fontId="2" fillId="37" borderId="190" xfId="0" applyNumberFormat="1" applyFont="1" applyFill="1" applyBorder="1" applyAlignment="1">
      <alignment horizontal="center"/>
    </xf>
    <xf numFmtId="3" fontId="2" fillId="37" borderId="151" xfId="0" applyNumberFormat="1" applyFont="1" applyFill="1" applyBorder="1" applyAlignment="1">
      <alignment horizontal="center"/>
    </xf>
    <xf numFmtId="3" fontId="0" fillId="0" borderId="67" xfId="0" applyNumberFormat="1" applyBorder="1" applyAlignment="1">
      <alignment horizontal="left"/>
    </xf>
    <xf numFmtId="3" fontId="0" fillId="0" borderId="68" xfId="0" applyNumberFormat="1" applyBorder="1" applyAlignment="1">
      <alignment horizontal="left"/>
    </xf>
    <xf numFmtId="3" fontId="24" fillId="0" borderId="67" xfId="0" applyNumberFormat="1" applyFont="1" applyBorder="1" applyAlignment="1">
      <alignment horizontal="left"/>
    </xf>
    <xf numFmtId="3" fontId="24" fillId="0" borderId="68" xfId="0" applyNumberFormat="1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left" wrapText="1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3" fontId="0" fillId="0" borderId="56" xfId="0" applyNumberFormat="1" applyBorder="1" applyAlignment="1">
      <alignment horizontal="left"/>
    </xf>
    <xf numFmtId="3" fontId="2" fillId="33" borderId="269" xfId="0" applyNumberFormat="1" applyFont="1" applyFill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3" fontId="2" fillId="33" borderId="142" xfId="0" applyNumberFormat="1" applyFont="1" applyFill="1" applyBorder="1" applyAlignment="1">
      <alignment horizontal="center" vertical="center" wrapText="1"/>
    </xf>
    <xf numFmtId="3" fontId="2" fillId="33" borderId="143" xfId="0" applyNumberFormat="1" applyFont="1" applyFill="1" applyBorder="1" applyAlignment="1">
      <alignment horizontal="center" vertical="center" wrapText="1"/>
    </xf>
    <xf numFmtId="3" fontId="2" fillId="33" borderId="130" xfId="0" applyNumberFormat="1" applyFont="1" applyFill="1" applyBorder="1" applyAlignment="1">
      <alignment horizontal="center" vertical="center" wrapText="1"/>
    </xf>
    <xf numFmtId="3" fontId="2" fillId="33" borderId="131" xfId="0" applyNumberFormat="1" applyFont="1" applyFill="1" applyBorder="1" applyAlignment="1">
      <alignment horizontal="center" vertical="center" wrapText="1"/>
    </xf>
    <xf numFmtId="3" fontId="2" fillId="33" borderId="143" xfId="0" applyNumberFormat="1" applyFont="1" applyFill="1" applyBorder="1" applyAlignment="1">
      <alignment horizontal="center" vertical="center"/>
    </xf>
    <xf numFmtId="3" fontId="2" fillId="33" borderId="1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6" fillId="0" borderId="0" xfId="61" applyFont="1" applyAlignment="1">
      <alignment horizontal="center" vertical="center"/>
    </xf>
    <xf numFmtId="0" fontId="0" fillId="40" borderId="0" xfId="0" applyFill="1" applyAlignment="1">
      <alignment horizontal="center"/>
    </xf>
    <xf numFmtId="176" fontId="6" fillId="0" borderId="0" xfId="61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EU-s tábla kv-hez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GER~1.ZSU\AppData\Local\Temp\1519640076_8-2018%20melle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ht="12.75" customHeight="1">
      <c r="C1" t="s">
        <v>0</v>
      </c>
    </row>
    <row r="2" spans="1:4" ht="12.75" customHeight="1">
      <c r="A2" s="1649" t="s">
        <v>1</v>
      </c>
      <c r="B2" s="1649"/>
      <c r="C2" s="1649"/>
      <c r="D2" s="1649"/>
    </row>
    <row r="3" spans="1:4" ht="12.75" customHeight="1">
      <c r="A3" s="1"/>
      <c r="B3" s="1"/>
      <c r="C3" s="1"/>
      <c r="D3" s="1"/>
    </row>
    <row r="4" spans="1:4" ht="12.75" customHeight="1">
      <c r="A4" s="2" t="s">
        <v>2</v>
      </c>
      <c r="B4" s="3"/>
      <c r="C4" s="3"/>
      <c r="D4" s="3"/>
    </row>
    <row r="5" spans="1:4" ht="12.75" customHeight="1">
      <c r="A5" s="1650" t="s">
        <v>3</v>
      </c>
      <c r="B5" s="1650"/>
      <c r="C5" s="1650"/>
      <c r="D5" s="1650"/>
    </row>
    <row r="6" spans="1:4" ht="12.75" customHeight="1">
      <c r="A6" s="4"/>
      <c r="B6" s="4"/>
      <c r="C6" s="4"/>
      <c r="D6" s="4"/>
    </row>
    <row r="7" spans="1:4" ht="12.75" customHeight="1">
      <c r="A7" s="4"/>
      <c r="B7" s="4"/>
      <c r="C7" s="4"/>
      <c r="D7" s="4"/>
    </row>
    <row r="9" spans="2:4" ht="12.75" customHeight="1">
      <c r="B9" s="5" t="s">
        <v>4</v>
      </c>
      <c r="C9" s="5" t="s">
        <v>4</v>
      </c>
      <c r="D9" s="5" t="s">
        <v>4</v>
      </c>
    </row>
    <row r="10" spans="1:4" ht="39" customHeight="1">
      <c r="A10" s="6" t="s">
        <v>5</v>
      </c>
      <c r="B10" s="7" t="s">
        <v>6</v>
      </c>
      <c r="C10" s="7" t="s">
        <v>7</v>
      </c>
      <c r="D10" s="7" t="s">
        <v>8</v>
      </c>
    </row>
    <row r="11" spans="1:4" ht="12.75" customHeight="1">
      <c r="A11" s="8" t="s">
        <v>9</v>
      </c>
      <c r="B11" s="9">
        <v>363899</v>
      </c>
      <c r="C11" s="9">
        <v>363899</v>
      </c>
      <c r="D11" s="9">
        <v>20838</v>
      </c>
    </row>
    <row r="12" spans="1:4" s="10" customFormat="1" ht="12.75" customHeight="1">
      <c r="A12" s="8" t="s">
        <v>10</v>
      </c>
      <c r="B12" s="9">
        <v>20367</v>
      </c>
      <c r="C12" s="9">
        <v>20367</v>
      </c>
      <c r="D12" s="9"/>
    </row>
    <row r="13" spans="1:4" ht="12.75" customHeight="1">
      <c r="A13" s="8" t="s">
        <v>11</v>
      </c>
      <c r="B13" s="9">
        <v>367159</v>
      </c>
      <c r="C13" s="9">
        <v>367159</v>
      </c>
      <c r="D13" s="9">
        <v>7348</v>
      </c>
    </row>
    <row r="14" spans="1:4" ht="12.75" customHeight="1">
      <c r="A14" s="11" t="s">
        <v>12</v>
      </c>
      <c r="B14" s="12">
        <f>B11+B12-B13</f>
        <v>17107</v>
      </c>
      <c r="C14" s="12">
        <f>C11+C12-C13</f>
        <v>17107</v>
      </c>
      <c r="D14" s="12">
        <f>D11+D12-D13</f>
        <v>13490</v>
      </c>
    </row>
    <row r="15" spans="2:4" ht="12.75" customHeight="1">
      <c r="B15" s="5"/>
      <c r="C15" s="5"/>
      <c r="D15" s="5"/>
    </row>
    <row r="16" spans="2:4" ht="12.75" customHeight="1">
      <c r="B16" s="5"/>
      <c r="C16" s="5"/>
      <c r="D16" s="5"/>
    </row>
    <row r="17" spans="2:4" ht="12.75" customHeight="1">
      <c r="B17" s="5"/>
      <c r="C17" s="5"/>
      <c r="D17" s="5"/>
    </row>
    <row r="18" spans="1:4" ht="12.75" customHeight="1">
      <c r="A18" s="8" t="s">
        <v>13</v>
      </c>
      <c r="B18" s="9">
        <v>6960</v>
      </c>
      <c r="C18" s="9">
        <v>6960</v>
      </c>
      <c r="D18" s="9">
        <v>7228</v>
      </c>
    </row>
    <row r="19" spans="1:4" ht="12.75" customHeight="1">
      <c r="A19" s="8" t="s">
        <v>14</v>
      </c>
      <c r="B19" s="9">
        <v>39633</v>
      </c>
      <c r="C19" s="9">
        <v>46851</v>
      </c>
      <c r="D19" s="13">
        <v>40774</v>
      </c>
    </row>
    <row r="20" spans="1:4" ht="12.75" customHeight="1">
      <c r="A20" s="8" t="s">
        <v>15</v>
      </c>
      <c r="B20" s="9">
        <v>11200</v>
      </c>
      <c r="C20" s="9">
        <v>11200</v>
      </c>
      <c r="D20" s="9">
        <v>7273</v>
      </c>
    </row>
    <row r="21" spans="1:4" ht="12.75" customHeight="1">
      <c r="A21" s="14" t="s">
        <v>16</v>
      </c>
      <c r="B21" s="12">
        <f>B18+B19-B20</f>
        <v>35393</v>
      </c>
      <c r="C21" s="12">
        <f>C18+C19-C20</f>
        <v>42611</v>
      </c>
      <c r="D21" s="12">
        <f>D18+D19-D20</f>
        <v>40729</v>
      </c>
    </row>
    <row r="22" spans="2:4" ht="12.75" customHeight="1">
      <c r="B22" s="5"/>
      <c r="C22" s="5"/>
      <c r="D22" s="5"/>
    </row>
    <row r="23" spans="2:4" ht="12.75" customHeight="1">
      <c r="B23" s="5"/>
      <c r="C23" s="5"/>
      <c r="D23" s="5"/>
    </row>
    <row r="24" spans="1:4" ht="12.75" customHeight="1" hidden="1">
      <c r="A24" s="15" t="s">
        <v>17</v>
      </c>
      <c r="B24" s="5"/>
      <c r="C24" s="5"/>
      <c r="D24" s="5"/>
    </row>
    <row r="25" spans="1:4" ht="12.75" customHeight="1" hidden="1">
      <c r="A25" s="10"/>
      <c r="B25" s="5"/>
      <c r="C25" s="5"/>
      <c r="D25" s="5"/>
    </row>
    <row r="26" spans="1:4" ht="12.75" customHeight="1" hidden="1">
      <c r="A26" s="16" t="s">
        <v>18</v>
      </c>
      <c r="B26" s="17">
        <v>46621</v>
      </c>
      <c r="C26" s="17">
        <v>46621</v>
      </c>
      <c r="D26" s="17">
        <v>46621</v>
      </c>
    </row>
    <row r="27" spans="1:4" ht="12.75" customHeight="1" hidden="1">
      <c r="A27" s="16" t="s">
        <v>19</v>
      </c>
      <c r="B27" s="17">
        <f>(B14+B21)*-1</f>
        <v>-52500</v>
      </c>
      <c r="C27" s="17">
        <f>(C14+C21)*-1</f>
        <v>-59718</v>
      </c>
      <c r="D27" s="17">
        <f>(D14+D21)*-1</f>
        <v>-54219</v>
      </c>
    </row>
    <row r="28" spans="1:4" ht="12.75" customHeight="1" hidden="1">
      <c r="A28" s="11" t="s">
        <v>20</v>
      </c>
      <c r="B28" s="12">
        <f>SUM(B26:B27)</f>
        <v>-5879</v>
      </c>
      <c r="C28" s="12">
        <f>SUM(C26:C27)</f>
        <v>-13097</v>
      </c>
      <c r="D28" s="12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70"/>
  <sheetViews>
    <sheetView showGridLines="0" view="pageBreakPreview" zoomScale="110" zoomScaleSheetLayoutView="110" zoomScalePageLayoutView="0" workbookViewId="0" topLeftCell="A1">
      <pane xSplit="3" ySplit="6" topLeftCell="D34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C39" sqref="C39"/>
    </sheetView>
  </sheetViews>
  <sheetFormatPr defaultColWidth="11.7109375" defaultRowHeight="12.75" customHeight="1"/>
  <cols>
    <col min="1" max="2" width="3.8515625" style="686" customWidth="1"/>
    <col min="3" max="3" width="50.00390625" style="686" customWidth="1"/>
    <col min="4" max="4" width="19.140625" style="686" customWidth="1"/>
    <col min="5" max="5" width="16.140625" style="688" customWidth="1"/>
    <col min="6" max="8" width="14.7109375" style="688" customWidth="1"/>
    <col min="9" max="9" width="14.57421875" style="686" customWidth="1"/>
    <col min="10" max="16384" width="11.7109375" style="686" customWidth="1"/>
  </cols>
  <sheetData>
    <row r="1" spans="1:9" s="685" customFormat="1" ht="18" customHeight="1">
      <c r="A1" s="1736" t="s">
        <v>995</v>
      </c>
      <c r="B1" s="1736"/>
      <c r="C1" s="1736"/>
      <c r="D1" s="1736"/>
      <c r="E1" s="1736"/>
      <c r="F1" s="1736"/>
      <c r="G1" s="1736"/>
      <c r="H1" s="987"/>
      <c r="I1" s="987"/>
    </row>
    <row r="2" spans="1:9" ht="12.75" customHeight="1">
      <c r="A2" s="1735" t="s">
        <v>1181</v>
      </c>
      <c r="B2" s="1735"/>
      <c r="C2" s="1735"/>
      <c r="D2" s="1735"/>
      <c r="E2" s="1735"/>
      <c r="F2" s="1735"/>
      <c r="G2" s="1735"/>
      <c r="H2" s="988"/>
      <c r="I2" s="988"/>
    </row>
    <row r="3" spans="1:9" ht="15" customHeight="1">
      <c r="A3" s="988"/>
      <c r="B3" s="988"/>
      <c r="C3" s="1735" t="s">
        <v>1182</v>
      </c>
      <c r="D3" s="1735"/>
      <c r="E3" s="1735"/>
      <c r="F3" s="1735"/>
      <c r="G3" s="1735"/>
      <c r="H3" s="988"/>
      <c r="I3" s="988"/>
    </row>
    <row r="4" spans="1:4" ht="6.75" customHeight="1">
      <c r="A4" s="687"/>
      <c r="B4" s="744"/>
      <c r="C4" s="744"/>
      <c r="D4" s="744"/>
    </row>
    <row r="5" spans="1:9" s="689" customFormat="1" ht="41.25" customHeight="1">
      <c r="A5" s="1734" t="s">
        <v>1003</v>
      </c>
      <c r="B5" s="1734"/>
      <c r="C5" s="1734"/>
      <c r="D5" s="1734"/>
      <c r="E5" s="1734"/>
      <c r="F5" s="1734"/>
      <c r="G5" s="1734"/>
      <c r="H5" s="989"/>
      <c r="I5" s="989"/>
    </row>
    <row r="6" spans="1:9" s="689" customFormat="1" ht="12.75" customHeight="1">
      <c r="A6" s="989"/>
      <c r="B6" s="989"/>
      <c r="C6" s="989"/>
      <c r="D6" s="989"/>
      <c r="E6" s="989"/>
      <c r="F6" s="989"/>
      <c r="G6" s="989"/>
      <c r="H6" s="989"/>
      <c r="I6" s="989"/>
    </row>
    <row r="7" spans="1:3" s="689" customFormat="1" ht="12.75" customHeight="1">
      <c r="A7" s="690"/>
      <c r="B7" s="690"/>
      <c r="C7" s="690"/>
    </row>
    <row r="8" s="689" customFormat="1" ht="12.75" customHeight="1">
      <c r="A8" s="691"/>
    </row>
    <row r="9" spans="1:8" s="689" customFormat="1" ht="12.75" customHeight="1">
      <c r="A9" s="1740" t="s">
        <v>214</v>
      </c>
      <c r="B9" s="1740"/>
      <c r="C9" s="1740"/>
      <c r="D9" s="1740"/>
      <c r="E9" s="1740"/>
      <c r="F9" s="1740"/>
      <c r="G9" s="1740"/>
      <c r="H9" s="692"/>
    </row>
    <row r="10" spans="1:8" s="689" customFormat="1" ht="24.75" customHeight="1">
      <c r="A10" s="1718" t="s">
        <v>156</v>
      </c>
      <c r="B10" s="1718"/>
      <c r="C10" s="1718" t="s">
        <v>427</v>
      </c>
      <c r="D10" s="1718" t="s">
        <v>997</v>
      </c>
      <c r="E10" s="1718" t="s">
        <v>1139</v>
      </c>
      <c r="F10" s="1718" t="s">
        <v>1141</v>
      </c>
      <c r="G10" s="1718" t="s">
        <v>1164</v>
      </c>
      <c r="H10" s="1727"/>
    </row>
    <row r="11" spans="1:8" s="689" customFormat="1" ht="24.75" customHeight="1">
      <c r="A11" s="1718"/>
      <c r="B11" s="1718"/>
      <c r="C11" s="1718"/>
      <c r="D11" s="1718"/>
      <c r="E11" s="1718"/>
      <c r="F11" s="1718"/>
      <c r="G11" s="1718"/>
      <c r="H11" s="1728"/>
    </row>
    <row r="12" spans="1:8" s="689" customFormat="1" ht="14.25" customHeight="1">
      <c r="A12" s="1718"/>
      <c r="B12" s="1718"/>
      <c r="C12" s="1026" t="s">
        <v>428</v>
      </c>
      <c r="D12" s="990" t="s">
        <v>159</v>
      </c>
      <c r="E12" s="990" t="s">
        <v>160</v>
      </c>
      <c r="F12" s="990" t="s">
        <v>161</v>
      </c>
      <c r="G12" s="990" t="s">
        <v>462</v>
      </c>
      <c r="H12" s="991"/>
    </row>
    <row r="13" spans="1:8" s="689" customFormat="1" ht="12.75" customHeight="1">
      <c r="A13" s="394" t="s">
        <v>38</v>
      </c>
      <c r="B13" s="1036" t="s">
        <v>164</v>
      </c>
      <c r="C13" s="364" t="s">
        <v>429</v>
      </c>
      <c r="D13" s="364">
        <f>SUM(D14:D17)</f>
        <v>1300000</v>
      </c>
      <c r="E13" s="364">
        <f>SUM(E14:E17)</f>
        <v>1300000</v>
      </c>
      <c r="F13" s="364">
        <f>SUM(F14:F17)</f>
        <v>1300000</v>
      </c>
      <c r="G13" s="364">
        <f>SUM(G14:G17)</f>
        <v>1300000</v>
      </c>
      <c r="H13" s="992"/>
    </row>
    <row r="14" spans="1:8" s="689" customFormat="1" ht="27" customHeight="1">
      <c r="A14" s="976" t="s">
        <v>40</v>
      </c>
      <c r="B14" s="976"/>
      <c r="C14" s="358" t="s">
        <v>430</v>
      </c>
      <c r="D14" s="1259">
        <v>300000</v>
      </c>
      <c r="E14" s="1259">
        <v>300000</v>
      </c>
      <c r="F14" s="1259">
        <v>300000</v>
      </c>
      <c r="G14" s="1259">
        <v>300000</v>
      </c>
      <c r="H14" s="694"/>
    </row>
    <row r="15" spans="1:8" s="689" customFormat="1" ht="27" customHeight="1">
      <c r="A15" s="976" t="s">
        <v>47</v>
      </c>
      <c r="B15" s="976"/>
      <c r="C15" s="358" t="s">
        <v>987</v>
      </c>
      <c r="D15" s="1259">
        <v>1000000</v>
      </c>
      <c r="E15" s="1259">
        <v>1000000</v>
      </c>
      <c r="F15" s="1259">
        <v>1000000</v>
      </c>
      <c r="G15" s="1259">
        <v>1000000</v>
      </c>
      <c r="H15" s="694"/>
    </row>
    <row r="16" spans="1:8" s="689" customFormat="1" ht="27" customHeight="1">
      <c r="A16" s="976" t="s">
        <v>49</v>
      </c>
      <c r="B16" s="976"/>
      <c r="C16" s="358"/>
      <c r="D16" s="975"/>
      <c r="E16" s="975"/>
      <c r="F16" s="1215"/>
      <c r="G16" s="1215"/>
      <c r="H16" s="694"/>
    </row>
    <row r="17" spans="1:8" s="689" customFormat="1" ht="27" customHeight="1">
      <c r="A17" s="976" t="s">
        <v>51</v>
      </c>
      <c r="B17" s="976"/>
      <c r="C17" s="358"/>
      <c r="D17" s="975"/>
      <c r="E17" s="975"/>
      <c r="F17" s="1215"/>
      <c r="G17" s="1215"/>
      <c r="H17" s="694"/>
    </row>
    <row r="18" spans="1:8" s="689" customFormat="1" ht="12.75" customHeight="1">
      <c r="A18" s="394" t="s">
        <v>53</v>
      </c>
      <c r="B18" s="394" t="s">
        <v>166</v>
      </c>
      <c r="C18" s="364" t="s">
        <v>427</v>
      </c>
      <c r="D18" s="364">
        <f>SUM(D19:D31)</f>
        <v>4500000</v>
      </c>
      <c r="E18" s="364">
        <f>SUM(E19:E31)</f>
        <v>4500000</v>
      </c>
      <c r="F18" s="364">
        <f>SUM(F19:F31)</f>
        <v>11012732</v>
      </c>
      <c r="G18" s="364">
        <f>SUM(G19:G31)</f>
        <v>22971678</v>
      </c>
      <c r="H18" s="992"/>
    </row>
    <row r="19" spans="1:8" s="689" customFormat="1" ht="30.75" customHeight="1">
      <c r="A19" s="976" t="s">
        <v>55</v>
      </c>
      <c r="B19" s="976"/>
      <c r="C19" s="358" t="s">
        <v>1166</v>
      </c>
      <c r="D19" s="975">
        <f>SUM('17. Hivatal'!F51)</f>
        <v>500000</v>
      </c>
      <c r="E19" s="975">
        <f>SUM('17. Hivatal'!G51)</f>
        <v>500000</v>
      </c>
      <c r="F19" s="1215">
        <f>SUM('17. Hivatal'!H51)</f>
        <v>500000</v>
      </c>
      <c r="G19" s="1215">
        <f>SUM('17. Hivatal'!I51)</f>
        <v>724790</v>
      </c>
      <c r="H19" s="694"/>
    </row>
    <row r="20" spans="1:8" s="693" customFormat="1" ht="26.25" customHeight="1">
      <c r="A20" s="976" t="s">
        <v>57</v>
      </c>
      <c r="B20" s="1037"/>
      <c r="C20" s="975" t="s">
        <v>431</v>
      </c>
      <c r="D20" s="975">
        <f>SUM('18. VÜKI'!F80)</f>
        <v>1000000</v>
      </c>
      <c r="E20" s="975">
        <f>SUM('18. VÜKI'!G80)</f>
        <v>1000000</v>
      </c>
      <c r="F20" s="1215">
        <f>SUM('18. VÜKI'!H80)</f>
        <v>1000000</v>
      </c>
      <c r="G20" s="1215">
        <f>SUM('18. VÜKI'!I80)</f>
        <v>1000000</v>
      </c>
      <c r="H20" s="694"/>
    </row>
    <row r="21" spans="1:8" s="689" customFormat="1" ht="29.25" customHeight="1">
      <c r="A21" s="976" t="s">
        <v>86</v>
      </c>
      <c r="B21" s="976"/>
      <c r="C21" s="358" t="s">
        <v>432</v>
      </c>
      <c r="D21" s="975">
        <f>SUM('15. Óvoda'!F72)</f>
        <v>500000</v>
      </c>
      <c r="E21" s="975">
        <f>SUM('15. Óvoda'!G72)</f>
        <v>500000</v>
      </c>
      <c r="F21" s="1215">
        <f>SUM('15. Óvoda'!H72)</f>
        <v>742955</v>
      </c>
      <c r="G21" s="1215">
        <f>SUM('15. Óvoda'!I72)</f>
        <v>935505</v>
      </c>
      <c r="H21" s="694"/>
    </row>
    <row r="22" spans="1:8" s="689" customFormat="1" ht="29.25" customHeight="1">
      <c r="A22" s="976" t="s">
        <v>59</v>
      </c>
      <c r="B22" s="976"/>
      <c r="C22" s="975" t="s">
        <v>433</v>
      </c>
      <c r="D22" s="1259">
        <v>500000</v>
      </c>
      <c r="E22" s="1259">
        <v>500000</v>
      </c>
      <c r="F22" s="1259">
        <v>483204</v>
      </c>
      <c r="G22" s="1591">
        <v>500000</v>
      </c>
      <c r="H22" s="694"/>
    </row>
    <row r="23" spans="1:8" s="689" customFormat="1" ht="29.25" customHeight="1">
      <c r="A23" s="976" t="s">
        <v>61</v>
      </c>
      <c r="B23" s="976"/>
      <c r="C23" s="975" t="s">
        <v>1031</v>
      </c>
      <c r="D23" s="1259">
        <f>SUM('16. Műv. ház'!F43)</f>
        <v>500000</v>
      </c>
      <c r="E23" s="1259">
        <f>SUM('16. Műv. ház'!G43)</f>
        <v>500000</v>
      </c>
      <c r="F23" s="1259">
        <f>SUM('16. Műv. ház'!H43)</f>
        <v>500000</v>
      </c>
      <c r="G23" s="1590">
        <f>SUM('16. Műv. ház'!I43)</f>
        <v>500000</v>
      </c>
      <c r="H23" s="694"/>
    </row>
    <row r="24" spans="1:10" s="689" customFormat="1" ht="29.25" customHeight="1">
      <c r="A24" s="976" t="s">
        <v>63</v>
      </c>
      <c r="B24" s="976"/>
      <c r="C24" s="1038" t="s">
        <v>1029</v>
      </c>
      <c r="D24" s="1259">
        <v>600000</v>
      </c>
      <c r="E24" s="1259">
        <v>600000</v>
      </c>
      <c r="F24" s="1259">
        <v>600000</v>
      </c>
      <c r="G24" s="1590">
        <v>600000</v>
      </c>
      <c r="H24" s="694"/>
      <c r="J24" s="689">
        <f>SUM(G22+G24+G25+G26+G27+G28+G29)</f>
        <v>9886774</v>
      </c>
    </row>
    <row r="25" spans="1:8" s="689" customFormat="1" ht="29.25" customHeight="1">
      <c r="A25" s="976" t="s">
        <v>65</v>
      </c>
      <c r="B25" s="976"/>
      <c r="C25" s="358" t="s">
        <v>989</v>
      </c>
      <c r="D25" s="1259">
        <v>500000</v>
      </c>
      <c r="E25" s="1259">
        <v>500000</v>
      </c>
      <c r="F25" s="1259">
        <v>500000</v>
      </c>
      <c r="G25" s="1590">
        <v>500000</v>
      </c>
      <c r="H25" s="694"/>
    </row>
    <row r="26" spans="1:8" s="689" customFormat="1" ht="29.25" customHeight="1">
      <c r="A26" s="976" t="s">
        <v>92</v>
      </c>
      <c r="B26" s="976"/>
      <c r="C26" s="975" t="s">
        <v>1092</v>
      </c>
      <c r="D26" s="1259">
        <v>400000</v>
      </c>
      <c r="E26" s="1259">
        <v>400000</v>
      </c>
      <c r="F26" s="1259">
        <v>300466</v>
      </c>
      <c r="G26" s="1590">
        <v>300466</v>
      </c>
      <c r="H26" s="694"/>
    </row>
    <row r="27" spans="1:8" s="689" customFormat="1" ht="29.25" customHeight="1">
      <c r="A27" s="976" t="s">
        <v>66</v>
      </c>
      <c r="B27" s="976"/>
      <c r="C27" s="1215" t="s">
        <v>1170</v>
      </c>
      <c r="D27" s="975"/>
      <c r="E27" s="975"/>
      <c r="F27" s="1215">
        <v>141073</v>
      </c>
      <c r="G27" s="1590">
        <v>141073</v>
      </c>
      <c r="H27" s="694"/>
    </row>
    <row r="28" spans="1:11" s="689" customFormat="1" ht="12.75">
      <c r="A28" s="976" t="s">
        <v>67</v>
      </c>
      <c r="B28" s="976"/>
      <c r="C28" s="1215" t="s">
        <v>1151</v>
      </c>
      <c r="D28" s="975"/>
      <c r="E28" s="975"/>
      <c r="F28" s="1215">
        <v>6245034</v>
      </c>
      <c r="G28" s="1590">
        <v>6245035</v>
      </c>
      <c r="H28" s="694"/>
      <c r="K28" s="689">
        <f>SUM(G22+G24+G25+G26+G27+G28+G29+G30)</f>
        <v>19811383</v>
      </c>
    </row>
    <row r="29" spans="1:7" s="996" customFormat="1" ht="12.75">
      <c r="A29" s="976"/>
      <c r="B29" s="976"/>
      <c r="C29" s="1215" t="s">
        <v>1168</v>
      </c>
      <c r="D29" s="1215"/>
      <c r="E29" s="1215"/>
      <c r="F29" s="1215"/>
      <c r="G29" s="1590">
        <v>1600200</v>
      </c>
    </row>
    <row r="30" spans="1:7" s="996" customFormat="1" ht="12.75">
      <c r="A30" s="976"/>
      <c r="B30" s="976"/>
      <c r="C30" s="1215" t="s">
        <v>1169</v>
      </c>
      <c r="D30" s="1215"/>
      <c r="E30" s="1215"/>
      <c r="F30" s="1215"/>
      <c r="G30" s="1590">
        <v>9924609</v>
      </c>
    </row>
    <row r="31" spans="1:8" s="689" customFormat="1" ht="12.75">
      <c r="A31" s="976" t="s">
        <v>68</v>
      </c>
      <c r="B31" s="976"/>
      <c r="C31" s="986"/>
      <c r="D31" s="975"/>
      <c r="E31" s="975"/>
      <c r="F31" s="1215"/>
      <c r="G31" s="1215"/>
      <c r="H31" s="694"/>
    </row>
    <row r="32" spans="1:8" s="689" customFormat="1" ht="12.75" customHeight="1">
      <c r="A32" s="976" t="s">
        <v>70</v>
      </c>
      <c r="B32" s="1039"/>
      <c r="C32" s="993" t="s">
        <v>25</v>
      </c>
      <c r="D32" s="993">
        <f>SUM(D13+D18)</f>
        <v>5800000</v>
      </c>
      <c r="E32" s="993">
        <f>SUM(E13+E18)</f>
        <v>5800000</v>
      </c>
      <c r="F32" s="993">
        <f>SUM(F13+F18)</f>
        <v>12312732</v>
      </c>
      <c r="G32" s="993">
        <f>SUM(G13+G18)</f>
        <v>24271678</v>
      </c>
      <c r="H32" s="994"/>
    </row>
    <row r="33" spans="1:8" s="689" customFormat="1" ht="12.75" customHeight="1">
      <c r="A33" s="1229"/>
      <c r="B33" s="694"/>
      <c r="C33" s="694"/>
      <c r="F33" s="695"/>
      <c r="G33" s="695"/>
      <c r="H33" s="695"/>
    </row>
    <row r="34" spans="1:8" s="689" customFormat="1" ht="12.75" customHeight="1">
      <c r="A34" s="1229"/>
      <c r="B34" s="694"/>
      <c r="C34" s="694"/>
      <c r="F34" s="695"/>
      <c r="G34" s="695"/>
      <c r="H34" s="695"/>
    </row>
    <row r="35" spans="1:9" s="689" customFormat="1" ht="12.75" customHeight="1">
      <c r="A35" s="1739" t="s">
        <v>996</v>
      </c>
      <c r="B35" s="1739"/>
      <c r="C35" s="1739"/>
      <c r="D35" s="1739"/>
      <c r="E35" s="1739"/>
      <c r="F35" s="1739"/>
      <c r="G35" s="1739"/>
      <c r="H35" s="995"/>
      <c r="I35" s="995"/>
    </row>
    <row r="36" spans="1:9" s="689" customFormat="1" ht="12.75" customHeight="1">
      <c r="A36" s="1735" t="s">
        <v>1181</v>
      </c>
      <c r="B36" s="1735"/>
      <c r="C36" s="1735"/>
      <c r="D36" s="1735"/>
      <c r="E36" s="1735"/>
      <c r="F36" s="1735"/>
      <c r="G36" s="1735"/>
      <c r="H36" s="988"/>
      <c r="I36" s="988"/>
    </row>
    <row r="37" spans="1:8" s="689" customFormat="1" ht="12.75" customHeight="1">
      <c r="A37" s="687"/>
      <c r="B37" s="687"/>
      <c r="C37" s="1737" t="s">
        <v>1182</v>
      </c>
      <c r="D37" s="1737"/>
      <c r="E37" s="1737"/>
      <c r="F37" s="1737"/>
      <c r="G37" s="687"/>
      <c r="H37" s="687"/>
    </row>
    <row r="38" spans="1:9" s="689" customFormat="1" ht="40.5" customHeight="1">
      <c r="A38" s="1738" t="s">
        <v>1004</v>
      </c>
      <c r="B38" s="1738"/>
      <c r="C38" s="1738"/>
      <c r="D38" s="1738"/>
      <c r="E38" s="1738"/>
      <c r="F38" s="1738"/>
      <c r="G38" s="1738"/>
      <c r="H38" s="696"/>
      <c r="I38" s="696"/>
    </row>
    <row r="39" spans="1:8" s="689" customFormat="1" ht="12.75" customHeight="1">
      <c r="A39" s="696"/>
      <c r="B39" s="696"/>
      <c r="C39" s="696"/>
      <c r="D39" s="696"/>
      <c r="E39" s="696"/>
      <c r="F39" s="696"/>
      <c r="G39" s="696"/>
      <c r="H39" s="696"/>
    </row>
    <row r="40" spans="1:8" s="689" customFormat="1" ht="12.75" customHeight="1">
      <c r="A40" s="1230"/>
      <c r="B40" s="1230"/>
      <c r="C40" s="1230"/>
      <c r="D40" s="1230"/>
      <c r="E40" s="1230"/>
      <c r="F40" s="1230"/>
      <c r="G40" s="1230"/>
      <c r="H40" s="1230"/>
    </row>
    <row r="41" spans="1:8" s="689" customFormat="1" ht="12.75" customHeight="1">
      <c r="A41" s="697"/>
      <c r="B41" s="697"/>
      <c r="C41" s="697"/>
      <c r="D41" s="697"/>
      <c r="E41" s="697"/>
      <c r="F41" s="697"/>
      <c r="G41" s="697"/>
      <c r="H41" s="697"/>
    </row>
    <row r="42" spans="1:8" s="689" customFormat="1" ht="12.75" customHeight="1" thickBot="1">
      <c r="A42" s="697"/>
      <c r="B42" s="697"/>
      <c r="C42" s="697"/>
      <c r="D42" s="697"/>
      <c r="E42" s="686"/>
      <c r="F42" s="996"/>
      <c r="G42" s="1719"/>
      <c r="H42" s="1719"/>
    </row>
    <row r="43" spans="1:9" s="689" customFormat="1" ht="21.75" customHeight="1" thickBot="1">
      <c r="A43" s="1720" t="s">
        <v>156</v>
      </c>
      <c r="B43" s="1721"/>
      <c r="C43" s="1730" t="s">
        <v>434</v>
      </c>
      <c r="D43" s="1732" t="s">
        <v>1005</v>
      </c>
      <c r="E43" s="1724" t="s">
        <v>997</v>
      </c>
      <c r="F43" s="1724" t="s">
        <v>1139</v>
      </c>
      <c r="G43" s="1724" t="s">
        <v>1141</v>
      </c>
      <c r="H43" s="1724" t="s">
        <v>1164</v>
      </c>
      <c r="I43" s="1726"/>
    </row>
    <row r="44" spans="1:9" s="689" customFormat="1" ht="12.75" customHeight="1" thickBot="1">
      <c r="A44" s="1722"/>
      <c r="B44" s="1723"/>
      <c r="C44" s="1731"/>
      <c r="D44" s="1733"/>
      <c r="E44" s="1725"/>
      <c r="F44" s="1725"/>
      <c r="G44" s="1725"/>
      <c r="H44" s="1725"/>
      <c r="I44" s="1726"/>
    </row>
    <row r="45" spans="1:9" s="689" customFormat="1" ht="12.75" customHeight="1">
      <c r="A45" s="1722"/>
      <c r="B45" s="1723"/>
      <c r="C45" s="1007" t="s">
        <v>158</v>
      </c>
      <c r="D45" s="1020" t="s">
        <v>159</v>
      </c>
      <c r="E45" s="1014" t="s">
        <v>160</v>
      </c>
      <c r="F45" s="1014" t="s">
        <v>161</v>
      </c>
      <c r="G45" s="1014" t="s">
        <v>462</v>
      </c>
      <c r="H45" s="1014" t="s">
        <v>482</v>
      </c>
      <c r="I45" s="997"/>
    </row>
    <row r="46" spans="1:9" s="689" customFormat="1" ht="12.75" customHeight="1">
      <c r="A46" s="998" t="s">
        <v>38</v>
      </c>
      <c r="B46" s="698"/>
      <c r="C46" s="1008" t="s">
        <v>435</v>
      </c>
      <c r="D46" s="1021">
        <f>SUM(D47:D50)</f>
        <v>36750937</v>
      </c>
      <c r="E46" s="1015">
        <f>SUM(E47:E50)</f>
        <v>28837850</v>
      </c>
      <c r="F46" s="1015">
        <f>SUM(F47:F50)</f>
        <v>28837850</v>
      </c>
      <c r="G46" s="1015">
        <f>SUM(G47:G50)</f>
        <v>34302413</v>
      </c>
      <c r="H46" s="1015">
        <f>SUM(H47:H50)</f>
        <v>34367253</v>
      </c>
      <c r="I46" s="999"/>
    </row>
    <row r="47" spans="1:9" s="689" customFormat="1" ht="12.75" customHeight="1">
      <c r="A47" s="1000" t="s">
        <v>40</v>
      </c>
      <c r="B47" s="700"/>
      <c r="C47" s="1009" t="s">
        <v>436</v>
      </c>
      <c r="D47" s="1022">
        <v>9489000</v>
      </c>
      <c r="E47" s="1016">
        <v>9489000</v>
      </c>
      <c r="F47" s="1016">
        <v>9489000</v>
      </c>
      <c r="G47" s="1016">
        <v>13492000</v>
      </c>
      <c r="H47" s="1016">
        <v>11783000</v>
      </c>
      <c r="I47" s="1001"/>
    </row>
    <row r="48" spans="1:9" s="689" customFormat="1" ht="12.75" customHeight="1">
      <c r="A48" s="1000" t="s">
        <v>47</v>
      </c>
      <c r="B48" s="700"/>
      <c r="C48" s="1010" t="s">
        <v>437</v>
      </c>
      <c r="D48" s="1023">
        <v>2348850</v>
      </c>
      <c r="E48" s="1017">
        <v>2348850</v>
      </c>
      <c r="F48" s="1017">
        <v>2348850</v>
      </c>
      <c r="G48" s="1017">
        <v>2348850</v>
      </c>
      <c r="H48" s="1017">
        <v>3175647</v>
      </c>
      <c r="I48" s="1002"/>
    </row>
    <row r="49" spans="1:9" s="689" customFormat="1" ht="12.75" customHeight="1">
      <c r="A49" s="1000" t="s">
        <v>49</v>
      </c>
      <c r="B49" s="700"/>
      <c r="C49" s="1010" t="s">
        <v>438</v>
      </c>
      <c r="D49" s="1024">
        <v>24913087</v>
      </c>
      <c r="E49" s="1018">
        <v>17000000</v>
      </c>
      <c r="F49" s="1018">
        <v>17000000</v>
      </c>
      <c r="G49" s="1018">
        <v>18461563</v>
      </c>
      <c r="H49" s="1018">
        <v>19408606</v>
      </c>
      <c r="I49" s="1003"/>
    </row>
    <row r="50" spans="1:9" s="689" customFormat="1" ht="12.75" customHeight="1">
      <c r="A50" s="1000" t="s">
        <v>51</v>
      </c>
      <c r="B50" s="700"/>
      <c r="C50" s="1010"/>
      <c r="D50" s="1022">
        <v>0</v>
      </c>
      <c r="E50" s="1016">
        <v>0</v>
      </c>
      <c r="F50" s="1016">
        <v>0</v>
      </c>
      <c r="G50" s="1016">
        <v>0</v>
      </c>
      <c r="H50" s="1016">
        <v>0</v>
      </c>
      <c r="I50" s="1001"/>
    </row>
    <row r="51" spans="1:9" s="689" customFormat="1" ht="12.75" customHeight="1">
      <c r="A51" s="998" t="s">
        <v>53</v>
      </c>
      <c r="B51" s="700"/>
      <c r="C51" s="1011" t="s">
        <v>439</v>
      </c>
      <c r="D51" s="1021">
        <f>D52</f>
        <v>4450000</v>
      </c>
      <c r="E51" s="1015">
        <f>E52</f>
        <v>4000000</v>
      </c>
      <c r="F51" s="1015">
        <f>F52</f>
        <v>4000000</v>
      </c>
      <c r="G51" s="1015">
        <f>G52+G53</f>
        <v>4500000</v>
      </c>
      <c r="H51" s="1015">
        <f>H52+H53</f>
        <v>4500000</v>
      </c>
      <c r="I51" s="999"/>
    </row>
    <row r="52" spans="1:9" s="689" customFormat="1" ht="12.75" customHeight="1">
      <c r="A52" s="1000" t="s">
        <v>55</v>
      </c>
      <c r="B52" s="700"/>
      <c r="C52" s="1012" t="s">
        <v>260</v>
      </c>
      <c r="D52" s="1022">
        <v>4450000</v>
      </c>
      <c r="E52" s="1016">
        <v>4000000</v>
      </c>
      <c r="F52" s="1016">
        <v>4000000</v>
      </c>
      <c r="G52" s="1016">
        <v>4000000</v>
      </c>
      <c r="H52" s="1016">
        <v>4000000</v>
      </c>
      <c r="I52" s="1001"/>
    </row>
    <row r="53" spans="1:9" s="996" customFormat="1" ht="12.75" customHeight="1">
      <c r="A53" s="1000" t="s">
        <v>57</v>
      </c>
      <c r="B53" s="702"/>
      <c r="C53" s="1012" t="s">
        <v>1153</v>
      </c>
      <c r="D53" s="1022"/>
      <c r="E53" s="1016"/>
      <c r="F53" s="1016"/>
      <c r="G53" s="1016">
        <v>500000</v>
      </c>
      <c r="H53" s="1016">
        <v>500000</v>
      </c>
      <c r="I53" s="1001"/>
    </row>
    <row r="54" spans="1:9" s="323" customFormat="1" ht="12.75" customHeight="1">
      <c r="A54" s="998" t="s">
        <v>86</v>
      </c>
      <c r="B54" s="698"/>
      <c r="C54" s="1008" t="s">
        <v>261</v>
      </c>
      <c r="D54" s="1021">
        <v>23008</v>
      </c>
      <c r="E54" s="1015">
        <f>SUM(E70)</f>
        <v>50000</v>
      </c>
      <c r="F54" s="1015">
        <f>SUM(F70)</f>
        <v>50000</v>
      </c>
      <c r="G54" s="1015">
        <f>SUM(G70)</f>
        <v>50000</v>
      </c>
      <c r="H54" s="1015">
        <f>SUM(H70)</f>
        <v>50000</v>
      </c>
      <c r="I54" s="999"/>
    </row>
    <row r="55" spans="1:9" s="689" customFormat="1" ht="12.75" customHeight="1" thickBot="1">
      <c r="A55" s="1004" t="s">
        <v>59</v>
      </c>
      <c r="B55" s="1005"/>
      <c r="C55" s="1013" t="s">
        <v>25</v>
      </c>
      <c r="D55" s="1025">
        <f>D46+D51+D54</f>
        <v>41223945</v>
      </c>
      <c r="E55" s="1019">
        <f>E46+E51+E54</f>
        <v>32887850</v>
      </c>
      <c r="F55" s="1019">
        <f>F46+F51+F54</f>
        <v>32887850</v>
      </c>
      <c r="G55" s="1019">
        <f>G46+G51+G54</f>
        <v>38852413</v>
      </c>
      <c r="H55" s="1019">
        <f>H46+H51+H54</f>
        <v>38917253</v>
      </c>
      <c r="I55" s="1006"/>
    </row>
    <row r="56" spans="1:7" s="689" customFormat="1" ht="12.75" customHeight="1">
      <c r="A56" s="691"/>
      <c r="G56" s="996"/>
    </row>
    <row r="57" s="689" customFormat="1" ht="12.75" customHeight="1">
      <c r="A57" s="691"/>
    </row>
    <row r="59" spans="1:5" ht="12.75" customHeight="1">
      <c r="A59" s="691"/>
      <c r="B59" s="689"/>
      <c r="C59" s="689"/>
      <c r="D59" s="689"/>
      <c r="E59" s="689"/>
    </row>
    <row r="60" spans="1:6" ht="12.75" customHeight="1">
      <c r="A60" s="1729" t="s">
        <v>440</v>
      </c>
      <c r="B60" s="1729"/>
      <c r="C60" s="1729"/>
      <c r="D60" s="1729"/>
      <c r="E60" s="1729"/>
      <c r="F60" s="1729"/>
    </row>
    <row r="61" spans="1:7" ht="12.75" customHeight="1">
      <c r="A61" s="1737" t="s">
        <v>1181</v>
      </c>
      <c r="B61" s="1737"/>
      <c r="C61" s="1737"/>
      <c r="D61" s="1737"/>
      <c r="E61" s="1737"/>
      <c r="F61" s="1737"/>
      <c r="G61" s="1737"/>
    </row>
    <row r="62" spans="1:8" ht="12.75" customHeight="1">
      <c r="A62" s="1717" t="s">
        <v>1006</v>
      </c>
      <c r="B62" s="1717"/>
      <c r="C62" s="1717"/>
      <c r="D62" s="1717"/>
      <c r="E62" s="1717"/>
      <c r="F62" s="1717"/>
      <c r="G62" s="1717"/>
      <c r="H62" s="1717"/>
    </row>
    <row r="63" spans="1:7" ht="12.75" customHeight="1">
      <c r="A63" s="691"/>
      <c r="B63" s="689"/>
      <c r="C63" s="2064" t="s">
        <v>1182</v>
      </c>
      <c r="D63" s="2064"/>
      <c r="E63" s="2064"/>
      <c r="F63" s="2064"/>
      <c r="G63" s="2064"/>
    </row>
    <row r="64" spans="1:8" ht="12.75" customHeight="1">
      <c r="A64" s="691"/>
      <c r="B64" s="689"/>
      <c r="C64" s="1716" t="s">
        <v>214</v>
      </c>
      <c r="D64" s="1716"/>
      <c r="E64" s="1716"/>
      <c r="F64" s="1716"/>
      <c r="G64" s="1716"/>
      <c r="H64" s="1716"/>
    </row>
    <row r="65" spans="1:8" ht="12.75" customHeight="1">
      <c r="A65" s="691"/>
      <c r="B65" s="689"/>
      <c r="C65" s="703" t="s">
        <v>24</v>
      </c>
      <c r="D65" s="968" t="s">
        <v>965</v>
      </c>
      <c r="E65" s="968" t="s">
        <v>997</v>
      </c>
      <c r="F65" s="968" t="s">
        <v>1139</v>
      </c>
      <c r="G65" s="968" t="s">
        <v>1141</v>
      </c>
      <c r="H65" s="968" t="s">
        <v>1164</v>
      </c>
    </row>
    <row r="66" spans="1:8" ht="12.75" customHeight="1">
      <c r="A66" s="691"/>
      <c r="B66" s="689"/>
      <c r="C66" s="704" t="s">
        <v>1091</v>
      </c>
      <c r="D66" s="705">
        <v>23008</v>
      </c>
      <c r="E66" s="705">
        <v>50000</v>
      </c>
      <c r="F66" s="705">
        <v>50000</v>
      </c>
      <c r="G66" s="705">
        <v>50000</v>
      </c>
      <c r="H66" s="705">
        <v>50000</v>
      </c>
    </row>
    <row r="67" spans="1:8" ht="12.75" customHeight="1">
      <c r="A67" s="691"/>
      <c r="B67" s="689"/>
      <c r="C67" s="702" t="s">
        <v>27</v>
      </c>
      <c r="D67" s="701">
        <v>0</v>
      </c>
      <c r="E67" s="701">
        <v>0</v>
      </c>
      <c r="F67" s="701">
        <v>0</v>
      </c>
      <c r="G67" s="701">
        <v>0</v>
      </c>
      <c r="H67" s="701">
        <v>0</v>
      </c>
    </row>
    <row r="68" spans="1:8" ht="12.75" customHeight="1">
      <c r="A68" s="691"/>
      <c r="B68" s="689"/>
      <c r="C68" s="702" t="s">
        <v>992</v>
      </c>
      <c r="D68" s="701"/>
      <c r="E68" s="701"/>
      <c r="F68" s="701"/>
      <c r="G68" s="701"/>
      <c r="H68" s="701"/>
    </row>
    <row r="69" spans="1:8" ht="12.75" customHeight="1">
      <c r="A69" s="691"/>
      <c r="B69" s="689"/>
      <c r="C69" s="702" t="s">
        <v>441</v>
      </c>
      <c r="D69" s="701"/>
      <c r="E69" s="701">
        <v>0</v>
      </c>
      <c r="F69" s="701">
        <v>0</v>
      </c>
      <c r="G69" s="701">
        <v>0</v>
      </c>
      <c r="H69" s="701">
        <v>0</v>
      </c>
    </row>
    <row r="70" spans="1:8" ht="12.75" customHeight="1">
      <c r="A70" s="691"/>
      <c r="B70" s="689"/>
      <c r="C70" s="706" t="s">
        <v>29</v>
      </c>
      <c r="D70" s="707">
        <f>SUM(D66:D69)</f>
        <v>23008</v>
      </c>
      <c r="E70" s="707">
        <f>SUM(E66:E69)</f>
        <v>50000</v>
      </c>
      <c r="F70" s="707">
        <f>SUM(F66:F69)</f>
        <v>50000</v>
      </c>
      <c r="G70" s="707">
        <f>SUM(G66:G69)</f>
        <v>50000</v>
      </c>
      <c r="H70" s="707">
        <f>SUM(H66:H69)</f>
        <v>50000</v>
      </c>
    </row>
  </sheetData>
  <sheetProtection selectLockedCells="1" selectUnlockedCells="1"/>
  <mergeCells count="30">
    <mergeCell ref="A5:G5"/>
    <mergeCell ref="A2:G2"/>
    <mergeCell ref="A1:G1"/>
    <mergeCell ref="A61:G61"/>
    <mergeCell ref="A38:G38"/>
    <mergeCell ref="A36:G36"/>
    <mergeCell ref="A35:G35"/>
    <mergeCell ref="C10:C11"/>
    <mergeCell ref="A9:G9"/>
    <mergeCell ref="C3:G3"/>
    <mergeCell ref="I43:I44"/>
    <mergeCell ref="E10:E11"/>
    <mergeCell ref="F10:F11"/>
    <mergeCell ref="G10:G11"/>
    <mergeCell ref="H10:H11"/>
    <mergeCell ref="A60:F60"/>
    <mergeCell ref="G43:G44"/>
    <mergeCell ref="C43:C44"/>
    <mergeCell ref="D43:D44"/>
    <mergeCell ref="E43:E44"/>
    <mergeCell ref="C64:H64"/>
    <mergeCell ref="A62:H62"/>
    <mergeCell ref="D10:D11"/>
    <mergeCell ref="A10:B12"/>
    <mergeCell ref="G42:H42"/>
    <mergeCell ref="A43:B45"/>
    <mergeCell ref="H43:H44"/>
    <mergeCell ref="F43:F44"/>
    <mergeCell ref="C63:G63"/>
    <mergeCell ref="C37:F37"/>
  </mergeCells>
  <printOptions horizontalCentered="1"/>
  <pageMargins left="0.2755905511811024" right="0.2362204724409449" top="0.15748031496062992" bottom="0.15748031496062992" header="0.5118110236220472" footer="0.5118110236220472"/>
  <pageSetup firstPageNumber="1" useFirstPageNumber="1"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28"/>
  <sheetViews>
    <sheetView view="pageBreakPreview" zoomScaleSheetLayoutView="100" zoomScalePageLayoutView="0" workbookViewId="0" topLeftCell="A1">
      <selection activeCell="G3" sqref="G3:I3"/>
    </sheetView>
  </sheetViews>
  <sheetFormatPr defaultColWidth="11.7109375" defaultRowHeight="12.75" customHeight="1"/>
  <cols>
    <col min="1" max="1" width="27.140625" style="715" customWidth="1"/>
    <col min="2" max="2" width="14.57421875" style="715" customWidth="1"/>
    <col min="3" max="3" width="12.140625" style="715" customWidth="1"/>
    <col min="4" max="4" width="14.7109375" style="715" bestFit="1" customWidth="1"/>
    <col min="5" max="5" width="13.7109375" style="715" bestFit="1" customWidth="1"/>
    <col min="6" max="7" width="13.7109375" style="735" bestFit="1" customWidth="1"/>
    <col min="8" max="8" width="14.7109375" style="715" bestFit="1" customWidth="1"/>
    <col min="9" max="9" width="31.28125" style="715" customWidth="1"/>
    <col min="10" max="10" width="15.140625" style="715" customWidth="1"/>
    <col min="11" max="11" width="9.28125" style="715" customWidth="1"/>
    <col min="12" max="12" width="12.57421875" style="715" customWidth="1"/>
    <col min="13" max="13" width="14.7109375" style="715" bestFit="1" customWidth="1"/>
    <col min="14" max="14" width="13.7109375" style="715" bestFit="1" customWidth="1"/>
    <col min="15" max="15" width="14.7109375" style="715" customWidth="1"/>
    <col min="16" max="16" width="14.140625" style="715" customWidth="1"/>
    <col min="17" max="16384" width="11.7109375" style="715" customWidth="1"/>
  </cols>
  <sheetData>
    <row r="1" spans="1:16" s="714" customFormat="1" ht="12.75" customHeight="1">
      <c r="A1" s="1742"/>
      <c r="B1" s="1742"/>
      <c r="C1" s="1742"/>
      <c r="D1" s="1742"/>
      <c r="I1" s="1743" t="s">
        <v>442</v>
      </c>
      <c r="J1" s="1743"/>
      <c r="K1" s="1743"/>
      <c r="L1" s="1743"/>
      <c r="M1" s="1743"/>
      <c r="N1" s="1743"/>
      <c r="O1" s="1743"/>
      <c r="P1" s="1743"/>
    </row>
    <row r="2" spans="1:16" ht="12.75" customHeight="1">
      <c r="A2" s="1744" t="s">
        <v>1181</v>
      </c>
      <c r="B2" s="1744"/>
      <c r="C2" s="1744"/>
      <c r="D2" s="1744"/>
      <c r="E2" s="1744"/>
      <c r="F2" s="1744"/>
      <c r="G2" s="1744"/>
      <c r="H2" s="1744"/>
      <c r="I2" s="1744"/>
      <c r="J2" s="1744"/>
      <c r="K2" s="1744"/>
      <c r="L2" s="1744"/>
      <c r="M2" s="1744"/>
      <c r="N2" s="1744"/>
      <c r="O2" s="1744"/>
      <c r="P2" s="1744"/>
    </row>
    <row r="3" spans="1:16" ht="12.75" customHeight="1">
      <c r="A3" s="1645"/>
      <c r="B3" s="1645"/>
      <c r="C3" s="1645"/>
      <c r="D3" s="1645"/>
      <c r="E3" s="1645"/>
      <c r="F3" s="1645"/>
      <c r="G3" s="1744" t="s">
        <v>1182</v>
      </c>
      <c r="H3" s="1744"/>
      <c r="I3" s="1744"/>
      <c r="J3" s="1645"/>
      <c r="K3" s="1645"/>
      <c r="L3" s="1645"/>
      <c r="M3" s="1645"/>
      <c r="N3" s="1645"/>
      <c r="O3" s="1645"/>
      <c r="P3" s="1645"/>
    </row>
    <row r="4" spans="1:256" ht="12.75" customHeight="1">
      <c r="A4" s="1745" t="s">
        <v>1007</v>
      </c>
      <c r="B4" s="1745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716"/>
      <c r="R4" s="716"/>
      <c r="S4" s="716"/>
      <c r="T4" s="716"/>
      <c r="U4" s="716"/>
      <c r="V4" s="716"/>
      <c r="W4" s="716"/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6"/>
      <c r="AO4" s="716"/>
      <c r="AP4" s="716"/>
      <c r="AQ4" s="716"/>
      <c r="AR4" s="716"/>
      <c r="AS4" s="716"/>
      <c r="AT4" s="716"/>
      <c r="AU4" s="716"/>
      <c r="AV4" s="716"/>
      <c r="AW4" s="716"/>
      <c r="AX4" s="716"/>
      <c r="AY4" s="716"/>
      <c r="AZ4" s="716"/>
      <c r="BA4" s="716"/>
      <c r="BB4" s="716"/>
      <c r="BC4" s="716"/>
      <c r="BD4" s="716"/>
      <c r="BE4" s="716"/>
      <c r="BF4" s="716"/>
      <c r="BG4" s="716"/>
      <c r="BH4" s="716"/>
      <c r="BI4" s="716"/>
      <c r="BJ4" s="716"/>
      <c r="BK4" s="716"/>
      <c r="BL4" s="716"/>
      <c r="BM4" s="716"/>
      <c r="BN4" s="716"/>
      <c r="BO4" s="716"/>
      <c r="BP4" s="716"/>
      <c r="BQ4" s="716"/>
      <c r="BR4" s="716"/>
      <c r="BS4" s="716"/>
      <c r="BT4" s="716"/>
      <c r="BU4" s="716"/>
      <c r="BV4" s="716"/>
      <c r="BW4" s="716"/>
      <c r="BX4" s="716"/>
      <c r="BY4" s="716"/>
      <c r="BZ4" s="716"/>
      <c r="CA4" s="716"/>
      <c r="CB4" s="716"/>
      <c r="CC4" s="716"/>
      <c r="CD4" s="716"/>
      <c r="CE4" s="716"/>
      <c r="CF4" s="716"/>
      <c r="CG4" s="716"/>
      <c r="CH4" s="716"/>
      <c r="CI4" s="716"/>
      <c r="CJ4" s="716"/>
      <c r="CK4" s="716"/>
      <c r="CL4" s="716"/>
      <c r="CM4" s="716"/>
      <c r="CN4" s="716"/>
      <c r="CO4" s="716"/>
      <c r="CP4" s="716"/>
      <c r="CQ4" s="716"/>
      <c r="CR4" s="716"/>
      <c r="CS4" s="716"/>
      <c r="CT4" s="716"/>
      <c r="CU4" s="716"/>
      <c r="CV4" s="716"/>
      <c r="CW4" s="716"/>
      <c r="CX4" s="716"/>
      <c r="CY4" s="716"/>
      <c r="CZ4" s="716"/>
      <c r="DA4" s="716"/>
      <c r="DB4" s="716"/>
      <c r="DC4" s="716"/>
      <c r="DD4" s="716"/>
      <c r="DE4" s="716"/>
      <c r="DF4" s="716"/>
      <c r="DG4" s="716"/>
      <c r="DH4" s="716"/>
      <c r="DI4" s="716"/>
      <c r="DJ4" s="716"/>
      <c r="DK4" s="716"/>
      <c r="DL4" s="716"/>
      <c r="DM4" s="716"/>
      <c r="DN4" s="716"/>
      <c r="DO4" s="716"/>
      <c r="DP4" s="716"/>
      <c r="DQ4" s="716"/>
      <c r="DR4" s="716"/>
      <c r="DS4" s="716"/>
      <c r="DT4" s="716"/>
      <c r="DU4" s="716"/>
      <c r="DV4" s="716"/>
      <c r="DW4" s="716"/>
      <c r="DX4" s="716"/>
      <c r="DY4" s="716"/>
      <c r="DZ4" s="716"/>
      <c r="EA4" s="716"/>
      <c r="EB4" s="716"/>
      <c r="EC4" s="716"/>
      <c r="ED4" s="716"/>
      <c r="EE4" s="716"/>
      <c r="EF4" s="716"/>
      <c r="EG4" s="716"/>
      <c r="EH4" s="716"/>
      <c r="EI4" s="716"/>
      <c r="EJ4" s="716"/>
      <c r="EK4" s="716"/>
      <c r="EL4" s="716"/>
      <c r="EM4" s="716"/>
      <c r="EN4" s="716"/>
      <c r="EO4" s="716"/>
      <c r="EP4" s="716"/>
      <c r="EQ4" s="716"/>
      <c r="ER4" s="716"/>
      <c r="ES4" s="716"/>
      <c r="ET4" s="716"/>
      <c r="EU4" s="716"/>
      <c r="EV4" s="716"/>
      <c r="EW4" s="716"/>
      <c r="EX4" s="716"/>
      <c r="EY4" s="716"/>
      <c r="EZ4" s="716"/>
      <c r="FA4" s="716"/>
      <c r="FB4" s="716"/>
      <c r="FC4" s="716"/>
      <c r="FD4" s="716"/>
      <c r="FE4" s="716"/>
      <c r="FF4" s="716"/>
      <c r="FG4" s="716"/>
      <c r="FH4" s="716"/>
      <c r="FI4" s="716"/>
      <c r="FJ4" s="716"/>
      <c r="FK4" s="716"/>
      <c r="FL4" s="716"/>
      <c r="FM4" s="716"/>
      <c r="FN4" s="716"/>
      <c r="FO4" s="716"/>
      <c r="FP4" s="716"/>
      <c r="FQ4" s="716"/>
      <c r="FR4" s="716"/>
      <c r="FS4" s="716"/>
      <c r="FT4" s="716"/>
      <c r="FU4" s="716"/>
      <c r="FV4" s="716"/>
      <c r="FW4" s="716"/>
      <c r="FX4" s="716"/>
      <c r="FY4" s="716"/>
      <c r="FZ4" s="716"/>
      <c r="GA4" s="716"/>
      <c r="GB4" s="716"/>
      <c r="GC4" s="716"/>
      <c r="GD4" s="716"/>
      <c r="GE4" s="716"/>
      <c r="GF4" s="716"/>
      <c r="GG4" s="716"/>
      <c r="GH4" s="716"/>
      <c r="GI4" s="716"/>
      <c r="GJ4" s="716"/>
      <c r="GK4" s="716"/>
      <c r="GL4" s="716"/>
      <c r="GM4" s="716"/>
      <c r="GN4" s="716"/>
      <c r="GO4" s="716"/>
      <c r="GP4" s="716"/>
      <c r="GQ4" s="716"/>
      <c r="GR4" s="716"/>
      <c r="GS4" s="716"/>
      <c r="GT4" s="716"/>
      <c r="GU4" s="716"/>
      <c r="GV4" s="716"/>
      <c r="GW4" s="716"/>
      <c r="GX4" s="716"/>
      <c r="GY4" s="716"/>
      <c r="GZ4" s="716"/>
      <c r="HA4" s="716"/>
      <c r="HB4" s="716"/>
      <c r="HC4" s="716"/>
      <c r="HD4" s="716"/>
      <c r="HE4" s="716"/>
      <c r="HF4" s="716"/>
      <c r="HG4" s="716"/>
      <c r="HH4" s="716"/>
      <c r="HI4" s="716"/>
      <c r="HJ4" s="716"/>
      <c r="HK4" s="716"/>
      <c r="HL4" s="716"/>
      <c r="HM4" s="716"/>
      <c r="HN4" s="716"/>
      <c r="HO4" s="716"/>
      <c r="HP4" s="716"/>
      <c r="HQ4" s="716"/>
      <c r="HR4" s="716"/>
      <c r="HS4" s="716"/>
      <c r="HT4" s="716"/>
      <c r="HU4" s="716"/>
      <c r="HV4" s="716"/>
      <c r="HW4" s="716"/>
      <c r="HX4" s="716"/>
      <c r="HY4" s="716"/>
      <c r="HZ4" s="716"/>
      <c r="IA4" s="716"/>
      <c r="IB4" s="716"/>
      <c r="IC4" s="716"/>
      <c r="ID4" s="716"/>
      <c r="IE4" s="716"/>
      <c r="IF4" s="716"/>
      <c r="IG4" s="716"/>
      <c r="IH4" s="716"/>
      <c r="II4" s="716"/>
      <c r="IJ4" s="716"/>
      <c r="IK4" s="716"/>
      <c r="IL4" s="716"/>
      <c r="IM4" s="716"/>
      <c r="IN4" s="716"/>
      <c r="IO4" s="716"/>
      <c r="IP4" s="716"/>
      <c r="IQ4" s="716"/>
      <c r="IR4" s="716"/>
      <c r="IS4" s="716"/>
      <c r="IT4" s="716"/>
      <c r="IU4" s="716"/>
      <c r="IV4" s="716"/>
    </row>
    <row r="5" spans="1:256" ht="12.75" customHeight="1">
      <c r="A5" s="717"/>
      <c r="B5" s="717"/>
      <c r="C5" s="717"/>
      <c r="D5" s="717"/>
      <c r="E5" s="716"/>
      <c r="F5" s="716"/>
      <c r="G5" s="716"/>
      <c r="H5" s="716"/>
      <c r="I5" s="717"/>
      <c r="J5" s="717"/>
      <c r="K5" s="717"/>
      <c r="L5" s="717"/>
      <c r="M5" s="717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6"/>
      <c r="AT5" s="716"/>
      <c r="AU5" s="716"/>
      <c r="AV5" s="716"/>
      <c r="AW5" s="716"/>
      <c r="AX5" s="716"/>
      <c r="AY5" s="716"/>
      <c r="AZ5" s="716"/>
      <c r="BA5" s="716"/>
      <c r="BB5" s="716"/>
      <c r="BC5" s="716"/>
      <c r="BD5" s="716"/>
      <c r="BE5" s="716"/>
      <c r="BF5" s="716"/>
      <c r="BG5" s="716"/>
      <c r="BH5" s="716"/>
      <c r="BI5" s="716"/>
      <c r="BJ5" s="716"/>
      <c r="BK5" s="716"/>
      <c r="BL5" s="716"/>
      <c r="BM5" s="716"/>
      <c r="BN5" s="716"/>
      <c r="BO5" s="716"/>
      <c r="BP5" s="716"/>
      <c r="BQ5" s="716"/>
      <c r="BR5" s="716"/>
      <c r="BS5" s="716"/>
      <c r="BT5" s="716"/>
      <c r="BU5" s="716"/>
      <c r="BV5" s="716"/>
      <c r="BW5" s="716"/>
      <c r="BX5" s="716"/>
      <c r="BY5" s="716"/>
      <c r="BZ5" s="716"/>
      <c r="CA5" s="716"/>
      <c r="CB5" s="716"/>
      <c r="CC5" s="716"/>
      <c r="CD5" s="716"/>
      <c r="CE5" s="716"/>
      <c r="CF5" s="716"/>
      <c r="CG5" s="716"/>
      <c r="CH5" s="716"/>
      <c r="CI5" s="716"/>
      <c r="CJ5" s="716"/>
      <c r="CK5" s="716"/>
      <c r="CL5" s="716"/>
      <c r="CM5" s="716"/>
      <c r="CN5" s="716"/>
      <c r="CO5" s="716"/>
      <c r="CP5" s="716"/>
      <c r="CQ5" s="716"/>
      <c r="CR5" s="716"/>
      <c r="CS5" s="716"/>
      <c r="CT5" s="716"/>
      <c r="CU5" s="716"/>
      <c r="CV5" s="716"/>
      <c r="CW5" s="716"/>
      <c r="CX5" s="716"/>
      <c r="CY5" s="716"/>
      <c r="CZ5" s="716"/>
      <c r="DA5" s="716"/>
      <c r="DB5" s="716"/>
      <c r="DC5" s="716"/>
      <c r="DD5" s="716"/>
      <c r="DE5" s="716"/>
      <c r="DF5" s="716"/>
      <c r="DG5" s="716"/>
      <c r="DH5" s="716"/>
      <c r="DI5" s="716"/>
      <c r="DJ5" s="716"/>
      <c r="DK5" s="716"/>
      <c r="DL5" s="716"/>
      <c r="DM5" s="716"/>
      <c r="DN5" s="716"/>
      <c r="DO5" s="716"/>
      <c r="DP5" s="716"/>
      <c r="DQ5" s="716"/>
      <c r="DR5" s="716"/>
      <c r="DS5" s="716"/>
      <c r="DT5" s="716"/>
      <c r="DU5" s="716"/>
      <c r="DV5" s="716"/>
      <c r="DW5" s="716"/>
      <c r="DX5" s="716"/>
      <c r="DY5" s="716"/>
      <c r="DZ5" s="716"/>
      <c r="EA5" s="716"/>
      <c r="EB5" s="716"/>
      <c r="EC5" s="716"/>
      <c r="ED5" s="716"/>
      <c r="EE5" s="716"/>
      <c r="EF5" s="716"/>
      <c r="EG5" s="716"/>
      <c r="EH5" s="716"/>
      <c r="EI5" s="716"/>
      <c r="EJ5" s="716"/>
      <c r="EK5" s="716"/>
      <c r="EL5" s="716"/>
      <c r="EM5" s="716"/>
      <c r="EN5" s="716"/>
      <c r="EO5" s="716"/>
      <c r="EP5" s="716"/>
      <c r="EQ5" s="716"/>
      <c r="ER5" s="716"/>
      <c r="ES5" s="716"/>
      <c r="ET5" s="716"/>
      <c r="EU5" s="716"/>
      <c r="EV5" s="716"/>
      <c r="EW5" s="716"/>
      <c r="EX5" s="716"/>
      <c r="EY5" s="716"/>
      <c r="EZ5" s="716"/>
      <c r="FA5" s="716"/>
      <c r="FB5" s="716"/>
      <c r="FC5" s="716"/>
      <c r="FD5" s="716"/>
      <c r="FE5" s="716"/>
      <c r="FF5" s="716"/>
      <c r="FG5" s="716"/>
      <c r="FH5" s="716"/>
      <c r="FI5" s="716"/>
      <c r="FJ5" s="716"/>
      <c r="FK5" s="716"/>
      <c r="FL5" s="716"/>
      <c r="FM5" s="716"/>
      <c r="FN5" s="716"/>
      <c r="FO5" s="716"/>
      <c r="FP5" s="716"/>
      <c r="FQ5" s="716"/>
      <c r="FR5" s="716"/>
      <c r="FS5" s="716"/>
      <c r="FT5" s="716"/>
      <c r="FU5" s="716"/>
      <c r="FV5" s="716"/>
      <c r="FW5" s="716"/>
      <c r="FX5" s="716"/>
      <c r="FY5" s="716"/>
      <c r="FZ5" s="716"/>
      <c r="GA5" s="716"/>
      <c r="GB5" s="716"/>
      <c r="GC5" s="716"/>
      <c r="GD5" s="716"/>
      <c r="GE5" s="716"/>
      <c r="GF5" s="716"/>
      <c r="GG5" s="716"/>
      <c r="GH5" s="716"/>
      <c r="GI5" s="716"/>
      <c r="GJ5" s="716"/>
      <c r="GK5" s="716"/>
      <c r="GL5" s="716"/>
      <c r="GM5" s="716"/>
      <c r="GN5" s="716"/>
      <c r="GO5" s="716"/>
      <c r="GP5" s="716"/>
      <c r="GQ5" s="716"/>
      <c r="GR5" s="716"/>
      <c r="GS5" s="716"/>
      <c r="GT5" s="716"/>
      <c r="GU5" s="716"/>
      <c r="GV5" s="716"/>
      <c r="GW5" s="716"/>
      <c r="GX5" s="716"/>
      <c r="GY5" s="716"/>
      <c r="GZ5" s="716"/>
      <c r="HA5" s="716"/>
      <c r="HB5" s="716"/>
      <c r="HC5" s="716"/>
      <c r="HD5" s="716"/>
      <c r="HE5" s="716"/>
      <c r="HF5" s="716"/>
      <c r="HG5" s="716"/>
      <c r="HH5" s="716"/>
      <c r="HI5" s="716"/>
      <c r="HJ5" s="716"/>
      <c r="HK5" s="716"/>
      <c r="HL5" s="716"/>
      <c r="HM5" s="716"/>
      <c r="HN5" s="716"/>
      <c r="HO5" s="716"/>
      <c r="HP5" s="716"/>
      <c r="HQ5" s="716"/>
      <c r="HR5" s="716"/>
      <c r="HS5" s="716"/>
      <c r="HT5" s="716"/>
      <c r="HU5" s="716"/>
      <c r="HV5" s="716"/>
      <c r="HW5" s="716"/>
      <c r="HX5" s="716"/>
      <c r="HY5" s="716"/>
      <c r="HZ5" s="716"/>
      <c r="IA5" s="716"/>
      <c r="IB5" s="716"/>
      <c r="IC5" s="716"/>
      <c r="ID5" s="716"/>
      <c r="IE5" s="716"/>
      <c r="IF5" s="716"/>
      <c r="IG5" s="716"/>
      <c r="IH5" s="716"/>
      <c r="II5" s="716"/>
      <c r="IJ5" s="716"/>
      <c r="IK5" s="716"/>
      <c r="IL5" s="716"/>
      <c r="IM5" s="716"/>
      <c r="IN5" s="716"/>
      <c r="IO5" s="716"/>
      <c r="IP5" s="716"/>
      <c r="IQ5" s="716"/>
      <c r="IR5" s="716"/>
      <c r="IS5" s="716"/>
      <c r="IT5" s="716"/>
      <c r="IU5" s="716"/>
      <c r="IV5" s="716"/>
    </row>
    <row r="6" spans="1:256" ht="12.75" customHeight="1">
      <c r="A6" s="716"/>
      <c r="B6" s="716"/>
      <c r="C6" s="716"/>
      <c r="D6" s="716"/>
      <c r="E6" s="716"/>
      <c r="F6" s="716"/>
      <c r="G6" s="1746"/>
      <c r="H6" s="1746"/>
      <c r="I6" s="716"/>
      <c r="J6" s="716"/>
      <c r="K6" s="716"/>
      <c r="L6" s="716"/>
      <c r="M6" s="716"/>
      <c r="N6" s="1747" t="s">
        <v>155</v>
      </c>
      <c r="O6" s="1747"/>
      <c r="P6" s="1747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6"/>
      <c r="AB6" s="716"/>
      <c r="AC6" s="716"/>
      <c r="AD6" s="716"/>
      <c r="AE6" s="716"/>
      <c r="AF6" s="716"/>
      <c r="AG6" s="716"/>
      <c r="AH6" s="716"/>
      <c r="AI6" s="716"/>
      <c r="AJ6" s="716"/>
      <c r="AK6" s="716"/>
      <c r="AL6" s="716"/>
      <c r="AM6" s="716"/>
      <c r="AN6" s="716"/>
      <c r="AO6" s="716"/>
      <c r="AP6" s="716"/>
      <c r="AQ6" s="716"/>
      <c r="AR6" s="716"/>
      <c r="AS6" s="716"/>
      <c r="AT6" s="716"/>
      <c r="AU6" s="716"/>
      <c r="AV6" s="716"/>
      <c r="AW6" s="716"/>
      <c r="AX6" s="716"/>
      <c r="AY6" s="716"/>
      <c r="AZ6" s="716"/>
      <c r="BA6" s="716"/>
      <c r="BB6" s="716"/>
      <c r="BC6" s="716"/>
      <c r="BD6" s="716"/>
      <c r="BE6" s="716"/>
      <c r="BF6" s="716"/>
      <c r="BG6" s="716"/>
      <c r="BH6" s="716"/>
      <c r="BI6" s="716"/>
      <c r="BJ6" s="716"/>
      <c r="BK6" s="716"/>
      <c r="BL6" s="716"/>
      <c r="BM6" s="716"/>
      <c r="BN6" s="716"/>
      <c r="BO6" s="716"/>
      <c r="BP6" s="716"/>
      <c r="BQ6" s="716"/>
      <c r="BR6" s="716"/>
      <c r="BS6" s="716"/>
      <c r="BT6" s="716"/>
      <c r="BU6" s="716"/>
      <c r="BV6" s="716"/>
      <c r="BW6" s="716"/>
      <c r="BX6" s="716"/>
      <c r="BY6" s="716"/>
      <c r="BZ6" s="716"/>
      <c r="CA6" s="716"/>
      <c r="CB6" s="716"/>
      <c r="CC6" s="716"/>
      <c r="CD6" s="716"/>
      <c r="CE6" s="716"/>
      <c r="CF6" s="716"/>
      <c r="CG6" s="716"/>
      <c r="CH6" s="716"/>
      <c r="CI6" s="716"/>
      <c r="CJ6" s="716"/>
      <c r="CK6" s="716"/>
      <c r="CL6" s="716"/>
      <c r="CM6" s="716"/>
      <c r="CN6" s="716"/>
      <c r="CO6" s="716"/>
      <c r="CP6" s="716"/>
      <c r="CQ6" s="716"/>
      <c r="CR6" s="716"/>
      <c r="CS6" s="716"/>
      <c r="CT6" s="716"/>
      <c r="CU6" s="716"/>
      <c r="CV6" s="716"/>
      <c r="CW6" s="716"/>
      <c r="CX6" s="716"/>
      <c r="CY6" s="716"/>
      <c r="CZ6" s="716"/>
      <c r="DA6" s="716"/>
      <c r="DB6" s="716"/>
      <c r="DC6" s="716"/>
      <c r="DD6" s="716"/>
      <c r="DE6" s="716"/>
      <c r="DF6" s="716"/>
      <c r="DG6" s="716"/>
      <c r="DH6" s="716"/>
      <c r="DI6" s="716"/>
      <c r="DJ6" s="716"/>
      <c r="DK6" s="716"/>
      <c r="DL6" s="716"/>
      <c r="DM6" s="716"/>
      <c r="DN6" s="716"/>
      <c r="DO6" s="716"/>
      <c r="DP6" s="716"/>
      <c r="DQ6" s="716"/>
      <c r="DR6" s="716"/>
      <c r="DS6" s="716"/>
      <c r="DT6" s="716"/>
      <c r="DU6" s="716"/>
      <c r="DV6" s="716"/>
      <c r="DW6" s="716"/>
      <c r="DX6" s="716"/>
      <c r="DY6" s="716"/>
      <c r="DZ6" s="716"/>
      <c r="EA6" s="716"/>
      <c r="EB6" s="716"/>
      <c r="EC6" s="716"/>
      <c r="ED6" s="716"/>
      <c r="EE6" s="716"/>
      <c r="EF6" s="716"/>
      <c r="EG6" s="716"/>
      <c r="EH6" s="716"/>
      <c r="EI6" s="716"/>
      <c r="EJ6" s="716"/>
      <c r="EK6" s="716"/>
      <c r="EL6" s="716"/>
      <c r="EM6" s="716"/>
      <c r="EN6" s="716"/>
      <c r="EO6" s="716"/>
      <c r="EP6" s="716"/>
      <c r="EQ6" s="716"/>
      <c r="ER6" s="716"/>
      <c r="ES6" s="716"/>
      <c r="ET6" s="716"/>
      <c r="EU6" s="716"/>
      <c r="EV6" s="716"/>
      <c r="EW6" s="716"/>
      <c r="EX6" s="716"/>
      <c r="EY6" s="716"/>
      <c r="EZ6" s="716"/>
      <c r="FA6" s="716"/>
      <c r="FB6" s="716"/>
      <c r="FC6" s="716"/>
      <c r="FD6" s="716"/>
      <c r="FE6" s="716"/>
      <c r="FF6" s="716"/>
      <c r="FG6" s="716"/>
      <c r="FH6" s="716"/>
      <c r="FI6" s="716"/>
      <c r="FJ6" s="716"/>
      <c r="FK6" s="716"/>
      <c r="FL6" s="716"/>
      <c r="FM6" s="716"/>
      <c r="FN6" s="716"/>
      <c r="FO6" s="716"/>
      <c r="FP6" s="716"/>
      <c r="FQ6" s="716"/>
      <c r="FR6" s="716"/>
      <c r="FS6" s="716"/>
      <c r="FT6" s="716"/>
      <c r="FU6" s="716"/>
      <c r="FV6" s="716"/>
      <c r="FW6" s="716"/>
      <c r="FX6" s="716"/>
      <c r="FY6" s="716"/>
      <c r="FZ6" s="716"/>
      <c r="GA6" s="716"/>
      <c r="GB6" s="716"/>
      <c r="GC6" s="716"/>
      <c r="GD6" s="716"/>
      <c r="GE6" s="716"/>
      <c r="GF6" s="716"/>
      <c r="GG6" s="716"/>
      <c r="GH6" s="716"/>
      <c r="GI6" s="716"/>
      <c r="GJ6" s="716"/>
      <c r="GK6" s="716"/>
      <c r="GL6" s="716"/>
      <c r="GM6" s="716"/>
      <c r="GN6" s="716"/>
      <c r="GO6" s="716"/>
      <c r="GP6" s="716"/>
      <c r="GQ6" s="716"/>
      <c r="GR6" s="716"/>
      <c r="GS6" s="716"/>
      <c r="GT6" s="716"/>
      <c r="GU6" s="716"/>
      <c r="GV6" s="716"/>
      <c r="GW6" s="716"/>
      <c r="GX6" s="716"/>
      <c r="GY6" s="716"/>
      <c r="GZ6" s="716"/>
      <c r="HA6" s="716"/>
      <c r="HB6" s="716"/>
      <c r="HC6" s="716"/>
      <c r="HD6" s="716"/>
      <c r="HE6" s="716"/>
      <c r="HF6" s="716"/>
      <c r="HG6" s="716"/>
      <c r="HH6" s="716"/>
      <c r="HI6" s="716"/>
      <c r="HJ6" s="716"/>
      <c r="HK6" s="716"/>
      <c r="HL6" s="716"/>
      <c r="HM6" s="716"/>
      <c r="HN6" s="716"/>
      <c r="HO6" s="716"/>
      <c r="HP6" s="716"/>
      <c r="HQ6" s="716"/>
      <c r="HR6" s="716"/>
      <c r="HS6" s="716"/>
      <c r="HT6" s="716"/>
      <c r="HU6" s="716"/>
      <c r="HV6" s="716"/>
      <c r="HW6" s="716"/>
      <c r="HX6" s="716"/>
      <c r="HY6" s="716"/>
      <c r="HZ6" s="716"/>
      <c r="IA6" s="716"/>
      <c r="IB6" s="716"/>
      <c r="IC6" s="716"/>
      <c r="ID6" s="716"/>
      <c r="IE6" s="716"/>
      <c r="IF6" s="716"/>
      <c r="IG6" s="716"/>
      <c r="IH6" s="716"/>
      <c r="II6" s="716"/>
      <c r="IJ6" s="716"/>
      <c r="IK6" s="716"/>
      <c r="IL6" s="716"/>
      <c r="IM6" s="716"/>
      <c r="IN6" s="716"/>
      <c r="IO6" s="716"/>
      <c r="IP6" s="716"/>
      <c r="IQ6" s="716"/>
      <c r="IR6" s="716"/>
      <c r="IS6" s="716"/>
      <c r="IT6" s="716"/>
      <c r="IU6" s="716"/>
      <c r="IV6" s="716"/>
    </row>
    <row r="7" spans="1:256" ht="12.75" customHeight="1">
      <c r="A7" s="718" t="s">
        <v>443</v>
      </c>
      <c r="B7" s="719" t="s">
        <v>444</v>
      </c>
      <c r="C7" s="719" t="s">
        <v>445</v>
      </c>
      <c r="D7" s="719" t="s">
        <v>446</v>
      </c>
      <c r="E7" s="719" t="s">
        <v>447</v>
      </c>
      <c r="F7" s="719" t="s">
        <v>448</v>
      </c>
      <c r="G7" s="719" t="s">
        <v>449</v>
      </c>
      <c r="H7" s="720" t="s">
        <v>450</v>
      </c>
      <c r="I7" s="718" t="s">
        <v>78</v>
      </c>
      <c r="J7" s="719" t="s">
        <v>444</v>
      </c>
      <c r="K7" s="719" t="s">
        <v>445</v>
      </c>
      <c r="L7" s="719" t="s">
        <v>446</v>
      </c>
      <c r="M7" s="719" t="s">
        <v>447</v>
      </c>
      <c r="N7" s="719" t="s">
        <v>448</v>
      </c>
      <c r="O7" s="719" t="s">
        <v>449</v>
      </c>
      <c r="P7" s="720" t="s">
        <v>25</v>
      </c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6"/>
      <c r="AF7" s="716"/>
      <c r="AG7" s="716"/>
      <c r="AH7" s="716"/>
      <c r="AI7" s="716"/>
      <c r="AJ7" s="716"/>
      <c r="AK7" s="716"/>
      <c r="AL7" s="716"/>
      <c r="AM7" s="716"/>
      <c r="AN7" s="716"/>
      <c r="AO7" s="716"/>
      <c r="AP7" s="716"/>
      <c r="AQ7" s="716"/>
      <c r="AR7" s="716"/>
      <c r="AS7" s="716"/>
      <c r="AT7" s="716"/>
      <c r="AU7" s="716"/>
      <c r="AV7" s="716"/>
      <c r="AW7" s="716"/>
      <c r="AX7" s="716"/>
      <c r="AY7" s="716"/>
      <c r="AZ7" s="716"/>
      <c r="BA7" s="716"/>
      <c r="BB7" s="716"/>
      <c r="BC7" s="716"/>
      <c r="BD7" s="716"/>
      <c r="BE7" s="716"/>
      <c r="BF7" s="716"/>
      <c r="BG7" s="716"/>
      <c r="BH7" s="716"/>
      <c r="BI7" s="716"/>
      <c r="BJ7" s="716"/>
      <c r="BK7" s="716"/>
      <c r="BL7" s="716"/>
      <c r="BM7" s="716"/>
      <c r="BN7" s="716"/>
      <c r="BO7" s="716"/>
      <c r="BP7" s="716"/>
      <c r="BQ7" s="716"/>
      <c r="BR7" s="716"/>
      <c r="BS7" s="716"/>
      <c r="BT7" s="716"/>
      <c r="BU7" s="716"/>
      <c r="BV7" s="716"/>
      <c r="BW7" s="716"/>
      <c r="BX7" s="716"/>
      <c r="BY7" s="716"/>
      <c r="BZ7" s="716"/>
      <c r="CA7" s="716"/>
      <c r="CB7" s="716"/>
      <c r="CC7" s="716"/>
      <c r="CD7" s="716"/>
      <c r="CE7" s="716"/>
      <c r="CF7" s="716"/>
      <c r="CG7" s="716"/>
      <c r="CH7" s="716"/>
      <c r="CI7" s="716"/>
      <c r="CJ7" s="716"/>
      <c r="CK7" s="716"/>
      <c r="CL7" s="716"/>
      <c r="CM7" s="716"/>
      <c r="CN7" s="716"/>
      <c r="CO7" s="716"/>
      <c r="CP7" s="716"/>
      <c r="CQ7" s="716"/>
      <c r="CR7" s="716"/>
      <c r="CS7" s="716"/>
      <c r="CT7" s="716"/>
      <c r="CU7" s="716"/>
      <c r="CV7" s="716"/>
      <c r="CW7" s="716"/>
      <c r="CX7" s="716"/>
      <c r="CY7" s="716"/>
      <c r="CZ7" s="716"/>
      <c r="DA7" s="716"/>
      <c r="DB7" s="716"/>
      <c r="DC7" s="716"/>
      <c r="DD7" s="716"/>
      <c r="DE7" s="716"/>
      <c r="DF7" s="716"/>
      <c r="DG7" s="716"/>
      <c r="DH7" s="716"/>
      <c r="DI7" s="716"/>
      <c r="DJ7" s="716"/>
      <c r="DK7" s="716"/>
      <c r="DL7" s="716"/>
      <c r="DM7" s="716"/>
      <c r="DN7" s="716"/>
      <c r="DO7" s="716"/>
      <c r="DP7" s="716"/>
      <c r="DQ7" s="716"/>
      <c r="DR7" s="716"/>
      <c r="DS7" s="716"/>
      <c r="DT7" s="716"/>
      <c r="DU7" s="716"/>
      <c r="DV7" s="716"/>
      <c r="DW7" s="716"/>
      <c r="DX7" s="716"/>
      <c r="DY7" s="716"/>
      <c r="DZ7" s="716"/>
      <c r="EA7" s="716"/>
      <c r="EB7" s="716"/>
      <c r="EC7" s="716"/>
      <c r="ED7" s="716"/>
      <c r="EE7" s="716"/>
      <c r="EF7" s="716"/>
      <c r="EG7" s="716"/>
      <c r="EH7" s="716"/>
      <c r="EI7" s="716"/>
      <c r="EJ7" s="716"/>
      <c r="EK7" s="716"/>
      <c r="EL7" s="716"/>
      <c r="EM7" s="716"/>
      <c r="EN7" s="716"/>
      <c r="EO7" s="716"/>
      <c r="EP7" s="716"/>
      <c r="EQ7" s="716"/>
      <c r="ER7" s="716"/>
      <c r="ES7" s="716"/>
      <c r="ET7" s="716"/>
      <c r="EU7" s="716"/>
      <c r="EV7" s="716"/>
      <c r="EW7" s="716"/>
      <c r="EX7" s="716"/>
      <c r="EY7" s="716"/>
      <c r="EZ7" s="716"/>
      <c r="FA7" s="716"/>
      <c r="FB7" s="716"/>
      <c r="FC7" s="716"/>
      <c r="FD7" s="716"/>
      <c r="FE7" s="716"/>
      <c r="FF7" s="716"/>
      <c r="FG7" s="716"/>
      <c r="FH7" s="716"/>
      <c r="FI7" s="716"/>
      <c r="FJ7" s="716"/>
      <c r="FK7" s="716"/>
      <c r="FL7" s="716"/>
      <c r="FM7" s="716"/>
      <c r="FN7" s="716"/>
      <c r="FO7" s="716"/>
      <c r="FP7" s="716"/>
      <c r="FQ7" s="716"/>
      <c r="FR7" s="716"/>
      <c r="FS7" s="716"/>
      <c r="FT7" s="716"/>
      <c r="FU7" s="716"/>
      <c r="FV7" s="716"/>
      <c r="FW7" s="716"/>
      <c r="FX7" s="716"/>
      <c r="FY7" s="716"/>
      <c r="FZ7" s="716"/>
      <c r="GA7" s="716"/>
      <c r="GB7" s="716"/>
      <c r="GC7" s="716"/>
      <c r="GD7" s="716"/>
      <c r="GE7" s="716"/>
      <c r="GF7" s="716"/>
      <c r="GG7" s="716"/>
      <c r="GH7" s="716"/>
      <c r="GI7" s="716"/>
      <c r="GJ7" s="716"/>
      <c r="GK7" s="716"/>
      <c r="GL7" s="716"/>
      <c r="GM7" s="716"/>
      <c r="GN7" s="716"/>
      <c r="GO7" s="716"/>
      <c r="GP7" s="716"/>
      <c r="GQ7" s="716"/>
      <c r="GR7" s="716"/>
      <c r="GS7" s="716"/>
      <c r="GT7" s="716"/>
      <c r="GU7" s="716"/>
      <c r="GV7" s="716"/>
      <c r="GW7" s="716"/>
      <c r="GX7" s="716"/>
      <c r="GY7" s="716"/>
      <c r="GZ7" s="716"/>
      <c r="HA7" s="716"/>
      <c r="HB7" s="716"/>
      <c r="HC7" s="716"/>
      <c r="HD7" s="716"/>
      <c r="HE7" s="716"/>
      <c r="HF7" s="716"/>
      <c r="HG7" s="716"/>
      <c r="HH7" s="716"/>
      <c r="HI7" s="716"/>
      <c r="HJ7" s="716"/>
      <c r="HK7" s="716"/>
      <c r="HL7" s="716"/>
      <c r="HM7" s="716"/>
      <c r="HN7" s="716"/>
      <c r="HO7" s="716"/>
      <c r="HP7" s="716"/>
      <c r="HQ7" s="716"/>
      <c r="HR7" s="716"/>
      <c r="HS7" s="716"/>
      <c r="HT7" s="716"/>
      <c r="HU7" s="716"/>
      <c r="HV7" s="716"/>
      <c r="HW7" s="716"/>
      <c r="HX7" s="716"/>
      <c r="HY7" s="716"/>
      <c r="HZ7" s="716"/>
      <c r="IA7" s="716"/>
      <c r="IB7" s="716"/>
      <c r="IC7" s="716"/>
      <c r="ID7" s="716"/>
      <c r="IE7" s="716"/>
      <c r="IF7" s="716"/>
      <c r="IG7" s="716"/>
      <c r="IH7" s="716"/>
      <c r="II7" s="716"/>
      <c r="IJ7" s="716"/>
      <c r="IK7" s="716"/>
      <c r="IL7" s="716"/>
      <c r="IM7" s="716"/>
      <c r="IN7" s="716"/>
      <c r="IO7" s="716"/>
      <c r="IP7" s="716"/>
      <c r="IQ7" s="716"/>
      <c r="IR7" s="716"/>
      <c r="IS7" s="716"/>
      <c r="IT7" s="716"/>
      <c r="IU7" s="716"/>
      <c r="IV7" s="716"/>
    </row>
    <row r="8" spans="1:256" ht="26.25" customHeight="1">
      <c r="A8" s="721" t="s">
        <v>451</v>
      </c>
      <c r="B8" s="722">
        <v>24424787</v>
      </c>
      <c r="C8" s="722">
        <v>1452525</v>
      </c>
      <c r="D8" s="723">
        <f>SUM('17. Hivatal'!I47)</f>
        <v>72189465</v>
      </c>
      <c r="E8" s="723">
        <f>SUM('15. Óvoda'!I68)</f>
        <v>84840986</v>
      </c>
      <c r="F8" s="723">
        <f>SUM('16. Műv. ház'!I39)</f>
        <v>11597373</v>
      </c>
      <c r="G8" s="723">
        <f>SUM('18. VÜKI'!I77)</f>
        <v>42629622</v>
      </c>
      <c r="H8" s="723">
        <f aca="true" t="shared" si="0" ref="H8:H17">SUM(B8:G8)</f>
        <v>237134758</v>
      </c>
      <c r="I8" s="721" t="s">
        <v>165</v>
      </c>
      <c r="J8" s="722">
        <f>SUM('19 önkormányzat'!I21)</f>
        <v>218544423</v>
      </c>
      <c r="K8" s="722"/>
      <c r="L8" s="722">
        <v>1156271</v>
      </c>
      <c r="M8" s="723">
        <v>90000</v>
      </c>
      <c r="N8" s="723"/>
      <c r="O8" s="722"/>
      <c r="P8" s="724">
        <f aca="true" t="shared" si="1" ref="P8:P17">SUM(J8:O8)</f>
        <v>219790694</v>
      </c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6"/>
      <c r="AN8" s="716"/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716"/>
      <c r="BF8" s="716"/>
      <c r="BG8" s="716"/>
      <c r="BH8" s="716"/>
      <c r="BI8" s="716"/>
      <c r="BJ8" s="716"/>
      <c r="BK8" s="716"/>
      <c r="BL8" s="716"/>
      <c r="BM8" s="716"/>
      <c r="BN8" s="716"/>
      <c r="BO8" s="716"/>
      <c r="BP8" s="716"/>
      <c r="BQ8" s="716"/>
      <c r="BR8" s="716"/>
      <c r="BS8" s="716"/>
      <c r="BT8" s="716"/>
      <c r="BU8" s="716"/>
      <c r="BV8" s="716"/>
      <c r="BW8" s="716"/>
      <c r="BX8" s="716"/>
      <c r="BY8" s="716"/>
      <c r="BZ8" s="716"/>
      <c r="CA8" s="716"/>
      <c r="CB8" s="716"/>
      <c r="CC8" s="716"/>
      <c r="CD8" s="716"/>
      <c r="CE8" s="716"/>
      <c r="CF8" s="716"/>
      <c r="CG8" s="716"/>
      <c r="CH8" s="716"/>
      <c r="CI8" s="716"/>
      <c r="CJ8" s="716"/>
      <c r="CK8" s="716"/>
      <c r="CL8" s="716"/>
      <c r="CM8" s="716"/>
      <c r="CN8" s="716"/>
      <c r="CO8" s="716"/>
      <c r="CP8" s="716"/>
      <c r="CQ8" s="716"/>
      <c r="CR8" s="716"/>
      <c r="CS8" s="716"/>
      <c r="CT8" s="716"/>
      <c r="CU8" s="716"/>
      <c r="CV8" s="716"/>
      <c r="CW8" s="716"/>
      <c r="CX8" s="716"/>
      <c r="CY8" s="716"/>
      <c r="CZ8" s="716"/>
      <c r="DA8" s="716"/>
      <c r="DB8" s="716"/>
      <c r="DC8" s="716"/>
      <c r="DD8" s="716"/>
      <c r="DE8" s="716"/>
      <c r="DF8" s="716"/>
      <c r="DG8" s="716"/>
      <c r="DH8" s="716"/>
      <c r="DI8" s="716"/>
      <c r="DJ8" s="716"/>
      <c r="DK8" s="716"/>
      <c r="DL8" s="716"/>
      <c r="DM8" s="716"/>
      <c r="DN8" s="716"/>
      <c r="DO8" s="716"/>
      <c r="DP8" s="716"/>
      <c r="DQ8" s="716"/>
      <c r="DR8" s="716"/>
      <c r="DS8" s="716"/>
      <c r="DT8" s="716"/>
      <c r="DU8" s="716"/>
      <c r="DV8" s="716"/>
      <c r="DW8" s="716"/>
      <c r="DX8" s="716"/>
      <c r="DY8" s="716"/>
      <c r="DZ8" s="716"/>
      <c r="EA8" s="716"/>
      <c r="EB8" s="716"/>
      <c r="EC8" s="716"/>
      <c r="ED8" s="716"/>
      <c r="EE8" s="716"/>
      <c r="EF8" s="716"/>
      <c r="EG8" s="716"/>
      <c r="EH8" s="716"/>
      <c r="EI8" s="716"/>
      <c r="EJ8" s="716"/>
      <c r="EK8" s="716"/>
      <c r="EL8" s="716"/>
      <c r="EM8" s="716"/>
      <c r="EN8" s="716"/>
      <c r="EO8" s="716"/>
      <c r="EP8" s="716"/>
      <c r="EQ8" s="716"/>
      <c r="ER8" s="716"/>
      <c r="ES8" s="716"/>
      <c r="ET8" s="716"/>
      <c r="EU8" s="716"/>
      <c r="EV8" s="716"/>
      <c r="EW8" s="716"/>
      <c r="EX8" s="716"/>
      <c r="EY8" s="716"/>
      <c r="EZ8" s="716"/>
      <c r="FA8" s="716"/>
      <c r="FB8" s="716"/>
      <c r="FC8" s="716"/>
      <c r="FD8" s="716"/>
      <c r="FE8" s="716"/>
      <c r="FF8" s="716"/>
      <c r="FG8" s="716"/>
      <c r="FH8" s="716"/>
      <c r="FI8" s="716"/>
      <c r="FJ8" s="716"/>
      <c r="FK8" s="716"/>
      <c r="FL8" s="716"/>
      <c r="FM8" s="716"/>
      <c r="FN8" s="716"/>
      <c r="FO8" s="716"/>
      <c r="FP8" s="716"/>
      <c r="FQ8" s="716"/>
      <c r="FR8" s="716"/>
      <c r="FS8" s="716"/>
      <c r="FT8" s="716"/>
      <c r="FU8" s="716"/>
      <c r="FV8" s="716"/>
      <c r="FW8" s="716"/>
      <c r="FX8" s="716"/>
      <c r="FY8" s="716"/>
      <c r="FZ8" s="716"/>
      <c r="GA8" s="716"/>
      <c r="GB8" s="716"/>
      <c r="GC8" s="716"/>
      <c r="GD8" s="716"/>
      <c r="GE8" s="716"/>
      <c r="GF8" s="716"/>
      <c r="GG8" s="716"/>
      <c r="GH8" s="716"/>
      <c r="GI8" s="716"/>
      <c r="GJ8" s="716"/>
      <c r="GK8" s="716"/>
      <c r="GL8" s="716"/>
      <c r="GM8" s="716"/>
      <c r="GN8" s="716"/>
      <c r="GO8" s="716"/>
      <c r="GP8" s="716"/>
      <c r="GQ8" s="716"/>
      <c r="GR8" s="716"/>
      <c r="GS8" s="716"/>
      <c r="GT8" s="716"/>
      <c r="GU8" s="716"/>
      <c r="GV8" s="716"/>
      <c r="GW8" s="716"/>
      <c r="GX8" s="716"/>
      <c r="GY8" s="716"/>
      <c r="GZ8" s="716"/>
      <c r="HA8" s="716"/>
      <c r="HB8" s="716"/>
      <c r="HC8" s="716"/>
      <c r="HD8" s="716"/>
      <c r="HE8" s="716"/>
      <c r="HF8" s="716"/>
      <c r="HG8" s="716"/>
      <c r="HH8" s="716"/>
      <c r="HI8" s="716"/>
      <c r="HJ8" s="716"/>
      <c r="HK8" s="716"/>
      <c r="HL8" s="716"/>
      <c r="HM8" s="716"/>
      <c r="HN8" s="716"/>
      <c r="HO8" s="716"/>
      <c r="HP8" s="716"/>
      <c r="HQ8" s="716"/>
      <c r="HR8" s="716"/>
      <c r="HS8" s="716"/>
      <c r="HT8" s="716"/>
      <c r="HU8" s="716"/>
      <c r="HV8" s="716"/>
      <c r="HW8" s="716"/>
      <c r="HX8" s="716"/>
      <c r="HY8" s="716"/>
      <c r="HZ8" s="716"/>
      <c r="IA8" s="716"/>
      <c r="IB8" s="716"/>
      <c r="IC8" s="716"/>
      <c r="ID8" s="716"/>
      <c r="IE8" s="716"/>
      <c r="IF8" s="716"/>
      <c r="IG8" s="716"/>
      <c r="IH8" s="716"/>
      <c r="II8" s="716"/>
      <c r="IJ8" s="716"/>
      <c r="IK8" s="716"/>
      <c r="IL8" s="716"/>
      <c r="IM8" s="716"/>
      <c r="IN8" s="716"/>
      <c r="IO8" s="716"/>
      <c r="IP8" s="716"/>
      <c r="IQ8" s="716"/>
      <c r="IR8" s="716"/>
      <c r="IS8" s="716"/>
      <c r="IT8" s="716"/>
      <c r="IU8" s="716"/>
      <c r="IV8" s="716"/>
    </row>
    <row r="9" spans="1:256" ht="21.75" customHeight="1">
      <c r="A9" s="721" t="s">
        <v>626</v>
      </c>
      <c r="B9" s="722">
        <v>4790555</v>
      </c>
      <c r="C9" s="722">
        <v>299970</v>
      </c>
      <c r="D9" s="723">
        <f>SUM('17. Hivatal'!I48)</f>
        <v>14000211</v>
      </c>
      <c r="E9" s="723">
        <f>SUM('15. Óvoda'!I69)</f>
        <v>17230556</v>
      </c>
      <c r="F9" s="723">
        <f>SUM('16. Műv. ház'!I40)</f>
        <v>2338121</v>
      </c>
      <c r="G9" s="728">
        <f>SUM('18. VÜKI'!I78)</f>
        <v>8811430</v>
      </c>
      <c r="H9" s="723">
        <f t="shared" si="0"/>
        <v>47470843</v>
      </c>
      <c r="I9" s="721" t="s">
        <v>456</v>
      </c>
      <c r="J9" s="722"/>
      <c r="K9" s="722"/>
      <c r="L9" s="722">
        <f>SUM('17. Hivatal'!H21)</f>
        <v>69492620</v>
      </c>
      <c r="M9" s="723">
        <f>SUM('15. Óvoda'!I22)</f>
        <v>90528351</v>
      </c>
      <c r="N9" s="723">
        <f>SUM('16. Műv. ház'!I15)</f>
        <v>4520884</v>
      </c>
      <c r="O9" s="722">
        <f>SUM('18. VÜKI'!I23)</f>
        <v>26999670</v>
      </c>
      <c r="P9" s="724">
        <f t="shared" si="1"/>
        <v>191541525</v>
      </c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6"/>
      <c r="AR9" s="716"/>
      <c r="AS9" s="716"/>
      <c r="AT9" s="716"/>
      <c r="AU9" s="716"/>
      <c r="AV9" s="716"/>
      <c r="AW9" s="716"/>
      <c r="AX9" s="716"/>
      <c r="AY9" s="716"/>
      <c r="AZ9" s="716"/>
      <c r="BA9" s="716"/>
      <c r="BB9" s="716"/>
      <c r="BC9" s="716"/>
      <c r="BD9" s="716"/>
      <c r="BE9" s="716"/>
      <c r="BF9" s="716"/>
      <c r="BG9" s="716"/>
      <c r="BH9" s="716"/>
      <c r="BI9" s="716"/>
      <c r="BJ9" s="716"/>
      <c r="BK9" s="716"/>
      <c r="BL9" s="716"/>
      <c r="BM9" s="716"/>
      <c r="BN9" s="716"/>
      <c r="BO9" s="716"/>
      <c r="BP9" s="716"/>
      <c r="BQ9" s="716"/>
      <c r="BR9" s="716"/>
      <c r="BS9" s="716"/>
      <c r="BT9" s="716"/>
      <c r="BU9" s="716"/>
      <c r="BV9" s="716"/>
      <c r="BW9" s="716"/>
      <c r="BX9" s="716"/>
      <c r="BY9" s="716"/>
      <c r="BZ9" s="716"/>
      <c r="CA9" s="716"/>
      <c r="CB9" s="716"/>
      <c r="CC9" s="716"/>
      <c r="CD9" s="716"/>
      <c r="CE9" s="716"/>
      <c r="CF9" s="716"/>
      <c r="CG9" s="716"/>
      <c r="CH9" s="716"/>
      <c r="CI9" s="716"/>
      <c r="CJ9" s="716"/>
      <c r="CK9" s="716"/>
      <c r="CL9" s="716"/>
      <c r="CM9" s="716"/>
      <c r="CN9" s="716"/>
      <c r="CO9" s="716"/>
      <c r="CP9" s="716"/>
      <c r="CQ9" s="716"/>
      <c r="CR9" s="716"/>
      <c r="CS9" s="716"/>
      <c r="CT9" s="716"/>
      <c r="CU9" s="716"/>
      <c r="CV9" s="716"/>
      <c r="CW9" s="716"/>
      <c r="CX9" s="716"/>
      <c r="CY9" s="716"/>
      <c r="CZ9" s="716"/>
      <c r="DA9" s="716"/>
      <c r="DB9" s="716"/>
      <c r="DC9" s="716"/>
      <c r="DD9" s="716"/>
      <c r="DE9" s="716"/>
      <c r="DF9" s="716"/>
      <c r="DG9" s="716"/>
      <c r="DH9" s="716"/>
      <c r="DI9" s="716"/>
      <c r="DJ9" s="716"/>
      <c r="DK9" s="716"/>
      <c r="DL9" s="716"/>
      <c r="DM9" s="716"/>
      <c r="DN9" s="716"/>
      <c r="DO9" s="716"/>
      <c r="DP9" s="716"/>
      <c r="DQ9" s="716"/>
      <c r="DR9" s="716"/>
      <c r="DS9" s="716"/>
      <c r="DT9" s="716"/>
      <c r="DU9" s="716"/>
      <c r="DV9" s="716"/>
      <c r="DW9" s="716"/>
      <c r="DX9" s="716"/>
      <c r="DY9" s="716"/>
      <c r="DZ9" s="716"/>
      <c r="EA9" s="716"/>
      <c r="EB9" s="716"/>
      <c r="EC9" s="716"/>
      <c r="ED9" s="716"/>
      <c r="EE9" s="716"/>
      <c r="EF9" s="716"/>
      <c r="EG9" s="716"/>
      <c r="EH9" s="716"/>
      <c r="EI9" s="716"/>
      <c r="EJ9" s="716"/>
      <c r="EK9" s="716"/>
      <c r="EL9" s="716"/>
      <c r="EM9" s="716"/>
      <c r="EN9" s="716"/>
      <c r="EO9" s="716"/>
      <c r="EP9" s="716"/>
      <c r="EQ9" s="716"/>
      <c r="ER9" s="716"/>
      <c r="ES9" s="716"/>
      <c r="ET9" s="716"/>
      <c r="EU9" s="716"/>
      <c r="EV9" s="716"/>
      <c r="EW9" s="716"/>
      <c r="EX9" s="716"/>
      <c r="EY9" s="716"/>
      <c r="EZ9" s="716"/>
      <c r="FA9" s="716"/>
      <c r="FB9" s="716"/>
      <c r="FC9" s="716"/>
      <c r="FD9" s="716"/>
      <c r="FE9" s="716"/>
      <c r="FF9" s="716"/>
      <c r="FG9" s="716"/>
      <c r="FH9" s="716"/>
      <c r="FI9" s="716"/>
      <c r="FJ9" s="716"/>
      <c r="FK9" s="716"/>
      <c r="FL9" s="716"/>
      <c r="FM9" s="716"/>
      <c r="FN9" s="716"/>
      <c r="FO9" s="716"/>
      <c r="FP9" s="716"/>
      <c r="FQ9" s="716"/>
      <c r="FR9" s="716"/>
      <c r="FS9" s="716"/>
      <c r="FT9" s="716"/>
      <c r="FU9" s="716"/>
      <c r="FV9" s="716"/>
      <c r="FW9" s="716"/>
      <c r="FX9" s="716"/>
      <c r="FY9" s="716"/>
      <c r="FZ9" s="716"/>
      <c r="GA9" s="716"/>
      <c r="GB9" s="716"/>
      <c r="GC9" s="716"/>
      <c r="GD9" s="716"/>
      <c r="GE9" s="716"/>
      <c r="GF9" s="716"/>
      <c r="GG9" s="716"/>
      <c r="GH9" s="716"/>
      <c r="GI9" s="716"/>
      <c r="GJ9" s="716"/>
      <c r="GK9" s="716"/>
      <c r="GL9" s="716"/>
      <c r="GM9" s="716"/>
      <c r="GN9" s="716"/>
      <c r="GO9" s="716"/>
      <c r="GP9" s="716"/>
      <c r="GQ9" s="716"/>
      <c r="GR9" s="716"/>
      <c r="GS9" s="716"/>
      <c r="GT9" s="716"/>
      <c r="GU9" s="716"/>
      <c r="GV9" s="716"/>
      <c r="GW9" s="716"/>
      <c r="GX9" s="716"/>
      <c r="GY9" s="716"/>
      <c r="GZ9" s="716"/>
      <c r="HA9" s="716"/>
      <c r="HB9" s="716"/>
      <c r="HC9" s="716"/>
      <c r="HD9" s="716"/>
      <c r="HE9" s="716"/>
      <c r="HF9" s="716"/>
      <c r="HG9" s="716"/>
      <c r="HH9" s="716"/>
      <c r="HI9" s="716"/>
      <c r="HJ9" s="716"/>
      <c r="HK9" s="716"/>
      <c r="HL9" s="716"/>
      <c r="HM9" s="716"/>
      <c r="HN9" s="716"/>
      <c r="HO9" s="716"/>
      <c r="HP9" s="716"/>
      <c r="HQ9" s="716"/>
      <c r="HR9" s="716"/>
      <c r="HS9" s="716"/>
      <c r="HT9" s="716"/>
      <c r="HU9" s="716"/>
      <c r="HV9" s="716"/>
      <c r="HW9" s="716"/>
      <c r="HX9" s="716"/>
      <c r="HY9" s="716"/>
      <c r="HZ9" s="716"/>
      <c r="IA9" s="716"/>
      <c r="IB9" s="716"/>
      <c r="IC9" s="716"/>
      <c r="ID9" s="716"/>
      <c r="IE9" s="716"/>
      <c r="IF9" s="716"/>
      <c r="IG9" s="716"/>
      <c r="IH9" s="716"/>
      <c r="II9" s="716"/>
      <c r="IJ9" s="716"/>
      <c r="IK9" s="716"/>
      <c r="IL9" s="716"/>
      <c r="IM9" s="716"/>
      <c r="IN9" s="716"/>
      <c r="IO9" s="716"/>
      <c r="IP9" s="716"/>
      <c r="IQ9" s="716"/>
      <c r="IR9" s="716"/>
      <c r="IS9" s="716"/>
      <c r="IT9" s="716"/>
      <c r="IU9" s="716"/>
      <c r="IV9" s="716"/>
    </row>
    <row r="10" spans="1:256" ht="16.5" customHeight="1">
      <c r="A10" s="721" t="s">
        <v>453</v>
      </c>
      <c r="B10" s="722">
        <f>SUM('19 önkormányzat'!I138)</f>
        <v>45115833</v>
      </c>
      <c r="C10" s="722"/>
      <c r="D10" s="723">
        <f>SUM('17. Hivatal'!I49)</f>
        <v>10952376</v>
      </c>
      <c r="E10" s="723">
        <f>SUM('15. Óvoda'!I70)</f>
        <v>27527405</v>
      </c>
      <c r="F10" s="723">
        <f>SUM('16. Műv. ház'!I41)</f>
        <v>10088985</v>
      </c>
      <c r="G10" s="728">
        <f>SUM('18. VÜKI'!I79)</f>
        <v>42401234</v>
      </c>
      <c r="H10" s="723">
        <f t="shared" si="0"/>
        <v>136085833</v>
      </c>
      <c r="I10" s="721" t="s">
        <v>457</v>
      </c>
      <c r="J10" s="725"/>
      <c r="K10" s="722"/>
      <c r="L10" s="722">
        <v>24710584</v>
      </c>
      <c r="M10" s="723">
        <v>36631219</v>
      </c>
      <c r="N10" s="723">
        <v>17964887</v>
      </c>
      <c r="O10" s="722">
        <v>42019985</v>
      </c>
      <c r="P10" s="724">
        <f t="shared" si="1"/>
        <v>121326675</v>
      </c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  <c r="AB10" s="716"/>
      <c r="AC10" s="716"/>
      <c r="AD10" s="716"/>
      <c r="AE10" s="716"/>
      <c r="AF10" s="716"/>
      <c r="AG10" s="716"/>
      <c r="AH10" s="716"/>
      <c r="AI10" s="716"/>
      <c r="AJ10" s="716"/>
      <c r="AK10" s="716"/>
      <c r="AL10" s="716"/>
      <c r="AM10" s="716"/>
      <c r="AN10" s="716"/>
      <c r="AO10" s="716"/>
      <c r="AP10" s="716"/>
      <c r="AQ10" s="716"/>
      <c r="AR10" s="716"/>
      <c r="AS10" s="716"/>
      <c r="AT10" s="716"/>
      <c r="AU10" s="716"/>
      <c r="AV10" s="716"/>
      <c r="AW10" s="716"/>
      <c r="AX10" s="716"/>
      <c r="AY10" s="716"/>
      <c r="AZ10" s="716"/>
      <c r="BA10" s="716"/>
      <c r="BB10" s="716"/>
      <c r="BC10" s="716"/>
      <c r="BD10" s="716"/>
      <c r="BE10" s="716"/>
      <c r="BF10" s="716"/>
      <c r="BG10" s="716"/>
      <c r="BH10" s="716"/>
      <c r="BI10" s="716"/>
      <c r="BJ10" s="716"/>
      <c r="BK10" s="716"/>
      <c r="BL10" s="716"/>
      <c r="BM10" s="716"/>
      <c r="BN10" s="716"/>
      <c r="BO10" s="716"/>
      <c r="BP10" s="716"/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6"/>
      <c r="DD10" s="716"/>
      <c r="DE10" s="716"/>
      <c r="DF10" s="716"/>
      <c r="DG10" s="716"/>
      <c r="DH10" s="716"/>
      <c r="DI10" s="716"/>
      <c r="DJ10" s="716"/>
      <c r="DK10" s="716"/>
      <c r="DL10" s="716"/>
      <c r="DM10" s="716"/>
      <c r="DN10" s="716"/>
      <c r="DO10" s="716"/>
      <c r="DP10" s="716"/>
      <c r="DQ10" s="716"/>
      <c r="DR10" s="716"/>
      <c r="DS10" s="716"/>
      <c r="DT10" s="716"/>
      <c r="DU10" s="716"/>
      <c r="DV10" s="716"/>
      <c r="DW10" s="716"/>
      <c r="DX10" s="716"/>
      <c r="DY10" s="716"/>
      <c r="DZ10" s="716"/>
      <c r="EA10" s="716"/>
      <c r="EB10" s="716"/>
      <c r="EC10" s="716"/>
      <c r="ED10" s="716"/>
      <c r="EE10" s="716"/>
      <c r="EF10" s="716"/>
      <c r="EG10" s="716"/>
      <c r="EH10" s="716"/>
      <c r="EI10" s="716"/>
      <c r="EJ10" s="716"/>
      <c r="EK10" s="716"/>
      <c r="EL10" s="716"/>
      <c r="EM10" s="716"/>
      <c r="EN10" s="716"/>
      <c r="EO10" s="716"/>
      <c r="EP10" s="716"/>
      <c r="EQ10" s="716"/>
      <c r="ER10" s="716"/>
      <c r="ES10" s="716"/>
      <c r="ET10" s="716"/>
      <c r="EU10" s="716"/>
      <c r="EV10" s="716"/>
      <c r="EW10" s="716"/>
      <c r="EX10" s="716"/>
      <c r="EY10" s="716"/>
      <c r="EZ10" s="716"/>
      <c r="FA10" s="716"/>
      <c r="FB10" s="716"/>
      <c r="FC10" s="716"/>
      <c r="FD10" s="716"/>
      <c r="FE10" s="716"/>
      <c r="FF10" s="716"/>
      <c r="FG10" s="716"/>
      <c r="FH10" s="716"/>
      <c r="FI10" s="716"/>
      <c r="FJ10" s="716"/>
      <c r="FK10" s="716"/>
      <c r="FL10" s="716"/>
      <c r="FM10" s="716"/>
      <c r="FN10" s="716"/>
      <c r="FO10" s="716"/>
      <c r="FP10" s="716"/>
      <c r="FQ10" s="716"/>
      <c r="FR10" s="716"/>
      <c r="FS10" s="716"/>
      <c r="FT10" s="716"/>
      <c r="FU10" s="716"/>
      <c r="FV10" s="716"/>
      <c r="FW10" s="716"/>
      <c r="FX10" s="716"/>
      <c r="FY10" s="716"/>
      <c r="FZ10" s="716"/>
      <c r="GA10" s="716"/>
      <c r="GB10" s="716"/>
      <c r="GC10" s="716"/>
      <c r="GD10" s="716"/>
      <c r="GE10" s="716"/>
      <c r="GF10" s="716"/>
      <c r="GG10" s="716"/>
      <c r="GH10" s="716"/>
      <c r="GI10" s="716"/>
      <c r="GJ10" s="716"/>
      <c r="GK10" s="716"/>
      <c r="GL10" s="716"/>
      <c r="GM10" s="716"/>
      <c r="GN10" s="716"/>
      <c r="GO10" s="716"/>
      <c r="GP10" s="716"/>
      <c r="GQ10" s="716"/>
      <c r="GR10" s="716"/>
      <c r="GS10" s="716"/>
      <c r="GT10" s="716"/>
      <c r="GU10" s="716"/>
      <c r="GV10" s="716"/>
      <c r="GW10" s="716"/>
      <c r="GX10" s="716"/>
      <c r="GY10" s="716"/>
      <c r="GZ10" s="716"/>
      <c r="HA10" s="716"/>
      <c r="HB10" s="716"/>
      <c r="HC10" s="716"/>
      <c r="HD10" s="716"/>
      <c r="HE10" s="716"/>
      <c r="HF10" s="716"/>
      <c r="HG10" s="716"/>
      <c r="HH10" s="716"/>
      <c r="HI10" s="716"/>
      <c r="HJ10" s="716"/>
      <c r="HK10" s="716"/>
      <c r="HL10" s="716"/>
      <c r="HM10" s="716"/>
      <c r="HN10" s="716"/>
      <c r="HO10" s="716"/>
      <c r="HP10" s="716"/>
      <c r="HQ10" s="716"/>
      <c r="HR10" s="716"/>
      <c r="HS10" s="716"/>
      <c r="HT10" s="716"/>
      <c r="HU10" s="716"/>
      <c r="HV10" s="716"/>
      <c r="HW10" s="716"/>
      <c r="HX10" s="716"/>
      <c r="HY10" s="716"/>
      <c r="HZ10" s="716"/>
      <c r="IA10" s="716"/>
      <c r="IB10" s="716"/>
      <c r="IC10" s="716"/>
      <c r="ID10" s="716"/>
      <c r="IE10" s="716"/>
      <c r="IF10" s="716"/>
      <c r="IG10" s="716"/>
      <c r="IH10" s="716"/>
      <c r="II10" s="716"/>
      <c r="IJ10" s="716"/>
      <c r="IK10" s="716"/>
      <c r="IL10" s="716"/>
      <c r="IM10" s="716"/>
      <c r="IN10" s="716"/>
      <c r="IO10" s="716"/>
      <c r="IP10" s="716"/>
      <c r="IQ10" s="716"/>
      <c r="IR10" s="716"/>
      <c r="IS10" s="716"/>
      <c r="IT10" s="716"/>
      <c r="IU10" s="716"/>
      <c r="IV10" s="716"/>
    </row>
    <row r="11" spans="1:256" ht="16.5" customHeight="1">
      <c r="A11" s="721" t="s">
        <v>201</v>
      </c>
      <c r="B11" s="722">
        <f>SUM('19 önkormányzat'!I139)</f>
        <v>4162000</v>
      </c>
      <c r="C11" s="722"/>
      <c r="D11" s="722"/>
      <c r="E11" s="722"/>
      <c r="F11" s="722"/>
      <c r="G11" s="722"/>
      <c r="H11" s="722">
        <f t="shared" si="0"/>
        <v>4162000</v>
      </c>
      <c r="I11" s="721" t="s">
        <v>174</v>
      </c>
      <c r="J11" s="722">
        <f>SUM('19 önkormányzat'!I31)</f>
        <v>168451387</v>
      </c>
      <c r="K11" s="722"/>
      <c r="L11" s="722"/>
      <c r="M11" s="723"/>
      <c r="N11" s="723"/>
      <c r="O11" s="722"/>
      <c r="P11" s="724">
        <f t="shared" si="1"/>
        <v>168451387</v>
      </c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716"/>
      <c r="AF11" s="716"/>
      <c r="AG11" s="716"/>
      <c r="AH11" s="716"/>
      <c r="AI11" s="716"/>
      <c r="AJ11" s="716"/>
      <c r="AK11" s="716"/>
      <c r="AL11" s="716"/>
      <c r="AM11" s="716"/>
      <c r="AN11" s="716"/>
      <c r="AO11" s="716"/>
      <c r="AP11" s="716"/>
      <c r="AQ11" s="716"/>
      <c r="AR11" s="716"/>
      <c r="AS11" s="716"/>
      <c r="AT11" s="716"/>
      <c r="AU11" s="716"/>
      <c r="AV11" s="716"/>
      <c r="AW11" s="716"/>
      <c r="AX11" s="716"/>
      <c r="AY11" s="716"/>
      <c r="AZ11" s="716"/>
      <c r="BA11" s="716"/>
      <c r="BB11" s="716"/>
      <c r="BC11" s="716"/>
      <c r="BD11" s="716"/>
      <c r="BE11" s="716"/>
      <c r="BF11" s="716"/>
      <c r="BG11" s="716"/>
      <c r="BH11" s="716"/>
      <c r="BI11" s="716"/>
      <c r="BJ11" s="716"/>
      <c r="BK11" s="716"/>
      <c r="BL11" s="716"/>
      <c r="BM11" s="716"/>
      <c r="BN11" s="716"/>
      <c r="BO11" s="716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6"/>
      <c r="DD11" s="716"/>
      <c r="DE11" s="716"/>
      <c r="DF11" s="716"/>
      <c r="DG11" s="716"/>
      <c r="DH11" s="716"/>
      <c r="DI11" s="716"/>
      <c r="DJ11" s="716"/>
      <c r="DK11" s="716"/>
      <c r="DL11" s="716"/>
      <c r="DM11" s="716"/>
      <c r="DN11" s="716"/>
      <c r="DO11" s="716"/>
      <c r="DP11" s="716"/>
      <c r="DQ11" s="716"/>
      <c r="DR11" s="716"/>
      <c r="DS11" s="716"/>
      <c r="DT11" s="716"/>
      <c r="DU11" s="716"/>
      <c r="DV11" s="716"/>
      <c r="DW11" s="716"/>
      <c r="DX11" s="716"/>
      <c r="DY11" s="716"/>
      <c r="DZ11" s="716"/>
      <c r="EA11" s="716"/>
      <c r="EB11" s="716"/>
      <c r="EC11" s="716"/>
      <c r="ED11" s="716"/>
      <c r="EE11" s="716"/>
      <c r="EF11" s="716"/>
      <c r="EG11" s="716"/>
      <c r="EH11" s="716"/>
      <c r="EI11" s="716"/>
      <c r="EJ11" s="716"/>
      <c r="EK11" s="716"/>
      <c r="EL11" s="716"/>
      <c r="EM11" s="716"/>
      <c r="EN11" s="716"/>
      <c r="EO11" s="716"/>
      <c r="EP11" s="716"/>
      <c r="EQ11" s="716"/>
      <c r="ER11" s="716"/>
      <c r="ES11" s="716"/>
      <c r="ET11" s="716"/>
      <c r="EU11" s="716"/>
      <c r="EV11" s="716"/>
      <c r="EW11" s="716"/>
      <c r="EX11" s="716"/>
      <c r="EY11" s="716"/>
      <c r="EZ11" s="716"/>
      <c r="FA11" s="716"/>
      <c r="FB11" s="716"/>
      <c r="FC11" s="716"/>
      <c r="FD11" s="716"/>
      <c r="FE11" s="716"/>
      <c r="FF11" s="716"/>
      <c r="FG11" s="716"/>
      <c r="FH11" s="716"/>
      <c r="FI11" s="716"/>
      <c r="FJ11" s="716"/>
      <c r="FK11" s="716"/>
      <c r="FL11" s="716"/>
      <c r="FM11" s="716"/>
      <c r="FN11" s="716"/>
      <c r="FO11" s="716"/>
      <c r="FP11" s="716"/>
      <c r="FQ11" s="716"/>
      <c r="FR11" s="716"/>
      <c r="FS11" s="716"/>
      <c r="FT11" s="716"/>
      <c r="FU11" s="716"/>
      <c r="FV11" s="716"/>
      <c r="FW11" s="716"/>
      <c r="FX11" s="716"/>
      <c r="FY11" s="716"/>
      <c r="FZ11" s="716"/>
      <c r="GA11" s="716"/>
      <c r="GB11" s="716"/>
      <c r="GC11" s="716"/>
      <c r="GD11" s="716"/>
      <c r="GE11" s="716"/>
      <c r="GF11" s="716"/>
      <c r="GG11" s="716"/>
      <c r="GH11" s="716"/>
      <c r="GI11" s="716"/>
      <c r="GJ11" s="716"/>
      <c r="GK11" s="716"/>
      <c r="GL11" s="716"/>
      <c r="GM11" s="716"/>
      <c r="GN11" s="716"/>
      <c r="GO11" s="716"/>
      <c r="GP11" s="716"/>
      <c r="GQ11" s="716"/>
      <c r="GR11" s="716"/>
      <c r="GS11" s="716"/>
      <c r="GT11" s="716"/>
      <c r="GU11" s="716"/>
      <c r="GV11" s="716"/>
      <c r="GW11" s="716"/>
      <c r="GX11" s="716"/>
      <c r="GY11" s="716"/>
      <c r="GZ11" s="716"/>
      <c r="HA11" s="716"/>
      <c r="HB11" s="716"/>
      <c r="HC11" s="716"/>
      <c r="HD11" s="716"/>
      <c r="HE11" s="716"/>
      <c r="HF11" s="716"/>
      <c r="HG11" s="716"/>
      <c r="HH11" s="716"/>
      <c r="HI11" s="716"/>
      <c r="HJ11" s="716"/>
      <c r="HK11" s="716"/>
      <c r="HL11" s="716"/>
      <c r="HM11" s="716"/>
      <c r="HN11" s="716"/>
      <c r="HO11" s="716"/>
      <c r="HP11" s="716"/>
      <c r="HQ11" s="716"/>
      <c r="HR11" s="716"/>
      <c r="HS11" s="716"/>
      <c r="HT11" s="716"/>
      <c r="HU11" s="716"/>
      <c r="HV11" s="716"/>
      <c r="HW11" s="716"/>
      <c r="HX11" s="716"/>
      <c r="HY11" s="716"/>
      <c r="HZ11" s="716"/>
      <c r="IA11" s="716"/>
      <c r="IB11" s="716"/>
      <c r="IC11" s="716"/>
      <c r="ID11" s="716"/>
      <c r="IE11" s="716"/>
      <c r="IF11" s="716"/>
      <c r="IG11" s="716"/>
      <c r="IH11" s="716"/>
      <c r="II11" s="716"/>
      <c r="IJ11" s="716"/>
      <c r="IK11" s="716"/>
      <c r="IL11" s="716"/>
      <c r="IM11" s="716"/>
      <c r="IN11" s="716"/>
      <c r="IO11" s="716"/>
      <c r="IP11" s="716"/>
      <c r="IQ11" s="716"/>
      <c r="IR11" s="716"/>
      <c r="IS11" s="716"/>
      <c r="IT11" s="716"/>
      <c r="IU11" s="716"/>
      <c r="IV11" s="716"/>
    </row>
    <row r="12" spans="1:256" ht="30" customHeight="1">
      <c r="A12" s="721" t="s">
        <v>150</v>
      </c>
      <c r="B12" s="722">
        <v>59721556</v>
      </c>
      <c r="C12" s="722"/>
      <c r="D12" s="722"/>
      <c r="E12" s="722"/>
      <c r="F12" s="722"/>
      <c r="G12" s="722"/>
      <c r="H12" s="722">
        <f t="shared" si="0"/>
        <v>59721556</v>
      </c>
      <c r="I12" s="721" t="s">
        <v>78</v>
      </c>
      <c r="J12" s="722">
        <v>25298699</v>
      </c>
      <c r="K12" s="722"/>
      <c r="L12" s="722">
        <v>1515227</v>
      </c>
      <c r="M12" s="723">
        <f>SUM('15. Óvoda'!I10)</f>
        <v>1881655</v>
      </c>
      <c r="N12" s="723">
        <f>SUM('16. Műv. ház'!I9)</f>
        <v>1217050</v>
      </c>
      <c r="O12" s="722">
        <f>SUM('18. VÜKI'!I12)</f>
        <v>23475234</v>
      </c>
      <c r="P12" s="724">
        <f>SUM(J12:O12)</f>
        <v>53387865</v>
      </c>
      <c r="Q12" s="716"/>
      <c r="R12" s="716"/>
      <c r="S12" s="716"/>
      <c r="T12" s="716"/>
      <c r="U12" s="716"/>
      <c r="V12" s="716"/>
      <c r="W12" s="716"/>
      <c r="X12" s="716"/>
      <c r="Y12" s="716"/>
      <c r="Z12" s="716"/>
      <c r="AA12" s="716"/>
      <c r="AB12" s="716"/>
      <c r="AC12" s="716"/>
      <c r="AD12" s="716"/>
      <c r="AE12" s="716"/>
      <c r="AF12" s="716"/>
      <c r="AG12" s="716"/>
      <c r="AH12" s="716"/>
      <c r="AI12" s="716"/>
      <c r="AJ12" s="716"/>
      <c r="AK12" s="716"/>
      <c r="AL12" s="716"/>
      <c r="AM12" s="716"/>
      <c r="AN12" s="716"/>
      <c r="AO12" s="716"/>
      <c r="AP12" s="716"/>
      <c r="AQ12" s="716"/>
      <c r="AR12" s="716"/>
      <c r="AS12" s="716"/>
      <c r="AT12" s="716"/>
      <c r="AU12" s="716"/>
      <c r="AV12" s="716"/>
      <c r="AW12" s="716"/>
      <c r="AX12" s="716"/>
      <c r="AY12" s="716"/>
      <c r="AZ12" s="716"/>
      <c r="BA12" s="716"/>
      <c r="BB12" s="716"/>
      <c r="BC12" s="716"/>
      <c r="BD12" s="716"/>
      <c r="BE12" s="716"/>
      <c r="BF12" s="716"/>
      <c r="BG12" s="716"/>
      <c r="BH12" s="716"/>
      <c r="BI12" s="716"/>
      <c r="BJ12" s="716"/>
      <c r="BK12" s="716"/>
      <c r="BL12" s="716"/>
      <c r="BM12" s="716"/>
      <c r="BN12" s="716"/>
      <c r="BO12" s="716"/>
      <c r="BP12" s="716"/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6"/>
      <c r="DD12" s="716"/>
      <c r="DE12" s="716"/>
      <c r="DF12" s="716"/>
      <c r="DG12" s="716"/>
      <c r="DH12" s="716"/>
      <c r="DI12" s="716"/>
      <c r="DJ12" s="716"/>
      <c r="DK12" s="716"/>
      <c r="DL12" s="716"/>
      <c r="DM12" s="716"/>
      <c r="DN12" s="716"/>
      <c r="DO12" s="716"/>
      <c r="DP12" s="716"/>
      <c r="DQ12" s="716"/>
      <c r="DR12" s="716"/>
      <c r="DS12" s="716"/>
      <c r="DT12" s="716"/>
      <c r="DU12" s="716"/>
      <c r="DV12" s="716"/>
      <c r="DW12" s="716"/>
      <c r="DX12" s="716"/>
      <c r="DY12" s="716"/>
      <c r="DZ12" s="716"/>
      <c r="EA12" s="716"/>
      <c r="EB12" s="716"/>
      <c r="EC12" s="716"/>
      <c r="ED12" s="716"/>
      <c r="EE12" s="716"/>
      <c r="EF12" s="716"/>
      <c r="EG12" s="716"/>
      <c r="EH12" s="716"/>
      <c r="EI12" s="716"/>
      <c r="EJ12" s="716"/>
      <c r="EK12" s="716"/>
      <c r="EL12" s="716"/>
      <c r="EM12" s="716"/>
      <c r="EN12" s="716"/>
      <c r="EO12" s="716"/>
      <c r="EP12" s="716"/>
      <c r="EQ12" s="716"/>
      <c r="ER12" s="716"/>
      <c r="ES12" s="716"/>
      <c r="ET12" s="716"/>
      <c r="EU12" s="716"/>
      <c r="EV12" s="716"/>
      <c r="EW12" s="716"/>
      <c r="EX12" s="716"/>
      <c r="EY12" s="716"/>
      <c r="EZ12" s="716"/>
      <c r="FA12" s="716"/>
      <c r="FB12" s="716"/>
      <c r="FC12" s="716"/>
      <c r="FD12" s="716"/>
      <c r="FE12" s="716"/>
      <c r="FF12" s="716"/>
      <c r="FG12" s="716"/>
      <c r="FH12" s="716"/>
      <c r="FI12" s="716"/>
      <c r="FJ12" s="716"/>
      <c r="FK12" s="716"/>
      <c r="FL12" s="716"/>
      <c r="FM12" s="716"/>
      <c r="FN12" s="716"/>
      <c r="FO12" s="716"/>
      <c r="FP12" s="716"/>
      <c r="FQ12" s="716"/>
      <c r="FR12" s="716"/>
      <c r="FS12" s="716"/>
      <c r="FT12" s="716"/>
      <c r="FU12" s="716"/>
      <c r="FV12" s="716"/>
      <c r="FW12" s="716"/>
      <c r="FX12" s="716"/>
      <c r="FY12" s="716"/>
      <c r="FZ12" s="716"/>
      <c r="GA12" s="716"/>
      <c r="GB12" s="716"/>
      <c r="GC12" s="716"/>
      <c r="GD12" s="716"/>
      <c r="GE12" s="716"/>
      <c r="GF12" s="716"/>
      <c r="GG12" s="716"/>
      <c r="GH12" s="716"/>
      <c r="GI12" s="716"/>
      <c r="GJ12" s="716"/>
      <c r="GK12" s="716"/>
      <c r="GL12" s="716"/>
      <c r="GM12" s="716"/>
      <c r="GN12" s="716"/>
      <c r="GO12" s="716"/>
      <c r="GP12" s="716"/>
      <c r="GQ12" s="716"/>
      <c r="GR12" s="716"/>
      <c r="GS12" s="716"/>
      <c r="GT12" s="716"/>
      <c r="GU12" s="716"/>
      <c r="GV12" s="716"/>
      <c r="GW12" s="716"/>
      <c r="GX12" s="716"/>
      <c r="GY12" s="716"/>
      <c r="GZ12" s="716"/>
      <c r="HA12" s="716"/>
      <c r="HB12" s="716"/>
      <c r="HC12" s="716"/>
      <c r="HD12" s="716"/>
      <c r="HE12" s="716"/>
      <c r="HF12" s="716"/>
      <c r="HG12" s="716"/>
      <c r="HH12" s="716"/>
      <c r="HI12" s="716"/>
      <c r="HJ12" s="716"/>
      <c r="HK12" s="716"/>
      <c r="HL12" s="716"/>
      <c r="HM12" s="716"/>
      <c r="HN12" s="716"/>
      <c r="HO12" s="716"/>
      <c r="HP12" s="716"/>
      <c r="HQ12" s="716"/>
      <c r="HR12" s="716"/>
      <c r="HS12" s="716"/>
      <c r="HT12" s="716"/>
      <c r="HU12" s="716"/>
      <c r="HV12" s="716"/>
      <c r="HW12" s="716"/>
      <c r="HX12" s="716"/>
      <c r="HY12" s="716"/>
      <c r="HZ12" s="716"/>
      <c r="IA12" s="716"/>
      <c r="IB12" s="716"/>
      <c r="IC12" s="716"/>
      <c r="ID12" s="716"/>
      <c r="IE12" s="716"/>
      <c r="IF12" s="716"/>
      <c r="IG12" s="716"/>
      <c r="IH12" s="716"/>
      <c r="II12" s="716"/>
      <c r="IJ12" s="716"/>
      <c r="IK12" s="716"/>
      <c r="IL12" s="716"/>
      <c r="IM12" s="716"/>
      <c r="IN12" s="716"/>
      <c r="IO12" s="716"/>
      <c r="IP12" s="716"/>
      <c r="IQ12" s="716"/>
      <c r="IR12" s="716"/>
      <c r="IS12" s="716"/>
      <c r="IT12" s="716"/>
      <c r="IU12" s="716"/>
      <c r="IV12" s="716"/>
    </row>
    <row r="13" spans="1:256" ht="16.5" customHeight="1">
      <c r="A13" s="721" t="s">
        <v>202</v>
      </c>
      <c r="B13" s="722">
        <f>SUM('19 önkormányzat'!I141)</f>
        <v>38917253</v>
      </c>
      <c r="C13" s="722"/>
      <c r="D13" s="722"/>
      <c r="E13" s="722"/>
      <c r="F13" s="722"/>
      <c r="G13" s="722"/>
      <c r="H13" s="722">
        <f t="shared" si="0"/>
        <v>38917253</v>
      </c>
      <c r="I13" s="721" t="s">
        <v>185</v>
      </c>
      <c r="J13" s="722">
        <f>SUM('19 önkormányzat'!I46)</f>
        <v>78000</v>
      </c>
      <c r="K13" s="722"/>
      <c r="L13" s="722"/>
      <c r="M13" s="723">
        <v>229305</v>
      </c>
      <c r="N13" s="723"/>
      <c r="O13" s="722"/>
      <c r="P13" s="724">
        <f t="shared" si="1"/>
        <v>307305</v>
      </c>
      <c r="Q13" s="716"/>
      <c r="R13" s="716"/>
      <c r="S13" s="716"/>
      <c r="T13" s="716"/>
      <c r="U13" s="716"/>
      <c r="V13" s="716"/>
      <c r="W13" s="716"/>
      <c r="X13" s="716"/>
      <c r="Y13" s="716"/>
      <c r="Z13" s="716"/>
      <c r="AA13" s="716"/>
      <c r="AB13" s="716"/>
      <c r="AC13" s="716"/>
      <c r="AD13" s="716"/>
      <c r="AE13" s="716"/>
      <c r="AF13" s="716"/>
      <c r="AG13" s="716"/>
      <c r="AH13" s="716"/>
      <c r="AI13" s="716"/>
      <c r="AJ13" s="716"/>
      <c r="AK13" s="716"/>
      <c r="AL13" s="716"/>
      <c r="AM13" s="716"/>
      <c r="AN13" s="716"/>
      <c r="AO13" s="716"/>
      <c r="AP13" s="716"/>
      <c r="AQ13" s="716"/>
      <c r="AR13" s="716"/>
      <c r="AS13" s="716"/>
      <c r="AT13" s="716"/>
      <c r="AU13" s="716"/>
      <c r="AV13" s="716"/>
      <c r="AW13" s="716"/>
      <c r="AX13" s="716"/>
      <c r="AY13" s="716"/>
      <c r="AZ13" s="716"/>
      <c r="BA13" s="716"/>
      <c r="BB13" s="716"/>
      <c r="BC13" s="716"/>
      <c r="BD13" s="716"/>
      <c r="BE13" s="716"/>
      <c r="BF13" s="716"/>
      <c r="BG13" s="716"/>
      <c r="BH13" s="716"/>
      <c r="BI13" s="716"/>
      <c r="BJ13" s="716"/>
      <c r="BK13" s="716"/>
      <c r="BL13" s="716"/>
      <c r="BM13" s="716"/>
      <c r="BN13" s="716"/>
      <c r="BO13" s="716"/>
      <c r="BP13" s="716"/>
      <c r="BQ13" s="716"/>
      <c r="BR13" s="716"/>
      <c r="BS13" s="716"/>
      <c r="BT13" s="716"/>
      <c r="BU13" s="716"/>
      <c r="BV13" s="716"/>
      <c r="BW13" s="716"/>
      <c r="BX13" s="716"/>
      <c r="BY13" s="716"/>
      <c r="BZ13" s="716"/>
      <c r="CA13" s="716"/>
      <c r="CB13" s="716"/>
      <c r="CC13" s="716"/>
      <c r="CD13" s="716"/>
      <c r="CE13" s="716"/>
      <c r="CF13" s="716"/>
      <c r="CG13" s="716"/>
      <c r="CH13" s="716"/>
      <c r="CI13" s="716"/>
      <c r="CJ13" s="716"/>
      <c r="CK13" s="716"/>
      <c r="CL13" s="716"/>
      <c r="CM13" s="716"/>
      <c r="CN13" s="716"/>
      <c r="CO13" s="716"/>
      <c r="CP13" s="716"/>
      <c r="CQ13" s="716"/>
      <c r="CR13" s="716"/>
      <c r="CS13" s="716"/>
      <c r="CT13" s="716"/>
      <c r="CU13" s="716"/>
      <c r="CV13" s="716"/>
      <c r="CW13" s="716"/>
      <c r="CX13" s="716"/>
      <c r="CY13" s="716"/>
      <c r="CZ13" s="716"/>
      <c r="DA13" s="716"/>
      <c r="DB13" s="716"/>
      <c r="DC13" s="716"/>
      <c r="DD13" s="716"/>
      <c r="DE13" s="716"/>
      <c r="DF13" s="716"/>
      <c r="DG13" s="716"/>
      <c r="DH13" s="716"/>
      <c r="DI13" s="716"/>
      <c r="DJ13" s="716"/>
      <c r="DK13" s="716"/>
      <c r="DL13" s="716"/>
      <c r="DM13" s="716"/>
      <c r="DN13" s="716"/>
      <c r="DO13" s="716"/>
      <c r="DP13" s="716"/>
      <c r="DQ13" s="716"/>
      <c r="DR13" s="716"/>
      <c r="DS13" s="716"/>
      <c r="DT13" s="716"/>
      <c r="DU13" s="716"/>
      <c r="DV13" s="716"/>
      <c r="DW13" s="716"/>
      <c r="DX13" s="716"/>
      <c r="DY13" s="716"/>
      <c r="DZ13" s="716"/>
      <c r="EA13" s="716"/>
      <c r="EB13" s="716"/>
      <c r="EC13" s="716"/>
      <c r="ED13" s="716"/>
      <c r="EE13" s="716"/>
      <c r="EF13" s="716"/>
      <c r="EG13" s="716"/>
      <c r="EH13" s="716"/>
      <c r="EI13" s="716"/>
      <c r="EJ13" s="716"/>
      <c r="EK13" s="716"/>
      <c r="EL13" s="716"/>
      <c r="EM13" s="716"/>
      <c r="EN13" s="716"/>
      <c r="EO13" s="716"/>
      <c r="EP13" s="716"/>
      <c r="EQ13" s="716"/>
      <c r="ER13" s="716"/>
      <c r="ES13" s="716"/>
      <c r="ET13" s="716"/>
      <c r="EU13" s="716"/>
      <c r="EV13" s="716"/>
      <c r="EW13" s="716"/>
      <c r="EX13" s="716"/>
      <c r="EY13" s="716"/>
      <c r="EZ13" s="716"/>
      <c r="FA13" s="716"/>
      <c r="FB13" s="716"/>
      <c r="FC13" s="716"/>
      <c r="FD13" s="716"/>
      <c r="FE13" s="716"/>
      <c r="FF13" s="716"/>
      <c r="FG13" s="716"/>
      <c r="FH13" s="716"/>
      <c r="FI13" s="716"/>
      <c r="FJ13" s="716"/>
      <c r="FK13" s="716"/>
      <c r="FL13" s="716"/>
      <c r="FM13" s="716"/>
      <c r="FN13" s="716"/>
      <c r="FO13" s="716"/>
      <c r="FP13" s="716"/>
      <c r="FQ13" s="716"/>
      <c r="FR13" s="716"/>
      <c r="FS13" s="716"/>
      <c r="FT13" s="716"/>
      <c r="FU13" s="716"/>
      <c r="FV13" s="716"/>
      <c r="FW13" s="716"/>
      <c r="FX13" s="716"/>
      <c r="FY13" s="716"/>
      <c r="FZ13" s="716"/>
      <c r="GA13" s="716"/>
      <c r="GB13" s="716"/>
      <c r="GC13" s="716"/>
      <c r="GD13" s="716"/>
      <c r="GE13" s="716"/>
      <c r="GF13" s="716"/>
      <c r="GG13" s="716"/>
      <c r="GH13" s="716"/>
      <c r="GI13" s="716"/>
      <c r="GJ13" s="716"/>
      <c r="GK13" s="716"/>
      <c r="GL13" s="716"/>
      <c r="GM13" s="716"/>
      <c r="GN13" s="716"/>
      <c r="GO13" s="716"/>
      <c r="GP13" s="716"/>
      <c r="GQ13" s="716"/>
      <c r="GR13" s="716"/>
      <c r="GS13" s="716"/>
      <c r="GT13" s="716"/>
      <c r="GU13" s="716"/>
      <c r="GV13" s="716"/>
      <c r="GW13" s="716"/>
      <c r="GX13" s="716"/>
      <c r="GY13" s="716"/>
      <c r="GZ13" s="716"/>
      <c r="HA13" s="716"/>
      <c r="HB13" s="716"/>
      <c r="HC13" s="716"/>
      <c r="HD13" s="716"/>
      <c r="HE13" s="716"/>
      <c r="HF13" s="716"/>
      <c r="HG13" s="716"/>
      <c r="HH13" s="716"/>
      <c r="HI13" s="716"/>
      <c r="HJ13" s="716"/>
      <c r="HK13" s="716"/>
      <c r="HL13" s="716"/>
      <c r="HM13" s="716"/>
      <c r="HN13" s="716"/>
      <c r="HO13" s="716"/>
      <c r="HP13" s="716"/>
      <c r="HQ13" s="716"/>
      <c r="HR13" s="716"/>
      <c r="HS13" s="716"/>
      <c r="HT13" s="716"/>
      <c r="HU13" s="716"/>
      <c r="HV13" s="716"/>
      <c r="HW13" s="716"/>
      <c r="HX13" s="716"/>
      <c r="HY13" s="716"/>
      <c r="HZ13" s="716"/>
      <c r="IA13" s="716"/>
      <c r="IB13" s="716"/>
      <c r="IC13" s="716"/>
      <c r="ID13" s="716"/>
      <c r="IE13" s="716"/>
      <c r="IF13" s="716"/>
      <c r="IG13" s="716"/>
      <c r="IH13" s="716"/>
      <c r="II13" s="716"/>
      <c r="IJ13" s="716"/>
      <c r="IK13" s="716"/>
      <c r="IL13" s="716"/>
      <c r="IM13" s="716"/>
      <c r="IN13" s="716"/>
      <c r="IO13" s="716"/>
      <c r="IP13" s="716"/>
      <c r="IQ13" s="716"/>
      <c r="IR13" s="716"/>
      <c r="IS13" s="716"/>
      <c r="IT13" s="716"/>
      <c r="IU13" s="716"/>
      <c r="IV13" s="716"/>
    </row>
    <row r="14" spans="1:256" ht="22.5">
      <c r="A14" s="721" t="s">
        <v>627</v>
      </c>
      <c r="B14" s="722"/>
      <c r="C14" s="722"/>
      <c r="D14" s="722"/>
      <c r="E14" s="722"/>
      <c r="F14" s="722"/>
      <c r="G14" s="722"/>
      <c r="H14" s="722">
        <f t="shared" si="0"/>
        <v>0</v>
      </c>
      <c r="I14" s="721" t="s">
        <v>628</v>
      </c>
      <c r="J14" s="722"/>
      <c r="K14" s="722"/>
      <c r="L14" s="722"/>
      <c r="M14" s="723"/>
      <c r="N14" s="723"/>
      <c r="O14" s="722"/>
      <c r="P14" s="724">
        <f t="shared" si="1"/>
        <v>0</v>
      </c>
      <c r="Q14" s="716"/>
      <c r="R14" s="716"/>
      <c r="S14" s="716"/>
      <c r="T14" s="716"/>
      <c r="U14" s="716"/>
      <c r="V14" s="716"/>
      <c r="W14" s="716"/>
      <c r="X14" s="716"/>
      <c r="Y14" s="716"/>
      <c r="Z14" s="716"/>
      <c r="AA14" s="716"/>
      <c r="AB14" s="716"/>
      <c r="AC14" s="716"/>
      <c r="AD14" s="716"/>
      <c r="AE14" s="716"/>
      <c r="AF14" s="716"/>
      <c r="AG14" s="716"/>
      <c r="AH14" s="716"/>
      <c r="AI14" s="716"/>
      <c r="AJ14" s="716"/>
      <c r="AK14" s="716"/>
      <c r="AL14" s="716"/>
      <c r="AM14" s="716"/>
      <c r="AN14" s="716"/>
      <c r="AO14" s="716"/>
      <c r="AP14" s="716"/>
      <c r="AQ14" s="716"/>
      <c r="AR14" s="716"/>
      <c r="AS14" s="716"/>
      <c r="AT14" s="716"/>
      <c r="AU14" s="716"/>
      <c r="AV14" s="716"/>
      <c r="AW14" s="716"/>
      <c r="AX14" s="716"/>
      <c r="AY14" s="716"/>
      <c r="AZ14" s="716"/>
      <c r="BA14" s="716"/>
      <c r="BB14" s="716"/>
      <c r="BC14" s="716"/>
      <c r="BD14" s="716"/>
      <c r="BE14" s="716"/>
      <c r="BF14" s="716"/>
      <c r="BG14" s="716"/>
      <c r="BH14" s="716"/>
      <c r="BI14" s="716"/>
      <c r="BJ14" s="716"/>
      <c r="BK14" s="716"/>
      <c r="BL14" s="716"/>
      <c r="BM14" s="716"/>
      <c r="BN14" s="716"/>
      <c r="BO14" s="716"/>
      <c r="BP14" s="716"/>
      <c r="BQ14" s="716"/>
      <c r="BR14" s="716"/>
      <c r="BS14" s="716"/>
      <c r="BT14" s="716"/>
      <c r="BU14" s="716"/>
      <c r="BV14" s="716"/>
      <c r="BW14" s="716"/>
      <c r="BX14" s="716"/>
      <c r="BY14" s="716"/>
      <c r="BZ14" s="716"/>
      <c r="CA14" s="716"/>
      <c r="CB14" s="716"/>
      <c r="CC14" s="716"/>
      <c r="CD14" s="716"/>
      <c r="CE14" s="716"/>
      <c r="CF14" s="716"/>
      <c r="CG14" s="716"/>
      <c r="CH14" s="716"/>
      <c r="CI14" s="716"/>
      <c r="CJ14" s="716"/>
      <c r="CK14" s="716"/>
      <c r="CL14" s="716"/>
      <c r="CM14" s="716"/>
      <c r="CN14" s="716"/>
      <c r="CO14" s="716"/>
      <c r="CP14" s="716"/>
      <c r="CQ14" s="716"/>
      <c r="CR14" s="716"/>
      <c r="CS14" s="716"/>
      <c r="CT14" s="716"/>
      <c r="CU14" s="716"/>
      <c r="CV14" s="716"/>
      <c r="CW14" s="716"/>
      <c r="CX14" s="716"/>
      <c r="CY14" s="716"/>
      <c r="CZ14" s="716"/>
      <c r="DA14" s="716"/>
      <c r="DB14" s="716"/>
      <c r="DC14" s="716"/>
      <c r="DD14" s="716"/>
      <c r="DE14" s="716"/>
      <c r="DF14" s="716"/>
      <c r="DG14" s="716"/>
      <c r="DH14" s="716"/>
      <c r="DI14" s="716"/>
      <c r="DJ14" s="716"/>
      <c r="DK14" s="716"/>
      <c r="DL14" s="716"/>
      <c r="DM14" s="716"/>
      <c r="DN14" s="716"/>
      <c r="DO14" s="716"/>
      <c r="DP14" s="716"/>
      <c r="DQ14" s="716"/>
      <c r="DR14" s="716"/>
      <c r="DS14" s="716"/>
      <c r="DT14" s="716"/>
      <c r="DU14" s="716"/>
      <c r="DV14" s="716"/>
      <c r="DW14" s="716"/>
      <c r="DX14" s="716"/>
      <c r="DY14" s="716"/>
      <c r="DZ14" s="716"/>
      <c r="EA14" s="716"/>
      <c r="EB14" s="716"/>
      <c r="EC14" s="716"/>
      <c r="ED14" s="716"/>
      <c r="EE14" s="716"/>
      <c r="EF14" s="716"/>
      <c r="EG14" s="716"/>
      <c r="EH14" s="716"/>
      <c r="EI14" s="716"/>
      <c r="EJ14" s="716"/>
      <c r="EK14" s="716"/>
      <c r="EL14" s="716"/>
      <c r="EM14" s="716"/>
      <c r="EN14" s="716"/>
      <c r="EO14" s="716"/>
      <c r="EP14" s="716"/>
      <c r="EQ14" s="716"/>
      <c r="ER14" s="716"/>
      <c r="ES14" s="716"/>
      <c r="ET14" s="716"/>
      <c r="EU14" s="716"/>
      <c r="EV14" s="716"/>
      <c r="EW14" s="716"/>
      <c r="EX14" s="716"/>
      <c r="EY14" s="716"/>
      <c r="EZ14" s="716"/>
      <c r="FA14" s="716"/>
      <c r="FB14" s="716"/>
      <c r="FC14" s="716"/>
      <c r="FD14" s="716"/>
      <c r="FE14" s="716"/>
      <c r="FF14" s="716"/>
      <c r="FG14" s="716"/>
      <c r="FH14" s="716"/>
      <c r="FI14" s="716"/>
      <c r="FJ14" s="716"/>
      <c r="FK14" s="716"/>
      <c r="FL14" s="716"/>
      <c r="FM14" s="716"/>
      <c r="FN14" s="716"/>
      <c r="FO14" s="716"/>
      <c r="FP14" s="716"/>
      <c r="FQ14" s="716"/>
      <c r="FR14" s="716"/>
      <c r="FS14" s="716"/>
      <c r="FT14" s="716"/>
      <c r="FU14" s="716"/>
      <c r="FV14" s="716"/>
      <c r="FW14" s="716"/>
      <c r="FX14" s="716"/>
      <c r="FY14" s="716"/>
      <c r="FZ14" s="716"/>
      <c r="GA14" s="716"/>
      <c r="GB14" s="716"/>
      <c r="GC14" s="716"/>
      <c r="GD14" s="716"/>
      <c r="GE14" s="716"/>
      <c r="GF14" s="716"/>
      <c r="GG14" s="716"/>
      <c r="GH14" s="716"/>
      <c r="GI14" s="716"/>
      <c r="GJ14" s="716"/>
      <c r="GK14" s="716"/>
      <c r="GL14" s="716"/>
      <c r="GM14" s="716"/>
      <c r="GN14" s="716"/>
      <c r="GO14" s="716"/>
      <c r="GP14" s="716"/>
      <c r="GQ14" s="716"/>
      <c r="GR14" s="716"/>
      <c r="GS14" s="716"/>
      <c r="GT14" s="716"/>
      <c r="GU14" s="716"/>
      <c r="GV14" s="716"/>
      <c r="GW14" s="716"/>
      <c r="GX14" s="716"/>
      <c r="GY14" s="716"/>
      <c r="GZ14" s="716"/>
      <c r="HA14" s="716"/>
      <c r="HB14" s="716"/>
      <c r="HC14" s="716"/>
      <c r="HD14" s="716"/>
      <c r="HE14" s="716"/>
      <c r="HF14" s="716"/>
      <c r="HG14" s="716"/>
      <c r="HH14" s="716"/>
      <c r="HI14" s="716"/>
      <c r="HJ14" s="716"/>
      <c r="HK14" s="716"/>
      <c r="HL14" s="716"/>
      <c r="HM14" s="716"/>
      <c r="HN14" s="716"/>
      <c r="HO14" s="716"/>
      <c r="HP14" s="716"/>
      <c r="HQ14" s="716"/>
      <c r="HR14" s="716"/>
      <c r="HS14" s="716"/>
      <c r="HT14" s="716"/>
      <c r="HU14" s="716"/>
      <c r="HV14" s="716"/>
      <c r="HW14" s="716"/>
      <c r="HX14" s="716"/>
      <c r="HY14" s="716"/>
      <c r="HZ14" s="716"/>
      <c r="IA14" s="716"/>
      <c r="IB14" s="716"/>
      <c r="IC14" s="716"/>
      <c r="ID14" s="716"/>
      <c r="IE14" s="716"/>
      <c r="IF14" s="716"/>
      <c r="IG14" s="716"/>
      <c r="IH14" s="716"/>
      <c r="II14" s="716"/>
      <c r="IJ14" s="716"/>
      <c r="IK14" s="716"/>
      <c r="IL14" s="716"/>
      <c r="IM14" s="716"/>
      <c r="IN14" s="716"/>
      <c r="IO14" s="716"/>
      <c r="IP14" s="716"/>
      <c r="IQ14" s="716"/>
      <c r="IR14" s="716"/>
      <c r="IS14" s="716"/>
      <c r="IT14" s="716"/>
      <c r="IU14" s="716"/>
      <c r="IV14" s="716"/>
    </row>
    <row r="15" spans="1:256" ht="24" customHeight="1">
      <c r="A15" s="721" t="s">
        <v>270</v>
      </c>
      <c r="B15" s="722">
        <f>SUM('19 önkormányzat'!I148)</f>
        <v>8085459</v>
      </c>
      <c r="C15" s="722"/>
      <c r="D15" s="722"/>
      <c r="E15" s="722"/>
      <c r="F15" s="722"/>
      <c r="G15" s="722"/>
      <c r="H15" s="722">
        <f t="shared" si="0"/>
        <v>8085459</v>
      </c>
      <c r="I15" s="721" t="s">
        <v>454</v>
      </c>
      <c r="J15" s="726">
        <f>SUM('19 önkormányzat'!I55)</f>
        <v>7035063</v>
      </c>
      <c r="K15" s="722"/>
      <c r="L15" s="727"/>
      <c r="M15" s="723"/>
      <c r="N15" s="723"/>
      <c r="O15" s="727"/>
      <c r="P15" s="724">
        <f t="shared" si="1"/>
        <v>7035063</v>
      </c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16"/>
      <c r="AC15" s="716"/>
      <c r="AD15" s="716"/>
      <c r="AE15" s="716"/>
      <c r="AF15" s="716"/>
      <c r="AG15" s="716"/>
      <c r="AH15" s="716"/>
      <c r="AI15" s="716"/>
      <c r="AJ15" s="716"/>
      <c r="AK15" s="716"/>
      <c r="AL15" s="716"/>
      <c r="AM15" s="716"/>
      <c r="AN15" s="716"/>
      <c r="AO15" s="716"/>
      <c r="AP15" s="716"/>
      <c r="AQ15" s="716"/>
      <c r="AR15" s="716"/>
      <c r="AS15" s="716"/>
      <c r="AT15" s="716"/>
      <c r="AU15" s="716"/>
      <c r="AV15" s="716"/>
      <c r="AW15" s="716"/>
      <c r="AX15" s="716"/>
      <c r="AY15" s="716"/>
      <c r="AZ15" s="716"/>
      <c r="BA15" s="716"/>
      <c r="BB15" s="716"/>
      <c r="BC15" s="716"/>
      <c r="BD15" s="716"/>
      <c r="BE15" s="716"/>
      <c r="BF15" s="716"/>
      <c r="BG15" s="716"/>
      <c r="BH15" s="716"/>
      <c r="BI15" s="716"/>
      <c r="BJ15" s="716"/>
      <c r="BK15" s="716"/>
      <c r="BL15" s="716"/>
      <c r="BM15" s="716"/>
      <c r="BN15" s="716"/>
      <c r="BO15" s="716"/>
      <c r="BP15" s="716"/>
      <c r="BQ15" s="716"/>
      <c r="BR15" s="716"/>
      <c r="BS15" s="716"/>
      <c r="BT15" s="716"/>
      <c r="BU15" s="716"/>
      <c r="BV15" s="716"/>
      <c r="BW15" s="716"/>
      <c r="BX15" s="716"/>
      <c r="BY15" s="716"/>
      <c r="BZ15" s="716"/>
      <c r="CA15" s="716"/>
      <c r="CB15" s="716"/>
      <c r="CC15" s="716"/>
      <c r="CD15" s="716"/>
      <c r="CE15" s="716"/>
      <c r="CF15" s="716"/>
      <c r="CG15" s="716"/>
      <c r="CH15" s="716"/>
      <c r="CI15" s="716"/>
      <c r="CJ15" s="716"/>
      <c r="CK15" s="716"/>
      <c r="CL15" s="716"/>
      <c r="CM15" s="716"/>
      <c r="CN15" s="716"/>
      <c r="CO15" s="716"/>
      <c r="CP15" s="716"/>
      <c r="CQ15" s="716"/>
      <c r="CR15" s="716"/>
      <c r="CS15" s="716"/>
      <c r="CT15" s="716"/>
      <c r="CU15" s="716"/>
      <c r="CV15" s="716"/>
      <c r="CW15" s="716"/>
      <c r="CX15" s="716"/>
      <c r="CY15" s="716"/>
      <c r="CZ15" s="716"/>
      <c r="DA15" s="716"/>
      <c r="DB15" s="716"/>
      <c r="DC15" s="716"/>
      <c r="DD15" s="716"/>
      <c r="DE15" s="716"/>
      <c r="DF15" s="716"/>
      <c r="DG15" s="716"/>
      <c r="DH15" s="716"/>
      <c r="DI15" s="716"/>
      <c r="DJ15" s="716"/>
      <c r="DK15" s="716"/>
      <c r="DL15" s="716"/>
      <c r="DM15" s="716"/>
      <c r="DN15" s="716"/>
      <c r="DO15" s="716"/>
      <c r="DP15" s="716"/>
      <c r="DQ15" s="716"/>
      <c r="DR15" s="716"/>
      <c r="DS15" s="716"/>
      <c r="DT15" s="716"/>
      <c r="DU15" s="716"/>
      <c r="DV15" s="716"/>
      <c r="DW15" s="716"/>
      <c r="DX15" s="716"/>
      <c r="DY15" s="716"/>
      <c r="DZ15" s="716"/>
      <c r="EA15" s="716"/>
      <c r="EB15" s="716"/>
      <c r="EC15" s="716"/>
      <c r="ED15" s="716"/>
      <c r="EE15" s="716"/>
      <c r="EF15" s="716"/>
      <c r="EG15" s="716"/>
      <c r="EH15" s="716"/>
      <c r="EI15" s="716"/>
      <c r="EJ15" s="716"/>
      <c r="EK15" s="716"/>
      <c r="EL15" s="716"/>
      <c r="EM15" s="716"/>
      <c r="EN15" s="716"/>
      <c r="EO15" s="716"/>
      <c r="EP15" s="716"/>
      <c r="EQ15" s="716"/>
      <c r="ER15" s="716"/>
      <c r="ES15" s="716"/>
      <c r="ET15" s="716"/>
      <c r="EU15" s="716"/>
      <c r="EV15" s="716"/>
      <c r="EW15" s="716"/>
      <c r="EX15" s="716"/>
      <c r="EY15" s="716"/>
      <c r="EZ15" s="716"/>
      <c r="FA15" s="716"/>
      <c r="FB15" s="716"/>
      <c r="FC15" s="716"/>
      <c r="FD15" s="716"/>
      <c r="FE15" s="716"/>
      <c r="FF15" s="716"/>
      <c r="FG15" s="716"/>
      <c r="FH15" s="716"/>
      <c r="FI15" s="716"/>
      <c r="FJ15" s="716"/>
      <c r="FK15" s="716"/>
      <c r="FL15" s="716"/>
      <c r="FM15" s="716"/>
      <c r="FN15" s="716"/>
      <c r="FO15" s="716"/>
      <c r="FP15" s="716"/>
      <c r="FQ15" s="716"/>
      <c r="FR15" s="716"/>
      <c r="FS15" s="716"/>
      <c r="FT15" s="716"/>
      <c r="FU15" s="716"/>
      <c r="FV15" s="716"/>
      <c r="FW15" s="716"/>
      <c r="FX15" s="716"/>
      <c r="FY15" s="716"/>
      <c r="FZ15" s="716"/>
      <c r="GA15" s="716"/>
      <c r="GB15" s="716"/>
      <c r="GC15" s="716"/>
      <c r="GD15" s="716"/>
      <c r="GE15" s="716"/>
      <c r="GF15" s="716"/>
      <c r="GG15" s="716"/>
      <c r="GH15" s="716"/>
      <c r="GI15" s="716"/>
      <c r="GJ15" s="716"/>
      <c r="GK15" s="716"/>
      <c r="GL15" s="716"/>
      <c r="GM15" s="716"/>
      <c r="GN15" s="716"/>
      <c r="GO15" s="716"/>
      <c r="GP15" s="716"/>
      <c r="GQ15" s="716"/>
      <c r="GR15" s="716"/>
      <c r="GS15" s="716"/>
      <c r="GT15" s="716"/>
      <c r="GU15" s="716"/>
      <c r="GV15" s="716"/>
      <c r="GW15" s="716"/>
      <c r="GX15" s="716"/>
      <c r="GY15" s="716"/>
      <c r="GZ15" s="716"/>
      <c r="HA15" s="716"/>
      <c r="HB15" s="716"/>
      <c r="HC15" s="716"/>
      <c r="HD15" s="716"/>
      <c r="HE15" s="716"/>
      <c r="HF15" s="716"/>
      <c r="HG15" s="716"/>
      <c r="HH15" s="716"/>
      <c r="HI15" s="716"/>
      <c r="HJ15" s="716"/>
      <c r="HK15" s="716"/>
      <c r="HL15" s="716"/>
      <c r="HM15" s="716"/>
      <c r="HN15" s="716"/>
      <c r="HO15" s="716"/>
      <c r="HP15" s="716"/>
      <c r="HQ15" s="716"/>
      <c r="HR15" s="716"/>
      <c r="HS15" s="716"/>
      <c r="HT15" s="716"/>
      <c r="HU15" s="716"/>
      <c r="HV15" s="716"/>
      <c r="HW15" s="716"/>
      <c r="HX15" s="716"/>
      <c r="HY15" s="716"/>
      <c r="HZ15" s="716"/>
      <c r="IA15" s="716"/>
      <c r="IB15" s="716"/>
      <c r="IC15" s="716"/>
      <c r="ID15" s="716"/>
      <c r="IE15" s="716"/>
      <c r="IF15" s="716"/>
      <c r="IG15" s="716"/>
      <c r="IH15" s="716"/>
      <c r="II15" s="716"/>
      <c r="IJ15" s="716"/>
      <c r="IK15" s="716"/>
      <c r="IL15" s="716"/>
      <c r="IM15" s="716"/>
      <c r="IN15" s="716"/>
      <c r="IO15" s="716"/>
      <c r="IP15" s="716"/>
      <c r="IQ15" s="716"/>
      <c r="IR15" s="716"/>
      <c r="IS15" s="716"/>
      <c r="IT15" s="716"/>
      <c r="IU15" s="716"/>
      <c r="IV15" s="716"/>
    </row>
    <row r="16" spans="1:256" ht="24" customHeight="1">
      <c r="A16" s="721" t="s">
        <v>828</v>
      </c>
      <c r="B16" s="722">
        <v>2482037</v>
      </c>
      <c r="C16" s="722"/>
      <c r="D16" s="722"/>
      <c r="E16" s="722"/>
      <c r="F16" s="722"/>
      <c r="G16" s="722"/>
      <c r="H16" s="722">
        <f t="shared" si="0"/>
        <v>2482037</v>
      </c>
      <c r="I16" s="721"/>
      <c r="J16" s="726"/>
      <c r="K16" s="722"/>
      <c r="L16" s="727"/>
      <c r="M16" s="723"/>
      <c r="N16" s="723"/>
      <c r="O16" s="727"/>
      <c r="P16" s="724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  <c r="AS16" s="716"/>
      <c r="AT16" s="716"/>
      <c r="AU16" s="716"/>
      <c r="AV16" s="716"/>
      <c r="AW16" s="716"/>
      <c r="AX16" s="716"/>
      <c r="AY16" s="716"/>
      <c r="AZ16" s="716"/>
      <c r="BA16" s="716"/>
      <c r="BB16" s="716"/>
      <c r="BC16" s="716"/>
      <c r="BD16" s="716"/>
      <c r="BE16" s="716"/>
      <c r="BF16" s="716"/>
      <c r="BG16" s="716"/>
      <c r="BH16" s="716"/>
      <c r="BI16" s="716"/>
      <c r="BJ16" s="716"/>
      <c r="BK16" s="716"/>
      <c r="BL16" s="716"/>
      <c r="BM16" s="716"/>
      <c r="BN16" s="716"/>
      <c r="BO16" s="716"/>
      <c r="BP16" s="716"/>
      <c r="BQ16" s="716"/>
      <c r="BR16" s="716"/>
      <c r="BS16" s="716"/>
      <c r="BT16" s="716"/>
      <c r="BU16" s="716"/>
      <c r="BV16" s="716"/>
      <c r="BW16" s="716"/>
      <c r="BX16" s="716"/>
      <c r="BY16" s="716"/>
      <c r="BZ16" s="716"/>
      <c r="CA16" s="716"/>
      <c r="CB16" s="716"/>
      <c r="CC16" s="716"/>
      <c r="CD16" s="716"/>
      <c r="CE16" s="716"/>
      <c r="CF16" s="716"/>
      <c r="CG16" s="716"/>
      <c r="CH16" s="716"/>
      <c r="CI16" s="716"/>
      <c r="CJ16" s="716"/>
      <c r="CK16" s="716"/>
      <c r="CL16" s="716"/>
      <c r="CM16" s="716"/>
      <c r="CN16" s="716"/>
      <c r="CO16" s="716"/>
      <c r="CP16" s="716"/>
      <c r="CQ16" s="716"/>
      <c r="CR16" s="716"/>
      <c r="CS16" s="716"/>
      <c r="CT16" s="716"/>
      <c r="CU16" s="716"/>
      <c r="CV16" s="716"/>
      <c r="CW16" s="716"/>
      <c r="CX16" s="716"/>
      <c r="CY16" s="716"/>
      <c r="CZ16" s="716"/>
      <c r="DA16" s="716"/>
      <c r="DB16" s="716"/>
      <c r="DC16" s="716"/>
      <c r="DD16" s="716"/>
      <c r="DE16" s="716"/>
      <c r="DF16" s="716"/>
      <c r="DG16" s="716"/>
      <c r="DH16" s="716"/>
      <c r="DI16" s="716"/>
      <c r="DJ16" s="716"/>
      <c r="DK16" s="716"/>
      <c r="DL16" s="716"/>
      <c r="DM16" s="716"/>
      <c r="DN16" s="716"/>
      <c r="DO16" s="716"/>
      <c r="DP16" s="716"/>
      <c r="DQ16" s="716"/>
      <c r="DR16" s="716"/>
      <c r="DS16" s="716"/>
      <c r="DT16" s="716"/>
      <c r="DU16" s="716"/>
      <c r="DV16" s="716"/>
      <c r="DW16" s="716"/>
      <c r="DX16" s="716"/>
      <c r="DY16" s="716"/>
      <c r="DZ16" s="716"/>
      <c r="EA16" s="716"/>
      <c r="EB16" s="716"/>
      <c r="EC16" s="716"/>
      <c r="ED16" s="716"/>
      <c r="EE16" s="716"/>
      <c r="EF16" s="716"/>
      <c r="EG16" s="716"/>
      <c r="EH16" s="716"/>
      <c r="EI16" s="716"/>
      <c r="EJ16" s="716"/>
      <c r="EK16" s="716"/>
      <c r="EL16" s="716"/>
      <c r="EM16" s="716"/>
      <c r="EN16" s="716"/>
      <c r="EO16" s="716"/>
      <c r="EP16" s="716"/>
      <c r="EQ16" s="716"/>
      <c r="ER16" s="716"/>
      <c r="ES16" s="716"/>
      <c r="ET16" s="716"/>
      <c r="EU16" s="716"/>
      <c r="EV16" s="716"/>
      <c r="EW16" s="716"/>
      <c r="EX16" s="716"/>
      <c r="EY16" s="716"/>
      <c r="EZ16" s="716"/>
      <c r="FA16" s="716"/>
      <c r="FB16" s="716"/>
      <c r="FC16" s="716"/>
      <c r="FD16" s="716"/>
      <c r="FE16" s="716"/>
      <c r="FF16" s="716"/>
      <c r="FG16" s="716"/>
      <c r="FH16" s="716"/>
      <c r="FI16" s="716"/>
      <c r="FJ16" s="716"/>
      <c r="FK16" s="716"/>
      <c r="FL16" s="716"/>
      <c r="FM16" s="716"/>
      <c r="FN16" s="716"/>
      <c r="FO16" s="716"/>
      <c r="FP16" s="716"/>
      <c r="FQ16" s="716"/>
      <c r="FR16" s="716"/>
      <c r="FS16" s="716"/>
      <c r="FT16" s="716"/>
      <c r="FU16" s="716"/>
      <c r="FV16" s="716"/>
      <c r="FW16" s="716"/>
      <c r="FX16" s="716"/>
      <c r="FY16" s="716"/>
      <c r="FZ16" s="716"/>
      <c r="GA16" s="716"/>
      <c r="GB16" s="716"/>
      <c r="GC16" s="716"/>
      <c r="GD16" s="716"/>
      <c r="GE16" s="716"/>
      <c r="GF16" s="716"/>
      <c r="GG16" s="716"/>
      <c r="GH16" s="716"/>
      <c r="GI16" s="716"/>
      <c r="GJ16" s="716"/>
      <c r="GK16" s="716"/>
      <c r="GL16" s="716"/>
      <c r="GM16" s="716"/>
      <c r="GN16" s="716"/>
      <c r="GO16" s="716"/>
      <c r="GP16" s="716"/>
      <c r="GQ16" s="716"/>
      <c r="GR16" s="716"/>
      <c r="GS16" s="716"/>
      <c r="GT16" s="716"/>
      <c r="GU16" s="716"/>
      <c r="GV16" s="716"/>
      <c r="GW16" s="716"/>
      <c r="GX16" s="716"/>
      <c r="GY16" s="716"/>
      <c r="GZ16" s="716"/>
      <c r="HA16" s="716"/>
      <c r="HB16" s="716"/>
      <c r="HC16" s="716"/>
      <c r="HD16" s="716"/>
      <c r="HE16" s="716"/>
      <c r="HF16" s="716"/>
      <c r="HG16" s="716"/>
      <c r="HH16" s="716"/>
      <c r="HI16" s="716"/>
      <c r="HJ16" s="716"/>
      <c r="HK16" s="716"/>
      <c r="HL16" s="716"/>
      <c r="HM16" s="716"/>
      <c r="HN16" s="716"/>
      <c r="HO16" s="716"/>
      <c r="HP16" s="716"/>
      <c r="HQ16" s="716"/>
      <c r="HR16" s="716"/>
      <c r="HS16" s="716"/>
      <c r="HT16" s="716"/>
      <c r="HU16" s="716"/>
      <c r="HV16" s="716"/>
      <c r="HW16" s="716"/>
      <c r="HX16" s="716"/>
      <c r="HY16" s="716"/>
      <c r="HZ16" s="716"/>
      <c r="IA16" s="716"/>
      <c r="IB16" s="716"/>
      <c r="IC16" s="716"/>
      <c r="ID16" s="716"/>
      <c r="IE16" s="716"/>
      <c r="IF16" s="716"/>
      <c r="IG16" s="716"/>
      <c r="IH16" s="716"/>
      <c r="II16" s="716"/>
      <c r="IJ16" s="716"/>
      <c r="IK16" s="716"/>
      <c r="IL16" s="716"/>
      <c r="IM16" s="716"/>
      <c r="IN16" s="716"/>
      <c r="IO16" s="716"/>
      <c r="IP16" s="716"/>
      <c r="IQ16" s="716"/>
      <c r="IR16" s="716"/>
      <c r="IS16" s="716"/>
      <c r="IT16" s="716"/>
      <c r="IU16" s="716"/>
      <c r="IV16" s="716"/>
    </row>
    <row r="17" spans="1:256" ht="24" customHeight="1">
      <c r="A17" s="721" t="s">
        <v>209</v>
      </c>
      <c r="B17" s="722">
        <f>SUM('19 önkormányzat'!I152)</f>
        <v>315592990</v>
      </c>
      <c r="C17" s="722"/>
      <c r="D17" s="722"/>
      <c r="E17" s="722"/>
      <c r="F17" s="722"/>
      <c r="G17" s="722"/>
      <c r="H17" s="722">
        <f t="shared" si="0"/>
        <v>315592990</v>
      </c>
      <c r="I17" s="721" t="s">
        <v>629</v>
      </c>
      <c r="J17" s="726">
        <v>82912603</v>
      </c>
      <c r="K17" s="722"/>
      <c r="L17" s="728">
        <f>SUM('17. Hivatal'!H19)</f>
        <v>267350</v>
      </c>
      <c r="M17" s="723">
        <f>SUM('15. Óvoda'!H24)</f>
        <v>238417</v>
      </c>
      <c r="N17" s="723">
        <f>SUM('16. Műv. ház'!H17)</f>
        <v>321658</v>
      </c>
      <c r="O17" s="728">
        <f>SUM('18. VÜKI'!H21)</f>
        <v>1347397</v>
      </c>
      <c r="P17" s="724">
        <f t="shared" si="1"/>
        <v>85087425</v>
      </c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  <c r="AP17" s="716"/>
      <c r="AQ17" s="716"/>
      <c r="AR17" s="716"/>
      <c r="AS17" s="716"/>
      <c r="AT17" s="716"/>
      <c r="AU17" s="716"/>
      <c r="AV17" s="716"/>
      <c r="AW17" s="716"/>
      <c r="AX17" s="716"/>
      <c r="AY17" s="716"/>
      <c r="AZ17" s="716"/>
      <c r="BA17" s="716"/>
      <c r="BB17" s="716"/>
      <c r="BC17" s="716"/>
      <c r="BD17" s="716"/>
      <c r="BE17" s="716"/>
      <c r="BF17" s="716"/>
      <c r="BG17" s="716"/>
      <c r="BH17" s="716"/>
      <c r="BI17" s="716"/>
      <c r="BJ17" s="716"/>
      <c r="BK17" s="716"/>
      <c r="BL17" s="716"/>
      <c r="BM17" s="716"/>
      <c r="BN17" s="716"/>
      <c r="BO17" s="716"/>
      <c r="BP17" s="716"/>
      <c r="BQ17" s="716"/>
      <c r="BR17" s="716"/>
      <c r="BS17" s="716"/>
      <c r="BT17" s="716"/>
      <c r="BU17" s="716"/>
      <c r="BV17" s="716"/>
      <c r="BW17" s="716"/>
      <c r="BX17" s="716"/>
      <c r="BY17" s="716"/>
      <c r="BZ17" s="716"/>
      <c r="CA17" s="716"/>
      <c r="CB17" s="716"/>
      <c r="CC17" s="716"/>
      <c r="CD17" s="716"/>
      <c r="CE17" s="716"/>
      <c r="CF17" s="716"/>
      <c r="CG17" s="716"/>
      <c r="CH17" s="716"/>
      <c r="CI17" s="716"/>
      <c r="CJ17" s="716"/>
      <c r="CK17" s="716"/>
      <c r="CL17" s="716"/>
      <c r="CM17" s="716"/>
      <c r="CN17" s="716"/>
      <c r="CO17" s="716"/>
      <c r="CP17" s="716"/>
      <c r="CQ17" s="716"/>
      <c r="CR17" s="716"/>
      <c r="CS17" s="716"/>
      <c r="CT17" s="716"/>
      <c r="CU17" s="716"/>
      <c r="CV17" s="716"/>
      <c r="CW17" s="716"/>
      <c r="CX17" s="716"/>
      <c r="CY17" s="716"/>
      <c r="CZ17" s="716"/>
      <c r="DA17" s="716"/>
      <c r="DB17" s="716"/>
      <c r="DC17" s="716"/>
      <c r="DD17" s="716"/>
      <c r="DE17" s="716"/>
      <c r="DF17" s="716"/>
      <c r="DG17" s="716"/>
      <c r="DH17" s="716"/>
      <c r="DI17" s="716"/>
      <c r="DJ17" s="716"/>
      <c r="DK17" s="716"/>
      <c r="DL17" s="716"/>
      <c r="DM17" s="716"/>
      <c r="DN17" s="716"/>
      <c r="DO17" s="716"/>
      <c r="DP17" s="716"/>
      <c r="DQ17" s="716"/>
      <c r="DR17" s="716"/>
      <c r="DS17" s="716"/>
      <c r="DT17" s="716"/>
      <c r="DU17" s="716"/>
      <c r="DV17" s="716"/>
      <c r="DW17" s="716"/>
      <c r="DX17" s="716"/>
      <c r="DY17" s="716"/>
      <c r="DZ17" s="716"/>
      <c r="EA17" s="716"/>
      <c r="EB17" s="716"/>
      <c r="EC17" s="716"/>
      <c r="ED17" s="716"/>
      <c r="EE17" s="716"/>
      <c r="EF17" s="716"/>
      <c r="EG17" s="716"/>
      <c r="EH17" s="716"/>
      <c r="EI17" s="716"/>
      <c r="EJ17" s="716"/>
      <c r="EK17" s="716"/>
      <c r="EL17" s="716"/>
      <c r="EM17" s="716"/>
      <c r="EN17" s="716"/>
      <c r="EO17" s="716"/>
      <c r="EP17" s="716"/>
      <c r="EQ17" s="716"/>
      <c r="ER17" s="716"/>
      <c r="ES17" s="716"/>
      <c r="ET17" s="716"/>
      <c r="EU17" s="716"/>
      <c r="EV17" s="716"/>
      <c r="EW17" s="716"/>
      <c r="EX17" s="716"/>
      <c r="EY17" s="716"/>
      <c r="EZ17" s="716"/>
      <c r="FA17" s="716"/>
      <c r="FB17" s="716"/>
      <c r="FC17" s="716"/>
      <c r="FD17" s="716"/>
      <c r="FE17" s="716"/>
      <c r="FF17" s="716"/>
      <c r="FG17" s="716"/>
      <c r="FH17" s="716"/>
      <c r="FI17" s="716"/>
      <c r="FJ17" s="716"/>
      <c r="FK17" s="716"/>
      <c r="FL17" s="716"/>
      <c r="FM17" s="716"/>
      <c r="FN17" s="716"/>
      <c r="FO17" s="716"/>
      <c r="FP17" s="716"/>
      <c r="FQ17" s="716"/>
      <c r="FR17" s="716"/>
      <c r="FS17" s="716"/>
      <c r="FT17" s="716"/>
      <c r="FU17" s="716"/>
      <c r="FV17" s="716"/>
      <c r="FW17" s="716"/>
      <c r="FX17" s="716"/>
      <c r="FY17" s="716"/>
      <c r="FZ17" s="716"/>
      <c r="GA17" s="716"/>
      <c r="GB17" s="716"/>
      <c r="GC17" s="716"/>
      <c r="GD17" s="716"/>
      <c r="GE17" s="716"/>
      <c r="GF17" s="716"/>
      <c r="GG17" s="716"/>
      <c r="GH17" s="716"/>
      <c r="GI17" s="716"/>
      <c r="GJ17" s="716"/>
      <c r="GK17" s="716"/>
      <c r="GL17" s="716"/>
      <c r="GM17" s="716"/>
      <c r="GN17" s="716"/>
      <c r="GO17" s="716"/>
      <c r="GP17" s="716"/>
      <c r="GQ17" s="716"/>
      <c r="GR17" s="716"/>
      <c r="GS17" s="716"/>
      <c r="GT17" s="716"/>
      <c r="GU17" s="716"/>
      <c r="GV17" s="716"/>
      <c r="GW17" s="716"/>
      <c r="GX17" s="716"/>
      <c r="GY17" s="716"/>
      <c r="GZ17" s="716"/>
      <c r="HA17" s="716"/>
      <c r="HB17" s="716"/>
      <c r="HC17" s="716"/>
      <c r="HD17" s="716"/>
      <c r="HE17" s="716"/>
      <c r="HF17" s="716"/>
      <c r="HG17" s="716"/>
      <c r="HH17" s="716"/>
      <c r="HI17" s="716"/>
      <c r="HJ17" s="716"/>
      <c r="HK17" s="716"/>
      <c r="HL17" s="716"/>
      <c r="HM17" s="716"/>
      <c r="HN17" s="716"/>
      <c r="HO17" s="716"/>
      <c r="HP17" s="716"/>
      <c r="HQ17" s="716"/>
      <c r="HR17" s="716"/>
      <c r="HS17" s="716"/>
      <c r="HT17" s="716"/>
      <c r="HU17" s="716"/>
      <c r="HV17" s="716"/>
      <c r="HW17" s="716"/>
      <c r="HX17" s="716"/>
      <c r="HY17" s="716"/>
      <c r="HZ17" s="716"/>
      <c r="IA17" s="716"/>
      <c r="IB17" s="716"/>
      <c r="IC17" s="716"/>
      <c r="ID17" s="716"/>
      <c r="IE17" s="716"/>
      <c r="IF17" s="716"/>
      <c r="IG17" s="716"/>
      <c r="IH17" s="716"/>
      <c r="II17" s="716"/>
      <c r="IJ17" s="716"/>
      <c r="IK17" s="716"/>
      <c r="IL17" s="716"/>
      <c r="IM17" s="716"/>
      <c r="IN17" s="716"/>
      <c r="IO17" s="716"/>
      <c r="IP17" s="716"/>
      <c r="IQ17" s="716"/>
      <c r="IR17" s="716"/>
      <c r="IS17" s="716"/>
      <c r="IT17" s="716"/>
      <c r="IU17" s="716"/>
      <c r="IV17" s="716"/>
    </row>
    <row r="18" spans="1:256" ht="16.5" customHeight="1">
      <c r="A18" s="729" t="s">
        <v>450</v>
      </c>
      <c r="B18" s="730">
        <f>SUM(B8:B17)</f>
        <v>503292470</v>
      </c>
      <c r="C18" s="730">
        <f>SUM(C8:C15)</f>
        <v>1752495</v>
      </c>
      <c r="D18" s="730">
        <f>SUM(D8:D15)</f>
        <v>97142052</v>
      </c>
      <c r="E18" s="730">
        <f>SUM(E8:E15)</f>
        <v>129598947</v>
      </c>
      <c r="F18" s="730">
        <f>SUM(F8:F15)</f>
        <v>24024479</v>
      </c>
      <c r="G18" s="730">
        <f>SUM(G8:G15)</f>
        <v>93842286</v>
      </c>
      <c r="H18" s="730">
        <f>SUM(H8:H17)</f>
        <v>849652729</v>
      </c>
      <c r="I18" s="729" t="s">
        <v>450</v>
      </c>
      <c r="J18" s="730">
        <f aca="true" t="shared" si="2" ref="J18:O18">SUM(J8:J17)</f>
        <v>502320175</v>
      </c>
      <c r="K18" s="730">
        <f t="shared" si="2"/>
        <v>0</v>
      </c>
      <c r="L18" s="730">
        <f t="shared" si="2"/>
        <v>97142052</v>
      </c>
      <c r="M18" s="730">
        <f t="shared" si="2"/>
        <v>129598947</v>
      </c>
      <c r="N18" s="730">
        <f t="shared" si="2"/>
        <v>24024479</v>
      </c>
      <c r="O18" s="730">
        <f t="shared" si="2"/>
        <v>93842286</v>
      </c>
      <c r="P18" s="730">
        <f>SUM(P8+P11+P12+P13+P15+P17)+P9+P10+P24</f>
        <v>849652729</v>
      </c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I18" s="716"/>
      <c r="AJ18" s="716"/>
      <c r="AK18" s="716"/>
      <c r="AL18" s="716"/>
      <c r="AM18" s="716"/>
      <c r="AN18" s="716"/>
      <c r="AO18" s="716"/>
      <c r="AP18" s="716"/>
      <c r="AQ18" s="716"/>
      <c r="AR18" s="716"/>
      <c r="AS18" s="716"/>
      <c r="AT18" s="716"/>
      <c r="AU18" s="716"/>
      <c r="AV18" s="716"/>
      <c r="AW18" s="716"/>
      <c r="AX18" s="716"/>
      <c r="AY18" s="716"/>
      <c r="AZ18" s="716"/>
      <c r="BA18" s="716"/>
      <c r="BB18" s="716"/>
      <c r="BC18" s="716"/>
      <c r="BD18" s="716"/>
      <c r="BE18" s="716"/>
      <c r="BF18" s="716"/>
      <c r="BG18" s="716"/>
      <c r="BH18" s="716"/>
      <c r="BI18" s="716"/>
      <c r="BJ18" s="716"/>
      <c r="BK18" s="716"/>
      <c r="BL18" s="716"/>
      <c r="BM18" s="716"/>
      <c r="BN18" s="716"/>
      <c r="BO18" s="716"/>
      <c r="BP18" s="716"/>
      <c r="BQ18" s="716"/>
      <c r="BR18" s="716"/>
      <c r="BS18" s="716"/>
      <c r="BT18" s="716"/>
      <c r="BU18" s="716"/>
      <c r="BV18" s="716"/>
      <c r="BW18" s="716"/>
      <c r="BX18" s="716"/>
      <c r="BY18" s="716"/>
      <c r="BZ18" s="716"/>
      <c r="CA18" s="716"/>
      <c r="CB18" s="716"/>
      <c r="CC18" s="716"/>
      <c r="CD18" s="716"/>
      <c r="CE18" s="716"/>
      <c r="CF18" s="716"/>
      <c r="CG18" s="716"/>
      <c r="CH18" s="716"/>
      <c r="CI18" s="716"/>
      <c r="CJ18" s="716"/>
      <c r="CK18" s="716"/>
      <c r="CL18" s="716"/>
      <c r="CM18" s="716"/>
      <c r="CN18" s="716"/>
      <c r="CO18" s="716"/>
      <c r="CP18" s="716"/>
      <c r="CQ18" s="716"/>
      <c r="CR18" s="716"/>
      <c r="CS18" s="716"/>
      <c r="CT18" s="716"/>
      <c r="CU18" s="716"/>
      <c r="CV18" s="716"/>
      <c r="CW18" s="716"/>
      <c r="CX18" s="716"/>
      <c r="CY18" s="716"/>
      <c r="CZ18" s="716"/>
      <c r="DA18" s="716"/>
      <c r="DB18" s="716"/>
      <c r="DC18" s="716"/>
      <c r="DD18" s="716"/>
      <c r="DE18" s="716"/>
      <c r="DF18" s="716"/>
      <c r="DG18" s="716"/>
      <c r="DH18" s="716"/>
      <c r="DI18" s="716"/>
      <c r="DJ18" s="716"/>
      <c r="DK18" s="716"/>
      <c r="DL18" s="716"/>
      <c r="DM18" s="716"/>
      <c r="DN18" s="716"/>
      <c r="DO18" s="716"/>
      <c r="DP18" s="716"/>
      <c r="DQ18" s="716"/>
      <c r="DR18" s="716"/>
      <c r="DS18" s="716"/>
      <c r="DT18" s="716"/>
      <c r="DU18" s="716"/>
      <c r="DV18" s="716"/>
      <c r="DW18" s="716"/>
      <c r="DX18" s="716"/>
      <c r="DY18" s="716"/>
      <c r="DZ18" s="716"/>
      <c r="EA18" s="716"/>
      <c r="EB18" s="716"/>
      <c r="EC18" s="716"/>
      <c r="ED18" s="716"/>
      <c r="EE18" s="716"/>
      <c r="EF18" s="716"/>
      <c r="EG18" s="716"/>
      <c r="EH18" s="716"/>
      <c r="EI18" s="716"/>
      <c r="EJ18" s="716"/>
      <c r="EK18" s="716"/>
      <c r="EL18" s="716"/>
      <c r="EM18" s="716"/>
      <c r="EN18" s="716"/>
      <c r="EO18" s="716"/>
      <c r="EP18" s="716"/>
      <c r="EQ18" s="716"/>
      <c r="ER18" s="716"/>
      <c r="ES18" s="716"/>
      <c r="ET18" s="716"/>
      <c r="EU18" s="716"/>
      <c r="EV18" s="716"/>
      <c r="EW18" s="716"/>
      <c r="EX18" s="716"/>
      <c r="EY18" s="716"/>
      <c r="EZ18" s="716"/>
      <c r="FA18" s="716"/>
      <c r="FB18" s="716"/>
      <c r="FC18" s="716"/>
      <c r="FD18" s="716"/>
      <c r="FE18" s="716"/>
      <c r="FF18" s="716"/>
      <c r="FG18" s="716"/>
      <c r="FH18" s="716"/>
      <c r="FI18" s="716"/>
      <c r="FJ18" s="716"/>
      <c r="FK18" s="716"/>
      <c r="FL18" s="716"/>
      <c r="FM18" s="716"/>
      <c r="FN18" s="716"/>
      <c r="FO18" s="716"/>
      <c r="FP18" s="716"/>
      <c r="FQ18" s="716"/>
      <c r="FR18" s="716"/>
      <c r="FS18" s="716"/>
      <c r="FT18" s="716"/>
      <c r="FU18" s="716"/>
      <c r="FV18" s="716"/>
      <c r="FW18" s="716"/>
      <c r="FX18" s="716"/>
      <c r="FY18" s="716"/>
      <c r="FZ18" s="716"/>
      <c r="GA18" s="716"/>
      <c r="GB18" s="716"/>
      <c r="GC18" s="716"/>
      <c r="GD18" s="716"/>
      <c r="GE18" s="716"/>
      <c r="GF18" s="716"/>
      <c r="GG18" s="716"/>
      <c r="GH18" s="716"/>
      <c r="GI18" s="716"/>
      <c r="GJ18" s="716"/>
      <c r="GK18" s="716"/>
      <c r="GL18" s="716"/>
      <c r="GM18" s="716"/>
      <c r="GN18" s="716"/>
      <c r="GO18" s="716"/>
      <c r="GP18" s="716"/>
      <c r="GQ18" s="716"/>
      <c r="GR18" s="716"/>
      <c r="GS18" s="716"/>
      <c r="GT18" s="716"/>
      <c r="GU18" s="716"/>
      <c r="GV18" s="716"/>
      <c r="GW18" s="716"/>
      <c r="GX18" s="716"/>
      <c r="GY18" s="716"/>
      <c r="GZ18" s="716"/>
      <c r="HA18" s="716"/>
      <c r="HB18" s="716"/>
      <c r="HC18" s="716"/>
      <c r="HD18" s="716"/>
      <c r="HE18" s="716"/>
      <c r="HF18" s="716"/>
      <c r="HG18" s="716"/>
      <c r="HH18" s="716"/>
      <c r="HI18" s="716"/>
      <c r="HJ18" s="716"/>
      <c r="HK18" s="716"/>
      <c r="HL18" s="716"/>
      <c r="HM18" s="716"/>
      <c r="HN18" s="716"/>
      <c r="HO18" s="716"/>
      <c r="HP18" s="716"/>
      <c r="HQ18" s="716"/>
      <c r="HR18" s="716"/>
      <c r="HS18" s="716"/>
      <c r="HT18" s="716"/>
      <c r="HU18" s="716"/>
      <c r="HV18" s="716"/>
      <c r="HW18" s="716"/>
      <c r="HX18" s="716"/>
      <c r="HY18" s="716"/>
      <c r="HZ18" s="716"/>
      <c r="IA18" s="716"/>
      <c r="IB18" s="716"/>
      <c r="IC18" s="716"/>
      <c r="ID18" s="716"/>
      <c r="IE18" s="716"/>
      <c r="IF18" s="716"/>
      <c r="IG18" s="716"/>
      <c r="IH18" s="716"/>
      <c r="II18" s="716"/>
      <c r="IJ18" s="716"/>
      <c r="IK18" s="716"/>
      <c r="IL18" s="716"/>
      <c r="IM18" s="716"/>
      <c r="IN18" s="716"/>
      <c r="IO18" s="716"/>
      <c r="IP18" s="716"/>
      <c r="IQ18" s="716"/>
      <c r="IR18" s="716"/>
      <c r="IS18" s="716"/>
      <c r="IT18" s="716"/>
      <c r="IU18" s="716"/>
      <c r="IV18" s="716"/>
    </row>
    <row r="19" spans="1:256" ht="16.5" customHeight="1">
      <c r="A19" s="1741"/>
      <c r="B19" s="1741"/>
      <c r="C19" s="1741"/>
      <c r="D19" s="1741"/>
      <c r="E19" s="1741"/>
      <c r="F19" s="1741"/>
      <c r="G19" s="1741"/>
      <c r="H19" s="1741"/>
      <c r="I19" s="1741"/>
      <c r="J19" s="1741"/>
      <c r="K19" s="1741"/>
      <c r="L19" s="1741"/>
      <c r="M19" s="1741"/>
      <c r="N19" s="1741"/>
      <c r="O19" s="1741"/>
      <c r="P19" s="1741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6"/>
      <c r="AL19" s="716"/>
      <c r="AM19" s="716"/>
      <c r="AN19" s="716"/>
      <c r="AO19" s="716"/>
      <c r="AP19" s="716"/>
      <c r="AQ19" s="716"/>
      <c r="AR19" s="716"/>
      <c r="AS19" s="716"/>
      <c r="AT19" s="716"/>
      <c r="AU19" s="716"/>
      <c r="AV19" s="716"/>
      <c r="AW19" s="716"/>
      <c r="AX19" s="716"/>
      <c r="AY19" s="716"/>
      <c r="AZ19" s="716"/>
      <c r="BA19" s="716"/>
      <c r="BB19" s="716"/>
      <c r="BC19" s="716"/>
      <c r="BD19" s="716"/>
      <c r="BE19" s="716"/>
      <c r="BF19" s="716"/>
      <c r="BG19" s="716"/>
      <c r="BH19" s="716"/>
      <c r="BI19" s="716"/>
      <c r="BJ19" s="716"/>
      <c r="BK19" s="716"/>
      <c r="BL19" s="716"/>
      <c r="BM19" s="716"/>
      <c r="BN19" s="716"/>
      <c r="BO19" s="716"/>
      <c r="BP19" s="716"/>
      <c r="BQ19" s="716"/>
      <c r="BR19" s="716"/>
      <c r="BS19" s="716"/>
      <c r="BT19" s="716"/>
      <c r="BU19" s="716"/>
      <c r="BV19" s="716"/>
      <c r="BW19" s="716"/>
      <c r="BX19" s="716"/>
      <c r="BY19" s="716"/>
      <c r="BZ19" s="716"/>
      <c r="CA19" s="716"/>
      <c r="CB19" s="716"/>
      <c r="CC19" s="716"/>
      <c r="CD19" s="716"/>
      <c r="CE19" s="716"/>
      <c r="CF19" s="716"/>
      <c r="CG19" s="716"/>
      <c r="CH19" s="716"/>
      <c r="CI19" s="716"/>
      <c r="CJ19" s="716"/>
      <c r="CK19" s="716"/>
      <c r="CL19" s="716"/>
      <c r="CM19" s="716"/>
      <c r="CN19" s="716"/>
      <c r="CO19" s="716"/>
      <c r="CP19" s="716"/>
      <c r="CQ19" s="716"/>
      <c r="CR19" s="716"/>
      <c r="CS19" s="716"/>
      <c r="CT19" s="716"/>
      <c r="CU19" s="716"/>
      <c r="CV19" s="716"/>
      <c r="CW19" s="716"/>
      <c r="CX19" s="716"/>
      <c r="CY19" s="716"/>
      <c r="CZ19" s="716"/>
      <c r="DA19" s="716"/>
      <c r="DB19" s="716"/>
      <c r="DC19" s="716"/>
      <c r="DD19" s="716"/>
      <c r="DE19" s="716"/>
      <c r="DF19" s="716"/>
      <c r="DG19" s="716"/>
      <c r="DH19" s="716"/>
      <c r="DI19" s="716"/>
      <c r="DJ19" s="716"/>
      <c r="DK19" s="716"/>
      <c r="DL19" s="716"/>
      <c r="DM19" s="716"/>
      <c r="DN19" s="716"/>
      <c r="DO19" s="716"/>
      <c r="DP19" s="716"/>
      <c r="DQ19" s="716"/>
      <c r="DR19" s="716"/>
      <c r="DS19" s="716"/>
      <c r="DT19" s="716"/>
      <c r="DU19" s="716"/>
      <c r="DV19" s="716"/>
      <c r="DW19" s="716"/>
      <c r="DX19" s="716"/>
      <c r="DY19" s="716"/>
      <c r="DZ19" s="716"/>
      <c r="EA19" s="716"/>
      <c r="EB19" s="716"/>
      <c r="EC19" s="716"/>
      <c r="ED19" s="716"/>
      <c r="EE19" s="716"/>
      <c r="EF19" s="716"/>
      <c r="EG19" s="716"/>
      <c r="EH19" s="716"/>
      <c r="EI19" s="716"/>
      <c r="EJ19" s="716"/>
      <c r="EK19" s="716"/>
      <c r="EL19" s="716"/>
      <c r="EM19" s="716"/>
      <c r="EN19" s="716"/>
      <c r="EO19" s="716"/>
      <c r="EP19" s="716"/>
      <c r="EQ19" s="716"/>
      <c r="ER19" s="716"/>
      <c r="ES19" s="716"/>
      <c r="ET19" s="716"/>
      <c r="EU19" s="716"/>
      <c r="EV19" s="716"/>
      <c r="EW19" s="716"/>
      <c r="EX19" s="716"/>
      <c r="EY19" s="716"/>
      <c r="EZ19" s="716"/>
      <c r="FA19" s="716"/>
      <c r="FB19" s="716"/>
      <c r="FC19" s="716"/>
      <c r="FD19" s="716"/>
      <c r="FE19" s="716"/>
      <c r="FF19" s="716"/>
      <c r="FG19" s="716"/>
      <c r="FH19" s="716"/>
      <c r="FI19" s="716"/>
      <c r="FJ19" s="716"/>
      <c r="FK19" s="716"/>
      <c r="FL19" s="716"/>
      <c r="FM19" s="716"/>
      <c r="FN19" s="716"/>
      <c r="FO19" s="716"/>
      <c r="FP19" s="716"/>
      <c r="FQ19" s="716"/>
      <c r="FR19" s="716"/>
      <c r="FS19" s="716"/>
      <c r="FT19" s="716"/>
      <c r="FU19" s="716"/>
      <c r="FV19" s="716"/>
      <c r="FW19" s="716"/>
      <c r="FX19" s="716"/>
      <c r="FY19" s="716"/>
      <c r="FZ19" s="716"/>
      <c r="GA19" s="716"/>
      <c r="GB19" s="716"/>
      <c r="GC19" s="716"/>
      <c r="GD19" s="716"/>
      <c r="GE19" s="716"/>
      <c r="GF19" s="716"/>
      <c r="GG19" s="716"/>
      <c r="GH19" s="716"/>
      <c r="GI19" s="716"/>
      <c r="GJ19" s="716"/>
      <c r="GK19" s="716"/>
      <c r="GL19" s="716"/>
      <c r="GM19" s="716"/>
      <c r="GN19" s="716"/>
      <c r="GO19" s="716"/>
      <c r="GP19" s="716"/>
      <c r="GQ19" s="716"/>
      <c r="GR19" s="716"/>
      <c r="GS19" s="716"/>
      <c r="GT19" s="716"/>
      <c r="GU19" s="716"/>
      <c r="GV19" s="716"/>
      <c r="GW19" s="716"/>
      <c r="GX19" s="716"/>
      <c r="GY19" s="716"/>
      <c r="GZ19" s="716"/>
      <c r="HA19" s="716"/>
      <c r="HB19" s="716"/>
      <c r="HC19" s="716"/>
      <c r="HD19" s="716"/>
      <c r="HE19" s="716"/>
      <c r="HF19" s="716"/>
      <c r="HG19" s="716"/>
      <c r="HH19" s="716"/>
      <c r="HI19" s="716"/>
      <c r="HJ19" s="716"/>
      <c r="HK19" s="716"/>
      <c r="HL19" s="716"/>
      <c r="HM19" s="716"/>
      <c r="HN19" s="716"/>
      <c r="HO19" s="716"/>
      <c r="HP19" s="716"/>
      <c r="HQ19" s="716"/>
      <c r="HR19" s="716"/>
      <c r="HS19" s="716"/>
      <c r="HT19" s="716"/>
      <c r="HU19" s="716"/>
      <c r="HV19" s="716"/>
      <c r="HW19" s="716"/>
      <c r="HX19" s="716"/>
      <c r="HY19" s="716"/>
      <c r="HZ19" s="716"/>
      <c r="IA19" s="716"/>
      <c r="IB19" s="716"/>
      <c r="IC19" s="716"/>
      <c r="ID19" s="716"/>
      <c r="IE19" s="716"/>
      <c r="IF19" s="716"/>
      <c r="IG19" s="716"/>
      <c r="IH19" s="716"/>
      <c r="II19" s="716"/>
      <c r="IJ19" s="716"/>
      <c r="IK19" s="716"/>
      <c r="IL19" s="716"/>
      <c r="IM19" s="716"/>
      <c r="IN19" s="716"/>
      <c r="IO19" s="716"/>
      <c r="IP19" s="716"/>
      <c r="IQ19" s="716"/>
      <c r="IR19" s="716"/>
      <c r="IS19" s="716"/>
      <c r="IT19" s="716"/>
      <c r="IU19" s="716"/>
      <c r="IV19" s="716"/>
    </row>
    <row r="20" spans="1:256" ht="16.5" customHeight="1">
      <c r="A20" s="718" t="s">
        <v>15</v>
      </c>
      <c r="B20" s="731"/>
      <c r="C20" s="731"/>
      <c r="D20" s="731"/>
      <c r="E20" s="731"/>
      <c r="F20" s="731"/>
      <c r="G20" s="731"/>
      <c r="H20" s="731"/>
      <c r="I20" s="718" t="s">
        <v>13</v>
      </c>
      <c r="J20" s="731"/>
      <c r="K20" s="731"/>
      <c r="L20" s="731"/>
      <c r="M20" s="731"/>
      <c r="N20" s="731"/>
      <c r="O20" s="731"/>
      <c r="P20" s="731"/>
      <c r="Q20" s="716"/>
      <c r="R20" s="716"/>
      <c r="S20" s="716"/>
      <c r="T20" s="716"/>
      <c r="U20" s="716"/>
      <c r="V20" s="716"/>
      <c r="W20" s="716"/>
      <c r="X20" s="716"/>
      <c r="Y20" s="716"/>
      <c r="Z20" s="716"/>
      <c r="AA20" s="716"/>
      <c r="AB20" s="716"/>
      <c r="AC20" s="716"/>
      <c r="AD20" s="716"/>
      <c r="AE20" s="716"/>
      <c r="AF20" s="716"/>
      <c r="AG20" s="716"/>
      <c r="AH20" s="716"/>
      <c r="AI20" s="716"/>
      <c r="AJ20" s="716"/>
      <c r="AK20" s="716"/>
      <c r="AL20" s="716"/>
      <c r="AM20" s="716"/>
      <c r="AN20" s="716"/>
      <c r="AO20" s="716"/>
      <c r="AP20" s="716"/>
      <c r="AQ20" s="716"/>
      <c r="AR20" s="716"/>
      <c r="AS20" s="716"/>
      <c r="AT20" s="716"/>
      <c r="AU20" s="716"/>
      <c r="AV20" s="716"/>
      <c r="AW20" s="716"/>
      <c r="AX20" s="716"/>
      <c r="AY20" s="716"/>
      <c r="AZ20" s="716"/>
      <c r="BA20" s="716"/>
      <c r="BB20" s="716"/>
      <c r="BC20" s="716"/>
      <c r="BD20" s="716"/>
      <c r="BE20" s="716"/>
      <c r="BF20" s="716"/>
      <c r="BG20" s="716"/>
      <c r="BH20" s="716"/>
      <c r="BI20" s="716"/>
      <c r="BJ20" s="716"/>
      <c r="BK20" s="716"/>
      <c r="BL20" s="716"/>
      <c r="BM20" s="716"/>
      <c r="BN20" s="716"/>
      <c r="BO20" s="716"/>
      <c r="BP20" s="716"/>
      <c r="BQ20" s="716"/>
      <c r="BR20" s="716"/>
      <c r="BS20" s="716"/>
      <c r="BT20" s="716"/>
      <c r="BU20" s="716"/>
      <c r="BV20" s="716"/>
      <c r="BW20" s="716"/>
      <c r="BX20" s="716"/>
      <c r="BY20" s="716"/>
      <c r="BZ20" s="716"/>
      <c r="CA20" s="716"/>
      <c r="CB20" s="716"/>
      <c r="CC20" s="716"/>
      <c r="CD20" s="716"/>
      <c r="CE20" s="716"/>
      <c r="CF20" s="716"/>
      <c r="CG20" s="716"/>
      <c r="CH20" s="716"/>
      <c r="CI20" s="716"/>
      <c r="CJ20" s="716"/>
      <c r="CK20" s="716"/>
      <c r="CL20" s="716"/>
      <c r="CM20" s="716"/>
      <c r="CN20" s="716"/>
      <c r="CO20" s="716"/>
      <c r="CP20" s="716"/>
      <c r="CQ20" s="716"/>
      <c r="CR20" s="716"/>
      <c r="CS20" s="716"/>
      <c r="CT20" s="716"/>
      <c r="CU20" s="716"/>
      <c r="CV20" s="716"/>
      <c r="CW20" s="716"/>
      <c r="CX20" s="716"/>
      <c r="CY20" s="716"/>
      <c r="CZ20" s="716"/>
      <c r="DA20" s="716"/>
      <c r="DB20" s="716"/>
      <c r="DC20" s="716"/>
      <c r="DD20" s="716"/>
      <c r="DE20" s="716"/>
      <c r="DF20" s="716"/>
      <c r="DG20" s="716"/>
      <c r="DH20" s="716"/>
      <c r="DI20" s="716"/>
      <c r="DJ20" s="716"/>
      <c r="DK20" s="716"/>
      <c r="DL20" s="716"/>
      <c r="DM20" s="716"/>
      <c r="DN20" s="716"/>
      <c r="DO20" s="716"/>
      <c r="DP20" s="716"/>
      <c r="DQ20" s="716"/>
      <c r="DR20" s="716"/>
      <c r="DS20" s="716"/>
      <c r="DT20" s="716"/>
      <c r="DU20" s="716"/>
      <c r="DV20" s="716"/>
      <c r="DW20" s="716"/>
      <c r="DX20" s="716"/>
      <c r="DY20" s="716"/>
      <c r="DZ20" s="716"/>
      <c r="EA20" s="716"/>
      <c r="EB20" s="716"/>
      <c r="EC20" s="716"/>
      <c r="ED20" s="716"/>
      <c r="EE20" s="716"/>
      <c r="EF20" s="716"/>
      <c r="EG20" s="716"/>
      <c r="EH20" s="716"/>
      <c r="EI20" s="716"/>
      <c r="EJ20" s="716"/>
      <c r="EK20" s="716"/>
      <c r="EL20" s="716"/>
      <c r="EM20" s="716"/>
      <c r="EN20" s="716"/>
      <c r="EO20" s="716"/>
      <c r="EP20" s="716"/>
      <c r="EQ20" s="716"/>
      <c r="ER20" s="716"/>
      <c r="ES20" s="716"/>
      <c r="ET20" s="716"/>
      <c r="EU20" s="716"/>
      <c r="EV20" s="716"/>
      <c r="EW20" s="716"/>
      <c r="EX20" s="716"/>
      <c r="EY20" s="716"/>
      <c r="EZ20" s="716"/>
      <c r="FA20" s="716"/>
      <c r="FB20" s="716"/>
      <c r="FC20" s="716"/>
      <c r="FD20" s="716"/>
      <c r="FE20" s="716"/>
      <c r="FF20" s="716"/>
      <c r="FG20" s="716"/>
      <c r="FH20" s="716"/>
      <c r="FI20" s="716"/>
      <c r="FJ20" s="716"/>
      <c r="FK20" s="716"/>
      <c r="FL20" s="716"/>
      <c r="FM20" s="716"/>
      <c r="FN20" s="716"/>
      <c r="FO20" s="716"/>
      <c r="FP20" s="716"/>
      <c r="FQ20" s="716"/>
      <c r="FR20" s="716"/>
      <c r="FS20" s="716"/>
      <c r="FT20" s="716"/>
      <c r="FU20" s="716"/>
      <c r="FV20" s="716"/>
      <c r="FW20" s="716"/>
      <c r="FX20" s="716"/>
      <c r="FY20" s="716"/>
      <c r="FZ20" s="716"/>
      <c r="GA20" s="716"/>
      <c r="GB20" s="716"/>
      <c r="GC20" s="716"/>
      <c r="GD20" s="716"/>
      <c r="GE20" s="716"/>
      <c r="GF20" s="716"/>
      <c r="GG20" s="716"/>
      <c r="GH20" s="716"/>
      <c r="GI20" s="716"/>
      <c r="GJ20" s="716"/>
      <c r="GK20" s="716"/>
      <c r="GL20" s="716"/>
      <c r="GM20" s="716"/>
      <c r="GN20" s="716"/>
      <c r="GO20" s="716"/>
      <c r="GP20" s="716"/>
      <c r="GQ20" s="716"/>
      <c r="GR20" s="716"/>
      <c r="GS20" s="716"/>
      <c r="GT20" s="716"/>
      <c r="GU20" s="716"/>
      <c r="GV20" s="716"/>
      <c r="GW20" s="716"/>
      <c r="GX20" s="716"/>
      <c r="GY20" s="716"/>
      <c r="GZ20" s="716"/>
      <c r="HA20" s="716"/>
      <c r="HB20" s="716"/>
      <c r="HC20" s="716"/>
      <c r="HD20" s="716"/>
      <c r="HE20" s="716"/>
      <c r="HF20" s="716"/>
      <c r="HG20" s="716"/>
      <c r="HH20" s="716"/>
      <c r="HI20" s="716"/>
      <c r="HJ20" s="716"/>
      <c r="HK20" s="716"/>
      <c r="HL20" s="716"/>
      <c r="HM20" s="716"/>
      <c r="HN20" s="716"/>
      <c r="HO20" s="716"/>
      <c r="HP20" s="716"/>
      <c r="HQ20" s="716"/>
      <c r="HR20" s="716"/>
      <c r="HS20" s="716"/>
      <c r="HT20" s="716"/>
      <c r="HU20" s="716"/>
      <c r="HV20" s="716"/>
      <c r="HW20" s="716"/>
      <c r="HX20" s="716"/>
      <c r="HY20" s="716"/>
      <c r="HZ20" s="716"/>
      <c r="IA20" s="716"/>
      <c r="IB20" s="716"/>
      <c r="IC20" s="716"/>
      <c r="ID20" s="716"/>
      <c r="IE20" s="716"/>
      <c r="IF20" s="716"/>
      <c r="IG20" s="716"/>
      <c r="IH20" s="716"/>
      <c r="II20" s="716"/>
      <c r="IJ20" s="716"/>
      <c r="IK20" s="716"/>
      <c r="IL20" s="716"/>
      <c r="IM20" s="716"/>
      <c r="IN20" s="716"/>
      <c r="IO20" s="716"/>
      <c r="IP20" s="716"/>
      <c r="IQ20" s="716"/>
      <c r="IR20" s="716"/>
      <c r="IS20" s="716"/>
      <c r="IT20" s="716"/>
      <c r="IU20" s="716"/>
      <c r="IV20" s="716"/>
    </row>
    <row r="21" spans="1:256" ht="29.25" customHeight="1">
      <c r="A21" s="721" t="s">
        <v>268</v>
      </c>
      <c r="B21" s="722">
        <f>SUM('19 önkormányzat'!I143)</f>
        <v>19811383</v>
      </c>
      <c r="C21" s="722"/>
      <c r="D21" s="722">
        <f>SUM('17. Hivatal'!I51)</f>
        <v>724790</v>
      </c>
      <c r="E21" s="722">
        <v>935505</v>
      </c>
      <c r="F21" s="722">
        <v>500000</v>
      </c>
      <c r="G21" s="722">
        <v>1000000</v>
      </c>
      <c r="H21" s="722">
        <f aca="true" t="shared" si="3" ref="H21:H26">SUM(B21:G21)</f>
        <v>22971678</v>
      </c>
      <c r="I21" s="721" t="s">
        <v>167</v>
      </c>
      <c r="J21" s="722"/>
      <c r="K21" s="722"/>
      <c r="L21" s="722"/>
      <c r="M21" s="722"/>
      <c r="N21" s="722"/>
      <c r="O21" s="722"/>
      <c r="P21" s="732">
        <f aca="true" t="shared" si="4" ref="P21:P26">SUM(J21:O21)</f>
        <v>0</v>
      </c>
      <c r="Q21" s="716"/>
      <c r="R21" s="716"/>
      <c r="S21" s="716"/>
      <c r="T21" s="716"/>
      <c r="U21" s="716"/>
      <c r="V21" s="716"/>
      <c r="W21" s="716"/>
      <c r="X21" s="716"/>
      <c r="Y21" s="716"/>
      <c r="Z21" s="716"/>
      <c r="AA21" s="716"/>
      <c r="AB21" s="716"/>
      <c r="AC21" s="716"/>
      <c r="AD21" s="716"/>
      <c r="AE21" s="716"/>
      <c r="AF21" s="716"/>
      <c r="AG21" s="716"/>
      <c r="AH21" s="716"/>
      <c r="AI21" s="716"/>
      <c r="AJ21" s="716"/>
      <c r="AK21" s="716"/>
      <c r="AL21" s="716"/>
      <c r="AM21" s="716"/>
      <c r="AN21" s="716"/>
      <c r="AO21" s="716"/>
      <c r="AP21" s="716"/>
      <c r="AQ21" s="716"/>
      <c r="AR21" s="716"/>
      <c r="AS21" s="716"/>
      <c r="AT21" s="716"/>
      <c r="AU21" s="716"/>
      <c r="AV21" s="716"/>
      <c r="AW21" s="716"/>
      <c r="AX21" s="716"/>
      <c r="AY21" s="716"/>
      <c r="AZ21" s="716"/>
      <c r="BA21" s="716"/>
      <c r="BB21" s="716"/>
      <c r="BC21" s="716"/>
      <c r="BD21" s="716"/>
      <c r="BE21" s="716"/>
      <c r="BF21" s="716"/>
      <c r="BG21" s="716"/>
      <c r="BH21" s="716"/>
      <c r="BI21" s="716"/>
      <c r="BJ21" s="716"/>
      <c r="BK21" s="716"/>
      <c r="BL21" s="716"/>
      <c r="BM21" s="716"/>
      <c r="BN21" s="716"/>
      <c r="BO21" s="716"/>
      <c r="BP21" s="716"/>
      <c r="BQ21" s="716"/>
      <c r="BR21" s="716"/>
      <c r="BS21" s="716"/>
      <c r="BT21" s="716"/>
      <c r="BU21" s="716"/>
      <c r="BV21" s="716"/>
      <c r="BW21" s="716"/>
      <c r="BX21" s="716"/>
      <c r="BY21" s="716"/>
      <c r="BZ21" s="716"/>
      <c r="CA21" s="716"/>
      <c r="CB21" s="716"/>
      <c r="CC21" s="716"/>
      <c r="CD21" s="716"/>
      <c r="CE21" s="716"/>
      <c r="CF21" s="716"/>
      <c r="CG21" s="716"/>
      <c r="CH21" s="716"/>
      <c r="CI21" s="716"/>
      <c r="CJ21" s="716"/>
      <c r="CK21" s="716"/>
      <c r="CL21" s="716"/>
      <c r="CM21" s="716"/>
      <c r="CN21" s="716"/>
      <c r="CO21" s="716"/>
      <c r="CP21" s="716"/>
      <c r="CQ21" s="716"/>
      <c r="CR21" s="716"/>
      <c r="CS21" s="716"/>
      <c r="CT21" s="716"/>
      <c r="CU21" s="716"/>
      <c r="CV21" s="716"/>
      <c r="CW21" s="716"/>
      <c r="CX21" s="716"/>
      <c r="CY21" s="716"/>
      <c r="CZ21" s="716"/>
      <c r="DA21" s="716"/>
      <c r="DB21" s="716"/>
      <c r="DC21" s="716"/>
      <c r="DD21" s="716"/>
      <c r="DE21" s="716"/>
      <c r="DF21" s="716"/>
      <c r="DG21" s="716"/>
      <c r="DH21" s="716"/>
      <c r="DI21" s="716"/>
      <c r="DJ21" s="716"/>
      <c r="DK21" s="716"/>
      <c r="DL21" s="716"/>
      <c r="DM21" s="716"/>
      <c r="DN21" s="716"/>
      <c r="DO21" s="716"/>
      <c r="DP21" s="716"/>
      <c r="DQ21" s="716"/>
      <c r="DR21" s="716"/>
      <c r="DS21" s="716"/>
      <c r="DT21" s="716"/>
      <c r="DU21" s="716"/>
      <c r="DV21" s="716"/>
      <c r="DW21" s="716"/>
      <c r="DX21" s="716"/>
      <c r="DY21" s="716"/>
      <c r="DZ21" s="716"/>
      <c r="EA21" s="716"/>
      <c r="EB21" s="716"/>
      <c r="EC21" s="716"/>
      <c r="ED21" s="716"/>
      <c r="EE21" s="716"/>
      <c r="EF21" s="716"/>
      <c r="EG21" s="716"/>
      <c r="EH21" s="716"/>
      <c r="EI21" s="716"/>
      <c r="EJ21" s="716"/>
      <c r="EK21" s="716"/>
      <c r="EL21" s="716"/>
      <c r="EM21" s="716"/>
      <c r="EN21" s="716"/>
      <c r="EO21" s="716"/>
      <c r="EP21" s="716"/>
      <c r="EQ21" s="716"/>
      <c r="ER21" s="716"/>
      <c r="ES21" s="716"/>
      <c r="ET21" s="716"/>
      <c r="EU21" s="716"/>
      <c r="EV21" s="716"/>
      <c r="EW21" s="716"/>
      <c r="EX21" s="716"/>
      <c r="EY21" s="716"/>
      <c r="EZ21" s="716"/>
      <c r="FA21" s="716"/>
      <c r="FB21" s="716"/>
      <c r="FC21" s="716"/>
      <c r="FD21" s="716"/>
      <c r="FE21" s="716"/>
      <c r="FF21" s="716"/>
      <c r="FG21" s="716"/>
      <c r="FH21" s="716"/>
      <c r="FI21" s="716"/>
      <c r="FJ21" s="716"/>
      <c r="FK21" s="716"/>
      <c r="FL21" s="716"/>
      <c r="FM21" s="716"/>
      <c r="FN21" s="716"/>
      <c r="FO21" s="716"/>
      <c r="FP21" s="716"/>
      <c r="FQ21" s="716"/>
      <c r="FR21" s="716"/>
      <c r="FS21" s="716"/>
      <c r="FT21" s="716"/>
      <c r="FU21" s="716"/>
      <c r="FV21" s="716"/>
      <c r="FW21" s="716"/>
      <c r="FX21" s="716"/>
      <c r="FY21" s="716"/>
      <c r="FZ21" s="716"/>
      <c r="GA21" s="716"/>
      <c r="GB21" s="716"/>
      <c r="GC21" s="716"/>
      <c r="GD21" s="716"/>
      <c r="GE21" s="716"/>
      <c r="GF21" s="716"/>
      <c r="GG21" s="716"/>
      <c r="GH21" s="716"/>
      <c r="GI21" s="716"/>
      <c r="GJ21" s="716"/>
      <c r="GK21" s="716"/>
      <c r="GL21" s="716"/>
      <c r="GM21" s="716"/>
      <c r="GN21" s="716"/>
      <c r="GO21" s="716"/>
      <c r="GP21" s="716"/>
      <c r="GQ21" s="716"/>
      <c r="GR21" s="716"/>
      <c r="GS21" s="716"/>
      <c r="GT21" s="716"/>
      <c r="GU21" s="716"/>
      <c r="GV21" s="716"/>
      <c r="GW21" s="716"/>
      <c r="GX21" s="716"/>
      <c r="GY21" s="716"/>
      <c r="GZ21" s="716"/>
      <c r="HA21" s="716"/>
      <c r="HB21" s="716"/>
      <c r="HC21" s="716"/>
      <c r="HD21" s="716"/>
      <c r="HE21" s="716"/>
      <c r="HF21" s="716"/>
      <c r="HG21" s="716"/>
      <c r="HH21" s="716"/>
      <c r="HI21" s="716"/>
      <c r="HJ21" s="716"/>
      <c r="HK21" s="716"/>
      <c r="HL21" s="716"/>
      <c r="HM21" s="716"/>
      <c r="HN21" s="716"/>
      <c r="HO21" s="716"/>
      <c r="HP21" s="716"/>
      <c r="HQ21" s="716"/>
      <c r="HR21" s="716"/>
      <c r="HS21" s="716"/>
      <c r="HT21" s="716"/>
      <c r="HU21" s="716"/>
      <c r="HV21" s="716"/>
      <c r="HW21" s="716"/>
      <c r="HX21" s="716"/>
      <c r="HY21" s="716"/>
      <c r="HZ21" s="716"/>
      <c r="IA21" s="716"/>
      <c r="IB21" s="716"/>
      <c r="IC21" s="716"/>
      <c r="ID21" s="716"/>
      <c r="IE21" s="716"/>
      <c r="IF21" s="716"/>
      <c r="IG21" s="716"/>
      <c r="IH21" s="716"/>
      <c r="II21" s="716"/>
      <c r="IJ21" s="716"/>
      <c r="IK21" s="716"/>
      <c r="IL21" s="716"/>
      <c r="IM21" s="716"/>
      <c r="IN21" s="716"/>
      <c r="IO21" s="716"/>
      <c r="IP21" s="716"/>
      <c r="IQ21" s="716"/>
      <c r="IR21" s="716"/>
      <c r="IS21" s="716"/>
      <c r="IT21" s="716"/>
      <c r="IU21" s="716"/>
      <c r="IV21" s="716"/>
    </row>
    <row r="22" spans="1:256" ht="16.5" customHeight="1">
      <c r="A22" s="721" t="s">
        <v>429</v>
      </c>
      <c r="B22" s="722">
        <f>SUM('19 önkormányzat'!I144)</f>
        <v>1300000</v>
      </c>
      <c r="C22" s="722"/>
      <c r="D22" s="723"/>
      <c r="E22" s="723"/>
      <c r="F22" s="723"/>
      <c r="G22" s="722"/>
      <c r="H22" s="722">
        <f t="shared" si="3"/>
        <v>1300000</v>
      </c>
      <c r="I22" s="721" t="s">
        <v>13</v>
      </c>
      <c r="J22" s="722">
        <f>SUM('19 önkormányzat'!I41)</f>
        <v>38152932</v>
      </c>
      <c r="K22" s="722"/>
      <c r="L22" s="722"/>
      <c r="M22" s="722"/>
      <c r="N22" s="722"/>
      <c r="O22" s="722"/>
      <c r="P22" s="732">
        <f t="shared" si="4"/>
        <v>38152932</v>
      </c>
      <c r="Q22" s="716"/>
      <c r="R22" s="716"/>
      <c r="S22" s="716"/>
      <c r="T22" s="716"/>
      <c r="U22" s="716"/>
      <c r="V22" s="716"/>
      <c r="W22" s="716"/>
      <c r="X22" s="716"/>
      <c r="Y22" s="716"/>
      <c r="Z22" s="716"/>
      <c r="AA22" s="716"/>
      <c r="AB22" s="716"/>
      <c r="AC22" s="716"/>
      <c r="AD22" s="716"/>
      <c r="AE22" s="716"/>
      <c r="AF22" s="716"/>
      <c r="AG22" s="716"/>
      <c r="AH22" s="716"/>
      <c r="AI22" s="716"/>
      <c r="AJ22" s="716"/>
      <c r="AK22" s="716"/>
      <c r="AL22" s="716"/>
      <c r="AM22" s="716"/>
      <c r="AN22" s="716"/>
      <c r="AO22" s="716"/>
      <c r="AP22" s="716"/>
      <c r="AQ22" s="716"/>
      <c r="AR22" s="716"/>
      <c r="AS22" s="716"/>
      <c r="AT22" s="716"/>
      <c r="AU22" s="716"/>
      <c r="AV22" s="716"/>
      <c r="AW22" s="716"/>
      <c r="AX22" s="716"/>
      <c r="AY22" s="716"/>
      <c r="AZ22" s="716"/>
      <c r="BA22" s="716"/>
      <c r="BB22" s="716"/>
      <c r="BC22" s="716"/>
      <c r="BD22" s="716"/>
      <c r="BE22" s="716"/>
      <c r="BF22" s="716"/>
      <c r="BG22" s="716"/>
      <c r="BH22" s="716"/>
      <c r="BI22" s="716"/>
      <c r="BJ22" s="716"/>
      <c r="BK22" s="716"/>
      <c r="BL22" s="716"/>
      <c r="BM22" s="716"/>
      <c r="BN22" s="716"/>
      <c r="BO22" s="716"/>
      <c r="BP22" s="716"/>
      <c r="BQ22" s="716"/>
      <c r="BR22" s="716"/>
      <c r="BS22" s="716"/>
      <c r="BT22" s="716"/>
      <c r="BU22" s="716"/>
      <c r="BV22" s="716"/>
      <c r="BW22" s="716"/>
      <c r="BX22" s="716"/>
      <c r="BY22" s="716"/>
      <c r="BZ22" s="716"/>
      <c r="CA22" s="716"/>
      <c r="CB22" s="716"/>
      <c r="CC22" s="716"/>
      <c r="CD22" s="716"/>
      <c r="CE22" s="716"/>
      <c r="CF22" s="716"/>
      <c r="CG22" s="716"/>
      <c r="CH22" s="716"/>
      <c r="CI22" s="716"/>
      <c r="CJ22" s="716"/>
      <c r="CK22" s="716"/>
      <c r="CL22" s="716"/>
      <c r="CM22" s="716"/>
      <c r="CN22" s="716"/>
      <c r="CO22" s="716"/>
      <c r="CP22" s="716"/>
      <c r="CQ22" s="716"/>
      <c r="CR22" s="716"/>
      <c r="CS22" s="716"/>
      <c r="CT22" s="716"/>
      <c r="CU22" s="716"/>
      <c r="CV22" s="716"/>
      <c r="CW22" s="716"/>
      <c r="CX22" s="716"/>
      <c r="CY22" s="716"/>
      <c r="CZ22" s="716"/>
      <c r="DA22" s="716"/>
      <c r="DB22" s="716"/>
      <c r="DC22" s="716"/>
      <c r="DD22" s="716"/>
      <c r="DE22" s="716"/>
      <c r="DF22" s="716"/>
      <c r="DG22" s="716"/>
      <c r="DH22" s="716"/>
      <c r="DI22" s="716"/>
      <c r="DJ22" s="716"/>
      <c r="DK22" s="716"/>
      <c r="DL22" s="716"/>
      <c r="DM22" s="716"/>
      <c r="DN22" s="716"/>
      <c r="DO22" s="716"/>
      <c r="DP22" s="716"/>
      <c r="DQ22" s="716"/>
      <c r="DR22" s="716"/>
      <c r="DS22" s="716"/>
      <c r="DT22" s="716"/>
      <c r="DU22" s="716"/>
      <c r="DV22" s="716"/>
      <c r="DW22" s="716"/>
      <c r="DX22" s="716"/>
      <c r="DY22" s="716"/>
      <c r="DZ22" s="716"/>
      <c r="EA22" s="716"/>
      <c r="EB22" s="716"/>
      <c r="EC22" s="716"/>
      <c r="ED22" s="716"/>
      <c r="EE22" s="716"/>
      <c r="EF22" s="716"/>
      <c r="EG22" s="716"/>
      <c r="EH22" s="716"/>
      <c r="EI22" s="716"/>
      <c r="EJ22" s="716"/>
      <c r="EK22" s="716"/>
      <c r="EL22" s="716"/>
      <c r="EM22" s="716"/>
      <c r="EN22" s="716"/>
      <c r="EO22" s="716"/>
      <c r="EP22" s="716"/>
      <c r="EQ22" s="716"/>
      <c r="ER22" s="716"/>
      <c r="ES22" s="716"/>
      <c r="ET22" s="716"/>
      <c r="EU22" s="716"/>
      <c r="EV22" s="716"/>
      <c r="EW22" s="716"/>
      <c r="EX22" s="716"/>
      <c r="EY22" s="716"/>
      <c r="EZ22" s="716"/>
      <c r="FA22" s="716"/>
      <c r="FB22" s="716"/>
      <c r="FC22" s="716"/>
      <c r="FD22" s="716"/>
      <c r="FE22" s="716"/>
      <c r="FF22" s="716"/>
      <c r="FG22" s="716"/>
      <c r="FH22" s="716"/>
      <c r="FI22" s="716"/>
      <c r="FJ22" s="716"/>
      <c r="FK22" s="716"/>
      <c r="FL22" s="716"/>
      <c r="FM22" s="716"/>
      <c r="FN22" s="716"/>
      <c r="FO22" s="716"/>
      <c r="FP22" s="716"/>
      <c r="FQ22" s="716"/>
      <c r="FR22" s="716"/>
      <c r="FS22" s="716"/>
      <c r="FT22" s="716"/>
      <c r="FU22" s="716"/>
      <c r="FV22" s="716"/>
      <c r="FW22" s="716"/>
      <c r="FX22" s="716"/>
      <c r="FY22" s="716"/>
      <c r="FZ22" s="716"/>
      <c r="GA22" s="716"/>
      <c r="GB22" s="716"/>
      <c r="GC22" s="716"/>
      <c r="GD22" s="716"/>
      <c r="GE22" s="716"/>
      <c r="GF22" s="716"/>
      <c r="GG22" s="716"/>
      <c r="GH22" s="716"/>
      <c r="GI22" s="716"/>
      <c r="GJ22" s="716"/>
      <c r="GK22" s="716"/>
      <c r="GL22" s="716"/>
      <c r="GM22" s="716"/>
      <c r="GN22" s="716"/>
      <c r="GO22" s="716"/>
      <c r="GP22" s="716"/>
      <c r="GQ22" s="716"/>
      <c r="GR22" s="716"/>
      <c r="GS22" s="716"/>
      <c r="GT22" s="716"/>
      <c r="GU22" s="716"/>
      <c r="GV22" s="716"/>
      <c r="GW22" s="716"/>
      <c r="GX22" s="716"/>
      <c r="GY22" s="716"/>
      <c r="GZ22" s="716"/>
      <c r="HA22" s="716"/>
      <c r="HB22" s="716"/>
      <c r="HC22" s="716"/>
      <c r="HD22" s="716"/>
      <c r="HE22" s="716"/>
      <c r="HF22" s="716"/>
      <c r="HG22" s="716"/>
      <c r="HH22" s="716"/>
      <c r="HI22" s="716"/>
      <c r="HJ22" s="716"/>
      <c r="HK22" s="716"/>
      <c r="HL22" s="716"/>
      <c r="HM22" s="716"/>
      <c r="HN22" s="716"/>
      <c r="HO22" s="716"/>
      <c r="HP22" s="716"/>
      <c r="HQ22" s="716"/>
      <c r="HR22" s="716"/>
      <c r="HS22" s="716"/>
      <c r="HT22" s="716"/>
      <c r="HU22" s="716"/>
      <c r="HV22" s="716"/>
      <c r="HW22" s="716"/>
      <c r="HX22" s="716"/>
      <c r="HY22" s="716"/>
      <c r="HZ22" s="716"/>
      <c r="IA22" s="716"/>
      <c r="IB22" s="716"/>
      <c r="IC22" s="716"/>
      <c r="ID22" s="716"/>
      <c r="IE22" s="716"/>
      <c r="IF22" s="716"/>
      <c r="IG22" s="716"/>
      <c r="IH22" s="716"/>
      <c r="II22" s="716"/>
      <c r="IJ22" s="716"/>
      <c r="IK22" s="716"/>
      <c r="IL22" s="716"/>
      <c r="IM22" s="716"/>
      <c r="IN22" s="716"/>
      <c r="IO22" s="716"/>
      <c r="IP22" s="716"/>
      <c r="IQ22" s="716"/>
      <c r="IR22" s="716"/>
      <c r="IS22" s="716"/>
      <c r="IT22" s="716"/>
      <c r="IU22" s="716"/>
      <c r="IV22" s="716"/>
    </row>
    <row r="23" spans="1:256" ht="31.5" customHeight="1">
      <c r="A23" s="721" t="s">
        <v>993</v>
      </c>
      <c r="B23" s="722"/>
      <c r="C23" s="722"/>
      <c r="D23" s="722"/>
      <c r="E23" s="722"/>
      <c r="F23" s="722"/>
      <c r="G23" s="722"/>
      <c r="H23" s="722">
        <f t="shared" si="3"/>
        <v>0</v>
      </c>
      <c r="I23" s="721" t="s">
        <v>225</v>
      </c>
      <c r="J23" s="722"/>
      <c r="K23" s="722"/>
      <c r="L23" s="722"/>
      <c r="M23" s="722">
        <v>435505</v>
      </c>
      <c r="N23" s="722"/>
      <c r="O23" s="722"/>
      <c r="P23" s="732">
        <f t="shared" si="4"/>
        <v>435505</v>
      </c>
      <c r="Q23" s="716"/>
      <c r="R23" s="716"/>
      <c r="S23" s="716"/>
      <c r="T23" s="716"/>
      <c r="U23" s="716"/>
      <c r="V23" s="716"/>
      <c r="W23" s="716"/>
      <c r="X23" s="716"/>
      <c r="Y23" s="716"/>
      <c r="Z23" s="716"/>
      <c r="AA23" s="716"/>
      <c r="AB23" s="716"/>
      <c r="AC23" s="716"/>
      <c r="AD23" s="716"/>
      <c r="AE23" s="716"/>
      <c r="AF23" s="716"/>
      <c r="AG23" s="716"/>
      <c r="AH23" s="716"/>
      <c r="AI23" s="716"/>
      <c r="AJ23" s="716"/>
      <c r="AK23" s="716"/>
      <c r="AL23" s="716"/>
      <c r="AM23" s="716"/>
      <c r="AN23" s="716"/>
      <c r="AO23" s="716"/>
      <c r="AP23" s="716"/>
      <c r="AQ23" s="716"/>
      <c r="AR23" s="716"/>
      <c r="AS23" s="716"/>
      <c r="AT23" s="716"/>
      <c r="AU23" s="716"/>
      <c r="AV23" s="716"/>
      <c r="AW23" s="716"/>
      <c r="AX23" s="716"/>
      <c r="AY23" s="716"/>
      <c r="AZ23" s="716"/>
      <c r="BA23" s="716"/>
      <c r="BB23" s="716"/>
      <c r="BC23" s="716"/>
      <c r="BD23" s="716"/>
      <c r="BE23" s="716"/>
      <c r="BF23" s="716"/>
      <c r="BG23" s="716"/>
      <c r="BH23" s="716"/>
      <c r="BI23" s="716"/>
      <c r="BJ23" s="716"/>
      <c r="BK23" s="716"/>
      <c r="BL23" s="716"/>
      <c r="BM23" s="716"/>
      <c r="BN23" s="716"/>
      <c r="BO23" s="716"/>
      <c r="BP23" s="716"/>
      <c r="BQ23" s="716"/>
      <c r="BR23" s="716"/>
      <c r="BS23" s="716"/>
      <c r="BT23" s="716"/>
      <c r="BU23" s="716"/>
      <c r="BV23" s="716"/>
      <c r="BW23" s="716"/>
      <c r="BX23" s="716"/>
      <c r="BY23" s="716"/>
      <c r="BZ23" s="716"/>
      <c r="CA23" s="716"/>
      <c r="CB23" s="716"/>
      <c r="CC23" s="716"/>
      <c r="CD23" s="716"/>
      <c r="CE23" s="716"/>
      <c r="CF23" s="716"/>
      <c r="CG23" s="716"/>
      <c r="CH23" s="716"/>
      <c r="CI23" s="716"/>
      <c r="CJ23" s="716"/>
      <c r="CK23" s="716"/>
      <c r="CL23" s="716"/>
      <c r="CM23" s="716"/>
      <c r="CN23" s="716"/>
      <c r="CO23" s="716"/>
      <c r="CP23" s="716"/>
      <c r="CQ23" s="716"/>
      <c r="CR23" s="716"/>
      <c r="CS23" s="716"/>
      <c r="CT23" s="716"/>
      <c r="CU23" s="716"/>
      <c r="CV23" s="716"/>
      <c r="CW23" s="716"/>
      <c r="CX23" s="716"/>
      <c r="CY23" s="716"/>
      <c r="CZ23" s="716"/>
      <c r="DA23" s="716"/>
      <c r="DB23" s="716"/>
      <c r="DC23" s="716"/>
      <c r="DD23" s="716"/>
      <c r="DE23" s="716"/>
      <c r="DF23" s="716"/>
      <c r="DG23" s="716"/>
      <c r="DH23" s="716"/>
      <c r="DI23" s="716"/>
      <c r="DJ23" s="716"/>
      <c r="DK23" s="716"/>
      <c r="DL23" s="716"/>
      <c r="DM23" s="716"/>
      <c r="DN23" s="716"/>
      <c r="DO23" s="716"/>
      <c r="DP23" s="716"/>
      <c r="DQ23" s="716"/>
      <c r="DR23" s="716"/>
      <c r="DS23" s="716"/>
      <c r="DT23" s="716"/>
      <c r="DU23" s="716"/>
      <c r="DV23" s="716"/>
      <c r="DW23" s="716"/>
      <c r="DX23" s="716"/>
      <c r="DY23" s="716"/>
      <c r="DZ23" s="716"/>
      <c r="EA23" s="716"/>
      <c r="EB23" s="716"/>
      <c r="EC23" s="716"/>
      <c r="ED23" s="716"/>
      <c r="EE23" s="716"/>
      <c r="EF23" s="716"/>
      <c r="EG23" s="716"/>
      <c r="EH23" s="716"/>
      <c r="EI23" s="716"/>
      <c r="EJ23" s="716"/>
      <c r="EK23" s="716"/>
      <c r="EL23" s="716"/>
      <c r="EM23" s="716"/>
      <c r="EN23" s="716"/>
      <c r="EO23" s="716"/>
      <c r="EP23" s="716"/>
      <c r="EQ23" s="716"/>
      <c r="ER23" s="716"/>
      <c r="ES23" s="716"/>
      <c r="ET23" s="716"/>
      <c r="EU23" s="716"/>
      <c r="EV23" s="716"/>
      <c r="EW23" s="716"/>
      <c r="EX23" s="716"/>
      <c r="EY23" s="716"/>
      <c r="EZ23" s="716"/>
      <c r="FA23" s="716"/>
      <c r="FB23" s="716"/>
      <c r="FC23" s="716"/>
      <c r="FD23" s="716"/>
      <c r="FE23" s="716"/>
      <c r="FF23" s="716"/>
      <c r="FG23" s="716"/>
      <c r="FH23" s="716"/>
      <c r="FI23" s="716"/>
      <c r="FJ23" s="716"/>
      <c r="FK23" s="716"/>
      <c r="FL23" s="716"/>
      <c r="FM23" s="716"/>
      <c r="FN23" s="716"/>
      <c r="FO23" s="716"/>
      <c r="FP23" s="716"/>
      <c r="FQ23" s="716"/>
      <c r="FR23" s="716"/>
      <c r="FS23" s="716"/>
      <c r="FT23" s="716"/>
      <c r="FU23" s="716"/>
      <c r="FV23" s="716"/>
      <c r="FW23" s="716"/>
      <c r="FX23" s="716"/>
      <c r="FY23" s="716"/>
      <c r="FZ23" s="716"/>
      <c r="GA23" s="716"/>
      <c r="GB23" s="716"/>
      <c r="GC23" s="716"/>
      <c r="GD23" s="716"/>
      <c r="GE23" s="716"/>
      <c r="GF23" s="716"/>
      <c r="GG23" s="716"/>
      <c r="GH23" s="716"/>
      <c r="GI23" s="716"/>
      <c r="GJ23" s="716"/>
      <c r="GK23" s="716"/>
      <c r="GL23" s="716"/>
      <c r="GM23" s="716"/>
      <c r="GN23" s="716"/>
      <c r="GO23" s="716"/>
      <c r="GP23" s="716"/>
      <c r="GQ23" s="716"/>
      <c r="GR23" s="716"/>
      <c r="GS23" s="716"/>
      <c r="GT23" s="716"/>
      <c r="GU23" s="716"/>
      <c r="GV23" s="716"/>
      <c r="GW23" s="716"/>
      <c r="GX23" s="716"/>
      <c r="GY23" s="716"/>
      <c r="GZ23" s="716"/>
      <c r="HA23" s="716"/>
      <c r="HB23" s="716"/>
      <c r="HC23" s="716"/>
      <c r="HD23" s="716"/>
      <c r="HE23" s="716"/>
      <c r="HF23" s="716"/>
      <c r="HG23" s="716"/>
      <c r="HH23" s="716"/>
      <c r="HI23" s="716"/>
      <c r="HJ23" s="716"/>
      <c r="HK23" s="716"/>
      <c r="HL23" s="716"/>
      <c r="HM23" s="716"/>
      <c r="HN23" s="716"/>
      <c r="HO23" s="716"/>
      <c r="HP23" s="716"/>
      <c r="HQ23" s="716"/>
      <c r="HR23" s="716"/>
      <c r="HS23" s="716"/>
      <c r="HT23" s="716"/>
      <c r="HU23" s="716"/>
      <c r="HV23" s="716"/>
      <c r="HW23" s="716"/>
      <c r="HX23" s="716"/>
      <c r="HY23" s="716"/>
      <c r="HZ23" s="716"/>
      <c r="IA23" s="716"/>
      <c r="IB23" s="716"/>
      <c r="IC23" s="716"/>
      <c r="ID23" s="716"/>
      <c r="IE23" s="716"/>
      <c r="IF23" s="716"/>
      <c r="IG23" s="716"/>
      <c r="IH23" s="716"/>
      <c r="II23" s="716"/>
      <c r="IJ23" s="716"/>
      <c r="IK23" s="716"/>
      <c r="IL23" s="716"/>
      <c r="IM23" s="716"/>
      <c r="IN23" s="716"/>
      <c r="IO23" s="716"/>
      <c r="IP23" s="716"/>
      <c r="IQ23" s="716"/>
      <c r="IR23" s="716"/>
      <c r="IS23" s="716"/>
      <c r="IT23" s="716"/>
      <c r="IU23" s="716"/>
      <c r="IV23" s="716"/>
    </row>
    <row r="24" spans="1:256" ht="16.5" customHeight="1">
      <c r="A24" s="721" t="s">
        <v>16</v>
      </c>
      <c r="B24" s="722">
        <v>582767426</v>
      </c>
      <c r="C24" s="722"/>
      <c r="D24" s="722"/>
      <c r="E24" s="722"/>
      <c r="F24" s="722"/>
      <c r="G24" s="722"/>
      <c r="H24" s="722">
        <f t="shared" si="3"/>
        <v>582767426</v>
      </c>
      <c r="I24" s="721" t="s">
        <v>458</v>
      </c>
      <c r="J24" s="722"/>
      <c r="K24" s="722"/>
      <c r="L24" s="722">
        <v>724790</v>
      </c>
      <c r="M24" s="723">
        <v>500000</v>
      </c>
      <c r="N24" s="722">
        <v>500000</v>
      </c>
      <c r="O24" s="722">
        <v>1000000</v>
      </c>
      <c r="P24" s="732">
        <f t="shared" si="4"/>
        <v>2724790</v>
      </c>
      <c r="Q24" s="716"/>
      <c r="R24" s="716"/>
      <c r="S24" s="716"/>
      <c r="T24" s="716"/>
      <c r="U24" s="716"/>
      <c r="V24" s="716"/>
      <c r="W24" s="716"/>
      <c r="X24" s="716"/>
      <c r="Y24" s="716"/>
      <c r="Z24" s="716"/>
      <c r="AA24" s="716"/>
      <c r="AB24" s="716"/>
      <c r="AC24" s="716"/>
      <c r="AD24" s="716"/>
      <c r="AE24" s="716"/>
      <c r="AF24" s="716"/>
      <c r="AG24" s="716"/>
      <c r="AH24" s="716"/>
      <c r="AI24" s="716"/>
      <c r="AJ24" s="716"/>
      <c r="AK24" s="716"/>
      <c r="AL24" s="716"/>
      <c r="AM24" s="716"/>
      <c r="AN24" s="716"/>
      <c r="AO24" s="716"/>
      <c r="AP24" s="716"/>
      <c r="AQ24" s="716"/>
      <c r="AR24" s="716"/>
      <c r="AS24" s="716"/>
      <c r="AT24" s="716"/>
      <c r="AU24" s="716"/>
      <c r="AV24" s="716"/>
      <c r="AW24" s="716"/>
      <c r="AX24" s="716"/>
      <c r="AY24" s="716"/>
      <c r="AZ24" s="716"/>
      <c r="BA24" s="716"/>
      <c r="BB24" s="716"/>
      <c r="BC24" s="716"/>
      <c r="BD24" s="716"/>
      <c r="BE24" s="716"/>
      <c r="BF24" s="716"/>
      <c r="BG24" s="716"/>
      <c r="BH24" s="716"/>
      <c r="BI24" s="716"/>
      <c r="BJ24" s="716"/>
      <c r="BK24" s="716"/>
      <c r="BL24" s="716"/>
      <c r="BM24" s="716"/>
      <c r="BN24" s="716"/>
      <c r="BO24" s="716"/>
      <c r="BP24" s="716"/>
      <c r="BQ24" s="716"/>
      <c r="BR24" s="716"/>
      <c r="BS24" s="716"/>
      <c r="BT24" s="716"/>
      <c r="BU24" s="716"/>
      <c r="BV24" s="716"/>
      <c r="BW24" s="716"/>
      <c r="BX24" s="716"/>
      <c r="BY24" s="716"/>
      <c r="BZ24" s="716"/>
      <c r="CA24" s="716"/>
      <c r="CB24" s="716"/>
      <c r="CC24" s="716"/>
      <c r="CD24" s="716"/>
      <c r="CE24" s="716"/>
      <c r="CF24" s="716"/>
      <c r="CG24" s="716"/>
      <c r="CH24" s="716"/>
      <c r="CI24" s="716"/>
      <c r="CJ24" s="716"/>
      <c r="CK24" s="716"/>
      <c r="CL24" s="716"/>
      <c r="CM24" s="716"/>
      <c r="CN24" s="716"/>
      <c r="CO24" s="716"/>
      <c r="CP24" s="716"/>
      <c r="CQ24" s="716"/>
      <c r="CR24" s="716"/>
      <c r="CS24" s="716"/>
      <c r="CT24" s="716"/>
      <c r="CU24" s="716"/>
      <c r="CV24" s="716"/>
      <c r="CW24" s="716"/>
      <c r="CX24" s="716"/>
      <c r="CY24" s="716"/>
      <c r="CZ24" s="716"/>
      <c r="DA24" s="716"/>
      <c r="DB24" s="716"/>
      <c r="DC24" s="716"/>
      <c r="DD24" s="716"/>
      <c r="DE24" s="716"/>
      <c r="DF24" s="716"/>
      <c r="DG24" s="716"/>
      <c r="DH24" s="716"/>
      <c r="DI24" s="716"/>
      <c r="DJ24" s="716"/>
      <c r="DK24" s="716"/>
      <c r="DL24" s="716"/>
      <c r="DM24" s="716"/>
      <c r="DN24" s="716"/>
      <c r="DO24" s="716"/>
      <c r="DP24" s="716"/>
      <c r="DQ24" s="716"/>
      <c r="DR24" s="716"/>
      <c r="DS24" s="716"/>
      <c r="DT24" s="716"/>
      <c r="DU24" s="716"/>
      <c r="DV24" s="716"/>
      <c r="DW24" s="716"/>
      <c r="DX24" s="716"/>
      <c r="DY24" s="716"/>
      <c r="DZ24" s="716"/>
      <c r="EA24" s="716"/>
      <c r="EB24" s="716"/>
      <c r="EC24" s="716"/>
      <c r="ED24" s="716"/>
      <c r="EE24" s="716"/>
      <c r="EF24" s="716"/>
      <c r="EG24" s="716"/>
      <c r="EH24" s="716"/>
      <c r="EI24" s="716"/>
      <c r="EJ24" s="716"/>
      <c r="EK24" s="716"/>
      <c r="EL24" s="716"/>
      <c r="EM24" s="716"/>
      <c r="EN24" s="716"/>
      <c r="EO24" s="716"/>
      <c r="EP24" s="716"/>
      <c r="EQ24" s="716"/>
      <c r="ER24" s="716"/>
      <c r="ES24" s="716"/>
      <c r="ET24" s="716"/>
      <c r="EU24" s="716"/>
      <c r="EV24" s="716"/>
      <c r="EW24" s="716"/>
      <c r="EX24" s="716"/>
      <c r="EY24" s="716"/>
      <c r="EZ24" s="716"/>
      <c r="FA24" s="716"/>
      <c r="FB24" s="716"/>
      <c r="FC24" s="716"/>
      <c r="FD24" s="716"/>
      <c r="FE24" s="716"/>
      <c r="FF24" s="716"/>
      <c r="FG24" s="716"/>
      <c r="FH24" s="716"/>
      <c r="FI24" s="716"/>
      <c r="FJ24" s="716"/>
      <c r="FK24" s="716"/>
      <c r="FL24" s="716"/>
      <c r="FM24" s="716"/>
      <c r="FN24" s="716"/>
      <c r="FO24" s="716"/>
      <c r="FP24" s="716"/>
      <c r="FQ24" s="716"/>
      <c r="FR24" s="716"/>
      <c r="FS24" s="716"/>
      <c r="FT24" s="716"/>
      <c r="FU24" s="716"/>
      <c r="FV24" s="716"/>
      <c r="FW24" s="716"/>
      <c r="FX24" s="716"/>
      <c r="FY24" s="716"/>
      <c r="FZ24" s="716"/>
      <c r="GA24" s="716"/>
      <c r="GB24" s="716"/>
      <c r="GC24" s="716"/>
      <c r="GD24" s="716"/>
      <c r="GE24" s="716"/>
      <c r="GF24" s="716"/>
      <c r="GG24" s="716"/>
      <c r="GH24" s="716"/>
      <c r="GI24" s="716"/>
      <c r="GJ24" s="716"/>
      <c r="GK24" s="716"/>
      <c r="GL24" s="716"/>
      <c r="GM24" s="716"/>
      <c r="GN24" s="716"/>
      <c r="GO24" s="716"/>
      <c r="GP24" s="716"/>
      <c r="GQ24" s="716"/>
      <c r="GR24" s="716"/>
      <c r="GS24" s="716"/>
      <c r="GT24" s="716"/>
      <c r="GU24" s="716"/>
      <c r="GV24" s="716"/>
      <c r="GW24" s="716"/>
      <c r="GX24" s="716"/>
      <c r="GY24" s="716"/>
      <c r="GZ24" s="716"/>
      <c r="HA24" s="716"/>
      <c r="HB24" s="716"/>
      <c r="HC24" s="716"/>
      <c r="HD24" s="716"/>
      <c r="HE24" s="716"/>
      <c r="HF24" s="716"/>
      <c r="HG24" s="716"/>
      <c r="HH24" s="716"/>
      <c r="HI24" s="716"/>
      <c r="HJ24" s="716"/>
      <c r="HK24" s="716"/>
      <c r="HL24" s="716"/>
      <c r="HM24" s="716"/>
      <c r="HN24" s="716"/>
      <c r="HO24" s="716"/>
      <c r="HP24" s="716"/>
      <c r="HQ24" s="716"/>
      <c r="HR24" s="716"/>
      <c r="HS24" s="716"/>
      <c r="HT24" s="716"/>
      <c r="HU24" s="716"/>
      <c r="HV24" s="716"/>
      <c r="HW24" s="716"/>
      <c r="HX24" s="716"/>
      <c r="HY24" s="716"/>
      <c r="HZ24" s="716"/>
      <c r="IA24" s="716"/>
      <c r="IB24" s="716"/>
      <c r="IC24" s="716"/>
      <c r="ID24" s="716"/>
      <c r="IE24" s="716"/>
      <c r="IF24" s="716"/>
      <c r="IG24" s="716"/>
      <c r="IH24" s="716"/>
      <c r="II24" s="716"/>
      <c r="IJ24" s="716"/>
      <c r="IK24" s="716"/>
      <c r="IL24" s="716"/>
      <c r="IM24" s="716"/>
      <c r="IN24" s="716"/>
      <c r="IO24" s="716"/>
      <c r="IP24" s="716"/>
      <c r="IQ24" s="716"/>
      <c r="IR24" s="716"/>
      <c r="IS24" s="716"/>
      <c r="IT24" s="716"/>
      <c r="IU24" s="716"/>
      <c r="IV24" s="716"/>
    </row>
    <row r="25" spans="1:256" ht="16.5" customHeight="1">
      <c r="A25" s="721"/>
      <c r="B25" s="722"/>
      <c r="C25" s="722"/>
      <c r="D25" s="722"/>
      <c r="E25" s="722"/>
      <c r="F25" s="722"/>
      <c r="G25" s="722"/>
      <c r="H25" s="722">
        <f t="shared" si="3"/>
        <v>0</v>
      </c>
      <c r="I25" s="721" t="s">
        <v>459</v>
      </c>
      <c r="J25" s="722"/>
      <c r="K25" s="733"/>
      <c r="L25" s="733"/>
      <c r="M25" s="733"/>
      <c r="N25" s="733"/>
      <c r="O25" s="733"/>
      <c r="P25" s="732">
        <f t="shared" si="4"/>
        <v>0</v>
      </c>
      <c r="Q25" s="716"/>
      <c r="R25" s="716"/>
      <c r="S25" s="716"/>
      <c r="T25" s="716"/>
      <c r="U25" s="716"/>
      <c r="V25" s="716"/>
      <c r="W25" s="716"/>
      <c r="X25" s="716"/>
      <c r="Y25" s="716"/>
      <c r="Z25" s="716"/>
      <c r="AA25" s="716"/>
      <c r="AB25" s="716"/>
      <c r="AC25" s="716"/>
      <c r="AD25" s="716"/>
      <c r="AE25" s="716"/>
      <c r="AF25" s="716"/>
      <c r="AG25" s="716"/>
      <c r="AH25" s="716"/>
      <c r="AI25" s="716"/>
      <c r="AJ25" s="716"/>
      <c r="AK25" s="716"/>
      <c r="AL25" s="716"/>
      <c r="AM25" s="716"/>
      <c r="AN25" s="716"/>
      <c r="AO25" s="716"/>
      <c r="AP25" s="716"/>
      <c r="AQ25" s="716"/>
      <c r="AR25" s="716"/>
      <c r="AS25" s="716"/>
      <c r="AT25" s="716"/>
      <c r="AU25" s="716"/>
      <c r="AV25" s="716"/>
      <c r="AW25" s="716"/>
      <c r="AX25" s="716"/>
      <c r="AY25" s="716"/>
      <c r="AZ25" s="716"/>
      <c r="BA25" s="716"/>
      <c r="BB25" s="716"/>
      <c r="BC25" s="716"/>
      <c r="BD25" s="716"/>
      <c r="BE25" s="716"/>
      <c r="BF25" s="716"/>
      <c r="BG25" s="716"/>
      <c r="BH25" s="716"/>
      <c r="BI25" s="716"/>
      <c r="BJ25" s="716"/>
      <c r="BK25" s="716"/>
      <c r="BL25" s="716"/>
      <c r="BM25" s="716"/>
      <c r="BN25" s="716"/>
      <c r="BO25" s="716"/>
      <c r="BP25" s="716"/>
      <c r="BQ25" s="716"/>
      <c r="BR25" s="716"/>
      <c r="BS25" s="716"/>
      <c r="BT25" s="716"/>
      <c r="BU25" s="716"/>
      <c r="BV25" s="716"/>
      <c r="BW25" s="716"/>
      <c r="BX25" s="716"/>
      <c r="BY25" s="716"/>
      <c r="BZ25" s="716"/>
      <c r="CA25" s="716"/>
      <c r="CB25" s="716"/>
      <c r="CC25" s="716"/>
      <c r="CD25" s="716"/>
      <c r="CE25" s="716"/>
      <c r="CF25" s="716"/>
      <c r="CG25" s="716"/>
      <c r="CH25" s="716"/>
      <c r="CI25" s="716"/>
      <c r="CJ25" s="716"/>
      <c r="CK25" s="716"/>
      <c r="CL25" s="716"/>
      <c r="CM25" s="716"/>
      <c r="CN25" s="716"/>
      <c r="CO25" s="716"/>
      <c r="CP25" s="716"/>
      <c r="CQ25" s="716"/>
      <c r="CR25" s="716"/>
      <c r="CS25" s="716"/>
      <c r="CT25" s="716"/>
      <c r="CU25" s="716"/>
      <c r="CV25" s="716"/>
      <c r="CW25" s="716"/>
      <c r="CX25" s="716"/>
      <c r="CY25" s="716"/>
      <c r="CZ25" s="716"/>
      <c r="DA25" s="716"/>
      <c r="DB25" s="716"/>
      <c r="DC25" s="716"/>
      <c r="DD25" s="716"/>
      <c r="DE25" s="716"/>
      <c r="DF25" s="716"/>
      <c r="DG25" s="716"/>
      <c r="DH25" s="716"/>
      <c r="DI25" s="716"/>
      <c r="DJ25" s="716"/>
      <c r="DK25" s="716"/>
      <c r="DL25" s="716"/>
      <c r="DM25" s="716"/>
      <c r="DN25" s="716"/>
      <c r="DO25" s="716"/>
      <c r="DP25" s="716"/>
      <c r="DQ25" s="716"/>
      <c r="DR25" s="716"/>
      <c r="DS25" s="716"/>
      <c r="DT25" s="716"/>
      <c r="DU25" s="716"/>
      <c r="DV25" s="716"/>
      <c r="DW25" s="716"/>
      <c r="DX25" s="716"/>
      <c r="DY25" s="716"/>
      <c r="DZ25" s="716"/>
      <c r="EA25" s="716"/>
      <c r="EB25" s="716"/>
      <c r="EC25" s="716"/>
      <c r="ED25" s="716"/>
      <c r="EE25" s="716"/>
      <c r="EF25" s="716"/>
      <c r="EG25" s="716"/>
      <c r="EH25" s="716"/>
      <c r="EI25" s="716"/>
      <c r="EJ25" s="716"/>
      <c r="EK25" s="716"/>
      <c r="EL25" s="716"/>
      <c r="EM25" s="716"/>
      <c r="EN25" s="716"/>
      <c r="EO25" s="716"/>
      <c r="EP25" s="716"/>
      <c r="EQ25" s="716"/>
      <c r="ER25" s="716"/>
      <c r="ES25" s="716"/>
      <c r="ET25" s="716"/>
      <c r="EU25" s="716"/>
      <c r="EV25" s="716"/>
      <c r="EW25" s="716"/>
      <c r="EX25" s="716"/>
      <c r="EY25" s="716"/>
      <c r="EZ25" s="716"/>
      <c r="FA25" s="716"/>
      <c r="FB25" s="716"/>
      <c r="FC25" s="716"/>
      <c r="FD25" s="716"/>
      <c r="FE25" s="716"/>
      <c r="FF25" s="716"/>
      <c r="FG25" s="716"/>
      <c r="FH25" s="716"/>
      <c r="FI25" s="716"/>
      <c r="FJ25" s="716"/>
      <c r="FK25" s="716"/>
      <c r="FL25" s="716"/>
      <c r="FM25" s="716"/>
      <c r="FN25" s="716"/>
      <c r="FO25" s="716"/>
      <c r="FP25" s="716"/>
      <c r="FQ25" s="716"/>
      <c r="FR25" s="716"/>
      <c r="FS25" s="716"/>
      <c r="FT25" s="716"/>
      <c r="FU25" s="716"/>
      <c r="FV25" s="716"/>
      <c r="FW25" s="716"/>
      <c r="FX25" s="716"/>
      <c r="FY25" s="716"/>
      <c r="FZ25" s="716"/>
      <c r="GA25" s="716"/>
      <c r="GB25" s="716"/>
      <c r="GC25" s="716"/>
      <c r="GD25" s="716"/>
      <c r="GE25" s="716"/>
      <c r="GF25" s="716"/>
      <c r="GG25" s="716"/>
      <c r="GH25" s="716"/>
      <c r="GI25" s="716"/>
      <c r="GJ25" s="716"/>
      <c r="GK25" s="716"/>
      <c r="GL25" s="716"/>
      <c r="GM25" s="716"/>
      <c r="GN25" s="716"/>
      <c r="GO25" s="716"/>
      <c r="GP25" s="716"/>
      <c r="GQ25" s="716"/>
      <c r="GR25" s="716"/>
      <c r="GS25" s="716"/>
      <c r="GT25" s="716"/>
      <c r="GU25" s="716"/>
      <c r="GV25" s="716"/>
      <c r="GW25" s="716"/>
      <c r="GX25" s="716"/>
      <c r="GY25" s="716"/>
      <c r="GZ25" s="716"/>
      <c r="HA25" s="716"/>
      <c r="HB25" s="716"/>
      <c r="HC25" s="716"/>
      <c r="HD25" s="716"/>
      <c r="HE25" s="716"/>
      <c r="HF25" s="716"/>
      <c r="HG25" s="716"/>
      <c r="HH25" s="716"/>
      <c r="HI25" s="716"/>
      <c r="HJ25" s="716"/>
      <c r="HK25" s="716"/>
      <c r="HL25" s="716"/>
      <c r="HM25" s="716"/>
      <c r="HN25" s="716"/>
      <c r="HO25" s="716"/>
      <c r="HP25" s="716"/>
      <c r="HQ25" s="716"/>
      <c r="HR25" s="716"/>
      <c r="HS25" s="716"/>
      <c r="HT25" s="716"/>
      <c r="HU25" s="716"/>
      <c r="HV25" s="716"/>
      <c r="HW25" s="716"/>
      <c r="HX25" s="716"/>
      <c r="HY25" s="716"/>
      <c r="HZ25" s="716"/>
      <c r="IA25" s="716"/>
      <c r="IB25" s="716"/>
      <c r="IC25" s="716"/>
      <c r="ID25" s="716"/>
      <c r="IE25" s="716"/>
      <c r="IF25" s="716"/>
      <c r="IG25" s="716"/>
      <c r="IH25" s="716"/>
      <c r="II25" s="716"/>
      <c r="IJ25" s="716"/>
      <c r="IK25" s="716"/>
      <c r="IL25" s="716"/>
      <c r="IM25" s="716"/>
      <c r="IN25" s="716"/>
      <c r="IO25" s="716"/>
      <c r="IP25" s="716"/>
      <c r="IQ25" s="716"/>
      <c r="IR25" s="716"/>
      <c r="IS25" s="716"/>
      <c r="IT25" s="716"/>
      <c r="IU25" s="716"/>
      <c r="IV25" s="716"/>
    </row>
    <row r="26" spans="1:256" ht="16.5" customHeight="1">
      <c r="A26" s="721"/>
      <c r="B26" s="722"/>
      <c r="C26" s="722"/>
      <c r="D26" s="722"/>
      <c r="E26" s="722"/>
      <c r="F26" s="722"/>
      <c r="G26" s="722"/>
      <c r="H26" s="722">
        <f t="shared" si="3"/>
        <v>0</v>
      </c>
      <c r="I26" s="721" t="s">
        <v>452</v>
      </c>
      <c r="J26" s="722">
        <v>568450667</v>
      </c>
      <c r="K26" s="722"/>
      <c r="L26" s="722"/>
      <c r="M26" s="722"/>
      <c r="N26" s="722"/>
      <c r="O26" s="722"/>
      <c r="P26" s="732">
        <f t="shared" si="4"/>
        <v>568450667</v>
      </c>
      <c r="Q26" s="716"/>
      <c r="R26" s="716"/>
      <c r="S26" s="716"/>
      <c r="T26" s="716"/>
      <c r="U26" s="716"/>
      <c r="V26" s="716"/>
      <c r="W26" s="716"/>
      <c r="X26" s="716"/>
      <c r="Y26" s="716"/>
      <c r="Z26" s="716"/>
      <c r="AA26" s="716"/>
      <c r="AB26" s="716"/>
      <c r="AC26" s="716"/>
      <c r="AD26" s="716"/>
      <c r="AE26" s="716"/>
      <c r="AF26" s="716"/>
      <c r="AG26" s="716"/>
      <c r="AH26" s="716"/>
      <c r="AI26" s="716"/>
      <c r="AJ26" s="716"/>
      <c r="AK26" s="716"/>
      <c r="AL26" s="716"/>
      <c r="AM26" s="716"/>
      <c r="AN26" s="716"/>
      <c r="AO26" s="716"/>
      <c r="AP26" s="716"/>
      <c r="AQ26" s="716"/>
      <c r="AR26" s="716"/>
      <c r="AS26" s="716"/>
      <c r="AT26" s="716"/>
      <c r="AU26" s="716"/>
      <c r="AV26" s="716"/>
      <c r="AW26" s="716"/>
      <c r="AX26" s="716"/>
      <c r="AY26" s="716"/>
      <c r="AZ26" s="716"/>
      <c r="BA26" s="716"/>
      <c r="BB26" s="716"/>
      <c r="BC26" s="716"/>
      <c r="BD26" s="716"/>
      <c r="BE26" s="716"/>
      <c r="BF26" s="716"/>
      <c r="BG26" s="716"/>
      <c r="BH26" s="716"/>
      <c r="BI26" s="716"/>
      <c r="BJ26" s="716"/>
      <c r="BK26" s="716"/>
      <c r="BL26" s="716"/>
      <c r="BM26" s="716"/>
      <c r="BN26" s="716"/>
      <c r="BO26" s="716"/>
      <c r="BP26" s="716"/>
      <c r="BQ26" s="716"/>
      <c r="BR26" s="716"/>
      <c r="BS26" s="716"/>
      <c r="BT26" s="716"/>
      <c r="BU26" s="716"/>
      <c r="BV26" s="716"/>
      <c r="BW26" s="716"/>
      <c r="BX26" s="716"/>
      <c r="BY26" s="716"/>
      <c r="BZ26" s="716"/>
      <c r="CA26" s="716"/>
      <c r="CB26" s="716"/>
      <c r="CC26" s="716"/>
      <c r="CD26" s="716"/>
      <c r="CE26" s="716"/>
      <c r="CF26" s="716"/>
      <c r="CG26" s="716"/>
      <c r="CH26" s="716"/>
      <c r="CI26" s="716"/>
      <c r="CJ26" s="716"/>
      <c r="CK26" s="716"/>
      <c r="CL26" s="716"/>
      <c r="CM26" s="716"/>
      <c r="CN26" s="716"/>
      <c r="CO26" s="716"/>
      <c r="CP26" s="716"/>
      <c r="CQ26" s="716"/>
      <c r="CR26" s="716"/>
      <c r="CS26" s="716"/>
      <c r="CT26" s="716"/>
      <c r="CU26" s="716"/>
      <c r="CV26" s="716"/>
      <c r="CW26" s="716"/>
      <c r="CX26" s="716"/>
      <c r="CY26" s="716"/>
      <c r="CZ26" s="716"/>
      <c r="DA26" s="716"/>
      <c r="DB26" s="716"/>
      <c r="DC26" s="716"/>
      <c r="DD26" s="716"/>
      <c r="DE26" s="716"/>
      <c r="DF26" s="716"/>
      <c r="DG26" s="716"/>
      <c r="DH26" s="716"/>
      <c r="DI26" s="716"/>
      <c r="DJ26" s="716"/>
      <c r="DK26" s="716"/>
      <c r="DL26" s="716"/>
      <c r="DM26" s="716"/>
      <c r="DN26" s="716"/>
      <c r="DO26" s="716"/>
      <c r="DP26" s="716"/>
      <c r="DQ26" s="716"/>
      <c r="DR26" s="716"/>
      <c r="DS26" s="716"/>
      <c r="DT26" s="716"/>
      <c r="DU26" s="716"/>
      <c r="DV26" s="716"/>
      <c r="DW26" s="716"/>
      <c r="DX26" s="716"/>
      <c r="DY26" s="716"/>
      <c r="DZ26" s="716"/>
      <c r="EA26" s="716"/>
      <c r="EB26" s="716"/>
      <c r="EC26" s="716"/>
      <c r="ED26" s="716"/>
      <c r="EE26" s="716"/>
      <c r="EF26" s="716"/>
      <c r="EG26" s="716"/>
      <c r="EH26" s="716"/>
      <c r="EI26" s="716"/>
      <c r="EJ26" s="716"/>
      <c r="EK26" s="716"/>
      <c r="EL26" s="716"/>
      <c r="EM26" s="716"/>
      <c r="EN26" s="716"/>
      <c r="EO26" s="716"/>
      <c r="EP26" s="716"/>
      <c r="EQ26" s="716"/>
      <c r="ER26" s="716"/>
      <c r="ES26" s="716"/>
      <c r="ET26" s="716"/>
      <c r="EU26" s="716"/>
      <c r="EV26" s="716"/>
      <c r="EW26" s="716"/>
      <c r="EX26" s="716"/>
      <c r="EY26" s="716"/>
      <c r="EZ26" s="716"/>
      <c r="FA26" s="716"/>
      <c r="FB26" s="716"/>
      <c r="FC26" s="716"/>
      <c r="FD26" s="716"/>
      <c r="FE26" s="716"/>
      <c r="FF26" s="716"/>
      <c r="FG26" s="716"/>
      <c r="FH26" s="716"/>
      <c r="FI26" s="716"/>
      <c r="FJ26" s="716"/>
      <c r="FK26" s="716"/>
      <c r="FL26" s="716"/>
      <c r="FM26" s="716"/>
      <c r="FN26" s="716"/>
      <c r="FO26" s="716"/>
      <c r="FP26" s="716"/>
      <c r="FQ26" s="716"/>
      <c r="FR26" s="716"/>
      <c r="FS26" s="716"/>
      <c r="FT26" s="716"/>
      <c r="FU26" s="716"/>
      <c r="FV26" s="716"/>
      <c r="FW26" s="716"/>
      <c r="FX26" s="716"/>
      <c r="FY26" s="716"/>
      <c r="FZ26" s="716"/>
      <c r="GA26" s="716"/>
      <c r="GB26" s="716"/>
      <c r="GC26" s="716"/>
      <c r="GD26" s="716"/>
      <c r="GE26" s="716"/>
      <c r="GF26" s="716"/>
      <c r="GG26" s="716"/>
      <c r="GH26" s="716"/>
      <c r="GI26" s="716"/>
      <c r="GJ26" s="716"/>
      <c r="GK26" s="716"/>
      <c r="GL26" s="716"/>
      <c r="GM26" s="716"/>
      <c r="GN26" s="716"/>
      <c r="GO26" s="716"/>
      <c r="GP26" s="716"/>
      <c r="GQ26" s="716"/>
      <c r="GR26" s="716"/>
      <c r="GS26" s="716"/>
      <c r="GT26" s="716"/>
      <c r="GU26" s="716"/>
      <c r="GV26" s="716"/>
      <c r="GW26" s="716"/>
      <c r="GX26" s="716"/>
      <c r="GY26" s="716"/>
      <c r="GZ26" s="716"/>
      <c r="HA26" s="716"/>
      <c r="HB26" s="716"/>
      <c r="HC26" s="716"/>
      <c r="HD26" s="716"/>
      <c r="HE26" s="716"/>
      <c r="HF26" s="716"/>
      <c r="HG26" s="716"/>
      <c r="HH26" s="716"/>
      <c r="HI26" s="716"/>
      <c r="HJ26" s="716"/>
      <c r="HK26" s="716"/>
      <c r="HL26" s="716"/>
      <c r="HM26" s="716"/>
      <c r="HN26" s="716"/>
      <c r="HO26" s="716"/>
      <c r="HP26" s="716"/>
      <c r="HQ26" s="716"/>
      <c r="HR26" s="716"/>
      <c r="HS26" s="716"/>
      <c r="HT26" s="716"/>
      <c r="HU26" s="716"/>
      <c r="HV26" s="716"/>
      <c r="HW26" s="716"/>
      <c r="HX26" s="716"/>
      <c r="HY26" s="716"/>
      <c r="HZ26" s="716"/>
      <c r="IA26" s="716"/>
      <c r="IB26" s="716"/>
      <c r="IC26" s="716"/>
      <c r="ID26" s="716"/>
      <c r="IE26" s="716"/>
      <c r="IF26" s="716"/>
      <c r="IG26" s="716"/>
      <c r="IH26" s="716"/>
      <c r="II26" s="716"/>
      <c r="IJ26" s="716"/>
      <c r="IK26" s="716"/>
      <c r="IL26" s="716"/>
      <c r="IM26" s="716"/>
      <c r="IN26" s="716"/>
      <c r="IO26" s="716"/>
      <c r="IP26" s="716"/>
      <c r="IQ26" s="716"/>
      <c r="IR26" s="716"/>
      <c r="IS26" s="716"/>
      <c r="IT26" s="716"/>
      <c r="IU26" s="716"/>
      <c r="IV26" s="716"/>
    </row>
    <row r="27" spans="1:256" ht="16.5" customHeight="1">
      <c r="A27" s="729" t="s">
        <v>450</v>
      </c>
      <c r="B27" s="730">
        <f aca="true" t="shared" si="5" ref="B27:G27">SUM(B21:B26)</f>
        <v>603878809</v>
      </c>
      <c r="C27" s="730">
        <f t="shared" si="5"/>
        <v>0</v>
      </c>
      <c r="D27" s="730">
        <f t="shared" si="5"/>
        <v>724790</v>
      </c>
      <c r="E27" s="730">
        <f t="shared" si="5"/>
        <v>935505</v>
      </c>
      <c r="F27" s="730">
        <f t="shared" si="5"/>
        <v>500000</v>
      </c>
      <c r="G27" s="730">
        <f t="shared" si="5"/>
        <v>1000000</v>
      </c>
      <c r="H27" s="730">
        <f>SUM(H21:H26)</f>
        <v>607039104</v>
      </c>
      <c r="I27" s="729" t="s">
        <v>450</v>
      </c>
      <c r="J27" s="730">
        <f aca="true" t="shared" si="6" ref="J27:O27">SUM(J21:J26)</f>
        <v>606603599</v>
      </c>
      <c r="K27" s="730">
        <f t="shared" si="6"/>
        <v>0</v>
      </c>
      <c r="L27" s="730">
        <f t="shared" si="6"/>
        <v>724790</v>
      </c>
      <c r="M27" s="730">
        <f t="shared" si="6"/>
        <v>935505</v>
      </c>
      <c r="N27" s="730">
        <f t="shared" si="6"/>
        <v>500000</v>
      </c>
      <c r="O27" s="730">
        <f t="shared" si="6"/>
        <v>1000000</v>
      </c>
      <c r="P27" s="730">
        <f>SUM(P22+P26)+P23</f>
        <v>607039104</v>
      </c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6"/>
      <c r="AC27" s="716"/>
      <c r="AD27" s="716"/>
      <c r="AE27" s="716"/>
      <c r="AF27" s="716"/>
      <c r="AG27" s="716"/>
      <c r="AH27" s="716"/>
      <c r="AI27" s="716"/>
      <c r="AJ27" s="716"/>
      <c r="AK27" s="716"/>
      <c r="AL27" s="716"/>
      <c r="AM27" s="716"/>
      <c r="AN27" s="716"/>
      <c r="AO27" s="716"/>
      <c r="AP27" s="716"/>
      <c r="AQ27" s="716"/>
      <c r="AR27" s="716"/>
      <c r="AS27" s="716"/>
      <c r="AT27" s="716"/>
      <c r="AU27" s="716"/>
      <c r="AV27" s="716"/>
      <c r="AW27" s="716"/>
      <c r="AX27" s="716"/>
      <c r="AY27" s="716"/>
      <c r="AZ27" s="716"/>
      <c r="BA27" s="716"/>
      <c r="BB27" s="716"/>
      <c r="BC27" s="716"/>
      <c r="BD27" s="716"/>
      <c r="BE27" s="716"/>
      <c r="BF27" s="716"/>
      <c r="BG27" s="716"/>
      <c r="BH27" s="716"/>
      <c r="BI27" s="716"/>
      <c r="BJ27" s="716"/>
      <c r="BK27" s="716"/>
      <c r="BL27" s="716"/>
      <c r="BM27" s="716"/>
      <c r="BN27" s="716"/>
      <c r="BO27" s="716"/>
      <c r="BP27" s="716"/>
      <c r="BQ27" s="716"/>
      <c r="BR27" s="716"/>
      <c r="BS27" s="716"/>
      <c r="BT27" s="716"/>
      <c r="BU27" s="716"/>
      <c r="BV27" s="716"/>
      <c r="BW27" s="716"/>
      <c r="BX27" s="716"/>
      <c r="BY27" s="716"/>
      <c r="BZ27" s="716"/>
      <c r="CA27" s="716"/>
      <c r="CB27" s="716"/>
      <c r="CC27" s="716"/>
      <c r="CD27" s="716"/>
      <c r="CE27" s="716"/>
      <c r="CF27" s="716"/>
      <c r="CG27" s="716"/>
      <c r="CH27" s="716"/>
      <c r="CI27" s="716"/>
      <c r="CJ27" s="716"/>
      <c r="CK27" s="716"/>
      <c r="CL27" s="716"/>
      <c r="CM27" s="716"/>
      <c r="CN27" s="716"/>
      <c r="CO27" s="716"/>
      <c r="CP27" s="716"/>
      <c r="CQ27" s="716"/>
      <c r="CR27" s="716"/>
      <c r="CS27" s="716"/>
      <c r="CT27" s="716"/>
      <c r="CU27" s="716"/>
      <c r="CV27" s="716"/>
      <c r="CW27" s="716"/>
      <c r="CX27" s="716"/>
      <c r="CY27" s="716"/>
      <c r="CZ27" s="716"/>
      <c r="DA27" s="716"/>
      <c r="DB27" s="716"/>
      <c r="DC27" s="716"/>
      <c r="DD27" s="716"/>
      <c r="DE27" s="716"/>
      <c r="DF27" s="716"/>
      <c r="DG27" s="716"/>
      <c r="DH27" s="716"/>
      <c r="DI27" s="716"/>
      <c r="DJ27" s="716"/>
      <c r="DK27" s="716"/>
      <c r="DL27" s="716"/>
      <c r="DM27" s="716"/>
      <c r="DN27" s="716"/>
      <c r="DO27" s="716"/>
      <c r="DP27" s="716"/>
      <c r="DQ27" s="716"/>
      <c r="DR27" s="716"/>
      <c r="DS27" s="716"/>
      <c r="DT27" s="716"/>
      <c r="DU27" s="716"/>
      <c r="DV27" s="716"/>
      <c r="DW27" s="716"/>
      <c r="DX27" s="716"/>
      <c r="DY27" s="716"/>
      <c r="DZ27" s="716"/>
      <c r="EA27" s="716"/>
      <c r="EB27" s="716"/>
      <c r="EC27" s="716"/>
      <c r="ED27" s="716"/>
      <c r="EE27" s="716"/>
      <c r="EF27" s="716"/>
      <c r="EG27" s="716"/>
      <c r="EH27" s="716"/>
      <c r="EI27" s="716"/>
      <c r="EJ27" s="716"/>
      <c r="EK27" s="716"/>
      <c r="EL27" s="716"/>
      <c r="EM27" s="716"/>
      <c r="EN27" s="716"/>
      <c r="EO27" s="716"/>
      <c r="EP27" s="716"/>
      <c r="EQ27" s="716"/>
      <c r="ER27" s="716"/>
      <c r="ES27" s="716"/>
      <c r="ET27" s="716"/>
      <c r="EU27" s="716"/>
      <c r="EV27" s="716"/>
      <c r="EW27" s="716"/>
      <c r="EX27" s="716"/>
      <c r="EY27" s="716"/>
      <c r="EZ27" s="716"/>
      <c r="FA27" s="716"/>
      <c r="FB27" s="716"/>
      <c r="FC27" s="716"/>
      <c r="FD27" s="716"/>
      <c r="FE27" s="716"/>
      <c r="FF27" s="716"/>
      <c r="FG27" s="716"/>
      <c r="FH27" s="716"/>
      <c r="FI27" s="716"/>
      <c r="FJ27" s="716"/>
      <c r="FK27" s="716"/>
      <c r="FL27" s="716"/>
      <c r="FM27" s="716"/>
      <c r="FN27" s="716"/>
      <c r="FO27" s="716"/>
      <c r="FP27" s="716"/>
      <c r="FQ27" s="716"/>
      <c r="FR27" s="716"/>
      <c r="FS27" s="716"/>
      <c r="FT27" s="716"/>
      <c r="FU27" s="716"/>
      <c r="FV27" s="716"/>
      <c r="FW27" s="716"/>
      <c r="FX27" s="716"/>
      <c r="FY27" s="716"/>
      <c r="FZ27" s="716"/>
      <c r="GA27" s="716"/>
      <c r="GB27" s="716"/>
      <c r="GC27" s="716"/>
      <c r="GD27" s="716"/>
      <c r="GE27" s="716"/>
      <c r="GF27" s="716"/>
      <c r="GG27" s="716"/>
      <c r="GH27" s="716"/>
      <c r="GI27" s="716"/>
      <c r="GJ27" s="716"/>
      <c r="GK27" s="716"/>
      <c r="GL27" s="716"/>
      <c r="GM27" s="716"/>
      <c r="GN27" s="716"/>
      <c r="GO27" s="716"/>
      <c r="GP27" s="716"/>
      <c r="GQ27" s="716"/>
      <c r="GR27" s="716"/>
      <c r="GS27" s="716"/>
      <c r="GT27" s="716"/>
      <c r="GU27" s="716"/>
      <c r="GV27" s="716"/>
      <c r="GW27" s="716"/>
      <c r="GX27" s="716"/>
      <c r="GY27" s="716"/>
      <c r="GZ27" s="716"/>
      <c r="HA27" s="716"/>
      <c r="HB27" s="716"/>
      <c r="HC27" s="716"/>
      <c r="HD27" s="716"/>
      <c r="HE27" s="716"/>
      <c r="HF27" s="716"/>
      <c r="HG27" s="716"/>
      <c r="HH27" s="716"/>
      <c r="HI27" s="716"/>
      <c r="HJ27" s="716"/>
      <c r="HK27" s="716"/>
      <c r="HL27" s="716"/>
      <c r="HM27" s="716"/>
      <c r="HN27" s="716"/>
      <c r="HO27" s="716"/>
      <c r="HP27" s="716"/>
      <c r="HQ27" s="716"/>
      <c r="HR27" s="716"/>
      <c r="HS27" s="716"/>
      <c r="HT27" s="716"/>
      <c r="HU27" s="716"/>
      <c r="HV27" s="716"/>
      <c r="HW27" s="716"/>
      <c r="HX27" s="716"/>
      <c r="HY27" s="716"/>
      <c r="HZ27" s="716"/>
      <c r="IA27" s="716"/>
      <c r="IB27" s="716"/>
      <c r="IC27" s="716"/>
      <c r="ID27" s="716"/>
      <c r="IE27" s="716"/>
      <c r="IF27" s="716"/>
      <c r="IG27" s="716"/>
      <c r="IH27" s="716"/>
      <c r="II27" s="716"/>
      <c r="IJ27" s="716"/>
      <c r="IK27" s="716"/>
      <c r="IL27" s="716"/>
      <c r="IM27" s="716"/>
      <c r="IN27" s="716"/>
      <c r="IO27" s="716"/>
      <c r="IP27" s="716"/>
      <c r="IQ27" s="716"/>
      <c r="IR27" s="716"/>
      <c r="IS27" s="716"/>
      <c r="IT27" s="716"/>
      <c r="IU27" s="716"/>
      <c r="IV27" s="716"/>
    </row>
    <row r="28" spans="1:256" ht="16.5" customHeight="1">
      <c r="A28" s="718" t="s">
        <v>460</v>
      </c>
      <c r="B28" s="734">
        <f aca="true" t="shared" si="7" ref="B28:H28">SUM(B18+B27)</f>
        <v>1107171279</v>
      </c>
      <c r="C28" s="734">
        <f t="shared" si="7"/>
        <v>1752495</v>
      </c>
      <c r="D28" s="734">
        <f t="shared" si="7"/>
        <v>97866842</v>
      </c>
      <c r="E28" s="734">
        <f t="shared" si="7"/>
        <v>130534452</v>
      </c>
      <c r="F28" s="734">
        <f t="shared" si="7"/>
        <v>24524479</v>
      </c>
      <c r="G28" s="734">
        <f t="shared" si="7"/>
        <v>94842286</v>
      </c>
      <c r="H28" s="734">
        <f t="shared" si="7"/>
        <v>1456691833</v>
      </c>
      <c r="I28" s="718" t="s">
        <v>461</v>
      </c>
      <c r="J28" s="734">
        <f aca="true" t="shared" si="8" ref="J28:O28">SUM(J18+J27)</f>
        <v>1108923774</v>
      </c>
      <c r="K28" s="734">
        <f t="shared" si="8"/>
        <v>0</v>
      </c>
      <c r="L28" s="734">
        <f t="shared" si="8"/>
        <v>97866842</v>
      </c>
      <c r="M28" s="734">
        <f t="shared" si="8"/>
        <v>130534452</v>
      </c>
      <c r="N28" s="734">
        <f t="shared" si="8"/>
        <v>24524479</v>
      </c>
      <c r="O28" s="734">
        <f t="shared" si="8"/>
        <v>94842286</v>
      </c>
      <c r="P28" s="734">
        <f>SUM(J28:O28)</f>
        <v>1456691833</v>
      </c>
      <c r="Q28" s="716"/>
      <c r="R28" s="716"/>
      <c r="S28" s="716"/>
      <c r="T28" s="716"/>
      <c r="U28" s="716"/>
      <c r="V28" s="716"/>
      <c r="W28" s="716"/>
      <c r="X28" s="716"/>
      <c r="Y28" s="716"/>
      <c r="Z28" s="716"/>
      <c r="AA28" s="716"/>
      <c r="AB28" s="716"/>
      <c r="AC28" s="716"/>
      <c r="AD28" s="716"/>
      <c r="AE28" s="716"/>
      <c r="AF28" s="716"/>
      <c r="AG28" s="716"/>
      <c r="AH28" s="716"/>
      <c r="AI28" s="716"/>
      <c r="AJ28" s="716"/>
      <c r="AK28" s="716"/>
      <c r="AL28" s="716"/>
      <c r="AM28" s="716"/>
      <c r="AN28" s="716"/>
      <c r="AO28" s="716"/>
      <c r="AP28" s="716"/>
      <c r="AQ28" s="716"/>
      <c r="AR28" s="716"/>
      <c r="AS28" s="716"/>
      <c r="AT28" s="716"/>
      <c r="AU28" s="716"/>
      <c r="AV28" s="716"/>
      <c r="AW28" s="716"/>
      <c r="AX28" s="716"/>
      <c r="AY28" s="716"/>
      <c r="AZ28" s="716"/>
      <c r="BA28" s="716"/>
      <c r="BB28" s="716"/>
      <c r="BC28" s="716"/>
      <c r="BD28" s="716"/>
      <c r="BE28" s="716"/>
      <c r="BF28" s="716"/>
      <c r="BG28" s="716"/>
      <c r="BH28" s="716"/>
      <c r="BI28" s="716"/>
      <c r="BJ28" s="716"/>
      <c r="BK28" s="716"/>
      <c r="BL28" s="716"/>
      <c r="BM28" s="716"/>
      <c r="BN28" s="716"/>
      <c r="BO28" s="716"/>
      <c r="BP28" s="716"/>
      <c r="BQ28" s="716"/>
      <c r="BR28" s="716"/>
      <c r="BS28" s="716"/>
      <c r="BT28" s="716"/>
      <c r="BU28" s="716"/>
      <c r="BV28" s="716"/>
      <c r="BW28" s="716"/>
      <c r="BX28" s="716"/>
      <c r="BY28" s="716"/>
      <c r="BZ28" s="716"/>
      <c r="CA28" s="716"/>
      <c r="CB28" s="716"/>
      <c r="CC28" s="716"/>
      <c r="CD28" s="716"/>
      <c r="CE28" s="716"/>
      <c r="CF28" s="716"/>
      <c r="CG28" s="716"/>
      <c r="CH28" s="716"/>
      <c r="CI28" s="716"/>
      <c r="CJ28" s="716"/>
      <c r="CK28" s="716"/>
      <c r="CL28" s="716"/>
      <c r="CM28" s="716"/>
      <c r="CN28" s="716"/>
      <c r="CO28" s="716"/>
      <c r="CP28" s="716"/>
      <c r="CQ28" s="716"/>
      <c r="CR28" s="716"/>
      <c r="CS28" s="716"/>
      <c r="CT28" s="716"/>
      <c r="CU28" s="716"/>
      <c r="CV28" s="716"/>
      <c r="CW28" s="716"/>
      <c r="CX28" s="716"/>
      <c r="CY28" s="716"/>
      <c r="CZ28" s="716"/>
      <c r="DA28" s="716"/>
      <c r="DB28" s="716"/>
      <c r="DC28" s="716"/>
      <c r="DD28" s="716"/>
      <c r="DE28" s="716"/>
      <c r="DF28" s="716"/>
      <c r="DG28" s="716"/>
      <c r="DH28" s="716"/>
      <c r="DI28" s="716"/>
      <c r="DJ28" s="716"/>
      <c r="DK28" s="716"/>
      <c r="DL28" s="716"/>
      <c r="DM28" s="716"/>
      <c r="DN28" s="716"/>
      <c r="DO28" s="716"/>
      <c r="DP28" s="716"/>
      <c r="DQ28" s="716"/>
      <c r="DR28" s="716"/>
      <c r="DS28" s="716"/>
      <c r="DT28" s="716"/>
      <c r="DU28" s="716"/>
      <c r="DV28" s="716"/>
      <c r="DW28" s="716"/>
      <c r="DX28" s="716"/>
      <c r="DY28" s="716"/>
      <c r="DZ28" s="716"/>
      <c r="EA28" s="716"/>
      <c r="EB28" s="716"/>
      <c r="EC28" s="716"/>
      <c r="ED28" s="716"/>
      <c r="EE28" s="716"/>
      <c r="EF28" s="716"/>
      <c r="EG28" s="716"/>
      <c r="EH28" s="716"/>
      <c r="EI28" s="716"/>
      <c r="EJ28" s="716"/>
      <c r="EK28" s="716"/>
      <c r="EL28" s="716"/>
      <c r="EM28" s="716"/>
      <c r="EN28" s="716"/>
      <c r="EO28" s="716"/>
      <c r="EP28" s="716"/>
      <c r="EQ28" s="716"/>
      <c r="ER28" s="716"/>
      <c r="ES28" s="716"/>
      <c r="ET28" s="716"/>
      <c r="EU28" s="716"/>
      <c r="EV28" s="716"/>
      <c r="EW28" s="716"/>
      <c r="EX28" s="716"/>
      <c r="EY28" s="716"/>
      <c r="EZ28" s="716"/>
      <c r="FA28" s="716"/>
      <c r="FB28" s="716"/>
      <c r="FC28" s="716"/>
      <c r="FD28" s="716"/>
      <c r="FE28" s="716"/>
      <c r="FF28" s="716"/>
      <c r="FG28" s="716"/>
      <c r="FH28" s="716"/>
      <c r="FI28" s="716"/>
      <c r="FJ28" s="716"/>
      <c r="FK28" s="716"/>
      <c r="FL28" s="716"/>
      <c r="FM28" s="716"/>
      <c r="FN28" s="716"/>
      <c r="FO28" s="716"/>
      <c r="FP28" s="716"/>
      <c r="FQ28" s="716"/>
      <c r="FR28" s="716"/>
      <c r="FS28" s="716"/>
      <c r="FT28" s="716"/>
      <c r="FU28" s="716"/>
      <c r="FV28" s="716"/>
      <c r="FW28" s="716"/>
      <c r="FX28" s="716"/>
      <c r="FY28" s="716"/>
      <c r="FZ28" s="716"/>
      <c r="GA28" s="716"/>
      <c r="GB28" s="716"/>
      <c r="GC28" s="716"/>
      <c r="GD28" s="716"/>
      <c r="GE28" s="716"/>
      <c r="GF28" s="716"/>
      <c r="GG28" s="716"/>
      <c r="GH28" s="716"/>
      <c r="GI28" s="716"/>
      <c r="GJ28" s="716"/>
      <c r="GK28" s="716"/>
      <c r="GL28" s="716"/>
      <c r="GM28" s="716"/>
      <c r="GN28" s="716"/>
      <c r="GO28" s="716"/>
      <c r="GP28" s="716"/>
      <c r="GQ28" s="716"/>
      <c r="GR28" s="716"/>
      <c r="GS28" s="716"/>
      <c r="GT28" s="716"/>
      <c r="GU28" s="716"/>
      <c r="GV28" s="716"/>
      <c r="GW28" s="716"/>
      <c r="GX28" s="716"/>
      <c r="GY28" s="716"/>
      <c r="GZ28" s="716"/>
      <c r="HA28" s="716"/>
      <c r="HB28" s="716"/>
      <c r="HC28" s="716"/>
      <c r="HD28" s="716"/>
      <c r="HE28" s="716"/>
      <c r="HF28" s="716"/>
      <c r="HG28" s="716"/>
      <c r="HH28" s="716"/>
      <c r="HI28" s="716"/>
      <c r="HJ28" s="716"/>
      <c r="HK28" s="716"/>
      <c r="HL28" s="716"/>
      <c r="HM28" s="716"/>
      <c r="HN28" s="716"/>
      <c r="HO28" s="716"/>
      <c r="HP28" s="716"/>
      <c r="HQ28" s="716"/>
      <c r="HR28" s="716"/>
      <c r="HS28" s="716"/>
      <c r="HT28" s="716"/>
      <c r="HU28" s="716"/>
      <c r="HV28" s="716"/>
      <c r="HW28" s="716"/>
      <c r="HX28" s="716"/>
      <c r="HY28" s="716"/>
      <c r="HZ28" s="716"/>
      <c r="IA28" s="716"/>
      <c r="IB28" s="716"/>
      <c r="IC28" s="716"/>
      <c r="ID28" s="716"/>
      <c r="IE28" s="716"/>
      <c r="IF28" s="716"/>
      <c r="IG28" s="716"/>
      <c r="IH28" s="716"/>
      <c r="II28" s="716"/>
      <c r="IJ28" s="716"/>
      <c r="IK28" s="716"/>
      <c r="IL28" s="716"/>
      <c r="IM28" s="716"/>
      <c r="IN28" s="716"/>
      <c r="IO28" s="716"/>
      <c r="IP28" s="716"/>
      <c r="IQ28" s="716"/>
      <c r="IR28" s="716"/>
      <c r="IS28" s="716"/>
      <c r="IT28" s="716"/>
      <c r="IU28" s="716"/>
      <c r="IV28" s="716"/>
    </row>
    <row r="29" ht="18" customHeight="1"/>
    <row r="30" ht="20.25" customHeight="1"/>
    <row r="31" ht="20.25" customHeight="1"/>
    <row r="32" ht="20.25" customHeight="1"/>
    <row r="33" ht="20.25" customHeight="1"/>
  </sheetData>
  <sheetProtection selectLockedCells="1" selectUnlockedCells="1"/>
  <mergeCells count="9">
    <mergeCell ref="A19:H19"/>
    <mergeCell ref="I19:P19"/>
    <mergeCell ref="A1:D1"/>
    <mergeCell ref="I1:P1"/>
    <mergeCell ref="A2:P2"/>
    <mergeCell ref="A4:P4"/>
    <mergeCell ref="G6:H6"/>
    <mergeCell ref="N6:P6"/>
    <mergeCell ref="G3:I3"/>
  </mergeCells>
  <printOptions/>
  <pageMargins left="0.25" right="0.25" top="0.75" bottom="0.75" header="0.3" footer="0.3"/>
  <pageSetup fitToHeight="1" fitToWidth="1" horizontalDpi="600" verticalDpi="600" orientation="landscape" paperSize="9" scale="5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0"/>
  <sheetViews>
    <sheetView showGridLines="0" view="pageBreakPreview" zoomScale="110" zoomScaleSheetLayoutView="110" zoomScalePageLayoutView="0" workbookViewId="0" topLeftCell="A1">
      <selection activeCell="C14" sqref="C14"/>
    </sheetView>
  </sheetViews>
  <sheetFormatPr defaultColWidth="11.7109375" defaultRowHeight="12.75" customHeight="1"/>
  <cols>
    <col min="1" max="1" width="6.421875" style="5" customWidth="1"/>
    <col min="2" max="2" width="23.7109375" style="5" customWidth="1"/>
    <col min="3" max="3" width="22.00390625" style="5" customWidth="1"/>
    <col min="4" max="5" width="10.7109375" style="5" customWidth="1"/>
    <col min="6" max="6" width="7.421875" style="95" customWidth="1"/>
    <col min="7" max="16384" width="11.7109375" style="5" customWidth="1"/>
  </cols>
  <sheetData>
    <row r="1" spans="1:6" s="96" customFormat="1" ht="18" customHeight="1">
      <c r="A1" s="1748" t="s">
        <v>829</v>
      </c>
      <c r="B1" s="1748"/>
      <c r="C1" s="1748"/>
      <c r="D1" s="1748"/>
      <c r="E1" s="1748"/>
      <c r="F1" s="1748"/>
    </row>
    <row r="2" spans="1:6" s="96" customFormat="1" ht="18" customHeight="1">
      <c r="A2" s="1646"/>
      <c r="B2" s="2065" t="s">
        <v>1181</v>
      </c>
      <c r="C2" s="2065"/>
      <c r="D2" s="2065"/>
      <c r="E2" s="2065"/>
      <c r="F2" s="1646"/>
    </row>
    <row r="3" spans="1:6" ht="12.75" customHeight="1">
      <c r="A3" s="1749"/>
      <c r="B3" s="1749"/>
      <c r="C3" s="1749"/>
      <c r="D3" s="1749"/>
      <c r="E3" s="1749"/>
      <c r="F3" s="1749"/>
    </row>
    <row r="4" spans="1:6" ht="22.5" customHeight="1">
      <c r="A4" s="152"/>
      <c r="B4" s="152"/>
      <c r="C4" s="152"/>
      <c r="D4" s="152"/>
      <c r="E4" s="2066"/>
      <c r="F4" s="2066"/>
    </row>
    <row r="5" spans="1:256" ht="29.25" customHeight="1">
      <c r="A5"/>
      <c r="B5" s="1701" t="s">
        <v>1008</v>
      </c>
      <c r="C5" s="1701"/>
      <c r="D5" s="1701"/>
      <c r="E5" s="1701"/>
      <c r="F5" s="170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.25" customHeight="1">
      <c r="A6"/>
      <c r="B6" s="932"/>
      <c r="C6" s="932"/>
      <c r="D6" s="932"/>
      <c r="E6" s="932"/>
      <c r="F6" s="93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7.5" customHeight="1">
      <c r="A7"/>
      <c r="B7" s="932"/>
      <c r="C7" s="932"/>
      <c r="D7" s="932"/>
      <c r="E7" s="932"/>
      <c r="F7" s="93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/>
      <c r="B8"/>
      <c r="C8"/>
      <c r="D8"/>
      <c r="E8"/>
      <c r="F8" s="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50.25" customHeight="1">
      <c r="A9" s="1750" t="s">
        <v>33</v>
      </c>
      <c r="B9" s="928" t="s">
        <v>24</v>
      </c>
      <c r="C9" s="933" t="s">
        <v>830</v>
      </c>
      <c r="D9" s="934" t="s">
        <v>831</v>
      </c>
      <c r="E9" s="934" t="s">
        <v>832</v>
      </c>
      <c r="F9" s="934" t="s">
        <v>25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1750"/>
      <c r="B10" s="928" t="s">
        <v>158</v>
      </c>
      <c r="C10" s="933" t="s">
        <v>159</v>
      </c>
      <c r="D10" s="934" t="s">
        <v>160</v>
      </c>
      <c r="E10" s="934" t="s">
        <v>161</v>
      </c>
      <c r="F10" s="934" t="s">
        <v>462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935" t="s">
        <v>38</v>
      </c>
      <c r="B11" s="936" t="s">
        <v>255</v>
      </c>
      <c r="C11" s="937">
        <v>0</v>
      </c>
      <c r="D11" s="937">
        <v>1</v>
      </c>
      <c r="E11" s="937"/>
      <c r="F11" s="937">
        <f>SUM(C11:E11)</f>
        <v>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935" t="s">
        <v>40</v>
      </c>
      <c r="B12" s="938" t="s">
        <v>833</v>
      </c>
      <c r="C12" s="937">
        <v>1</v>
      </c>
      <c r="D12" s="937"/>
      <c r="E12" s="937"/>
      <c r="F12" s="937">
        <f>SUM(C12:E12)</f>
        <v>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935" t="s">
        <v>53</v>
      </c>
      <c r="B13" s="939" t="s">
        <v>236</v>
      </c>
      <c r="C13" s="940">
        <f>SUM(C11:C12)</f>
        <v>1</v>
      </c>
      <c r="D13" s="940">
        <f>SUM(D11:D12)</f>
        <v>1</v>
      </c>
      <c r="E13" s="940">
        <f>SUM(E11:E12)</f>
        <v>0</v>
      </c>
      <c r="F13" s="940">
        <f>SUM(F11:F12)</f>
        <v>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935" t="s">
        <v>55</v>
      </c>
      <c r="B14" s="938" t="s">
        <v>306</v>
      </c>
      <c r="C14" s="937">
        <v>14</v>
      </c>
      <c r="D14" s="937"/>
      <c r="E14" s="937"/>
      <c r="F14" s="937">
        <f>SUM(C14:E14)</f>
        <v>14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935" t="s">
        <v>57</v>
      </c>
      <c r="B15" s="938" t="s">
        <v>834</v>
      </c>
      <c r="C15" s="937">
        <v>21</v>
      </c>
      <c r="D15" s="937"/>
      <c r="E15" s="937"/>
      <c r="F15" s="937">
        <f>SUM(C15:E15)</f>
        <v>21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935" t="s">
        <v>86</v>
      </c>
      <c r="B16" s="938" t="s">
        <v>239</v>
      </c>
      <c r="C16" s="937">
        <v>30</v>
      </c>
      <c r="D16" s="937"/>
      <c r="E16" s="937"/>
      <c r="F16" s="937">
        <f>SUM(C16:E16)</f>
        <v>30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935" t="s">
        <v>59</v>
      </c>
      <c r="B17" s="938" t="s">
        <v>1026</v>
      </c>
      <c r="C17" s="937">
        <v>2</v>
      </c>
      <c r="D17" s="937">
        <v>3</v>
      </c>
      <c r="E17" s="937"/>
      <c r="F17" s="937">
        <f>SUM(C17:E17)</f>
        <v>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935" t="s">
        <v>61</v>
      </c>
      <c r="B18" s="939" t="s">
        <v>450</v>
      </c>
      <c r="C18" s="940">
        <f>SUM(C13:C17)</f>
        <v>68</v>
      </c>
      <c r="D18" s="940">
        <f>SUM(D13:D17)</f>
        <v>4</v>
      </c>
      <c r="E18" s="940">
        <f>SUM(E13:E17)</f>
        <v>0</v>
      </c>
      <c r="F18" s="940">
        <f>SUM(F13:F17)</f>
        <v>72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935" t="s">
        <v>63</v>
      </c>
      <c r="B19" s="938" t="s">
        <v>835</v>
      </c>
      <c r="C19" s="940">
        <v>6</v>
      </c>
      <c r="D19" s="940"/>
      <c r="E19" s="940"/>
      <c r="F19" s="940">
        <f>SUM(C19:E19)</f>
        <v>6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 s="935" t="s">
        <v>65</v>
      </c>
      <c r="B20" s="941" t="s">
        <v>836</v>
      </c>
      <c r="C20" s="156">
        <f>SUM(C18:C19)</f>
        <v>74</v>
      </c>
      <c r="D20" s="156">
        <f>SUM(D18:D19)</f>
        <v>4</v>
      </c>
      <c r="E20" s="156">
        <f>SUM(E18:E19)</f>
        <v>0</v>
      </c>
      <c r="F20" s="156">
        <f>SUM(F18:F19)</f>
        <v>78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selectLockedCells="1" selectUnlockedCells="1"/>
  <mergeCells count="6">
    <mergeCell ref="A1:F1"/>
    <mergeCell ref="A3:F3"/>
    <mergeCell ref="B5:F5"/>
    <mergeCell ref="A9:A10"/>
    <mergeCell ref="B2:E2"/>
    <mergeCell ref="E4:F4"/>
  </mergeCells>
  <printOptions/>
  <pageMargins left="1.2902777777777779" right="0.2298611111111111" top="0.3902777777777778" bottom="0.15" header="0.5118055555555555" footer="0.5118055555555555"/>
  <pageSetup firstPageNumber="1" useFirstPageNumber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40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3" sqref="I13"/>
    </sheetView>
  </sheetViews>
  <sheetFormatPr defaultColWidth="11.7109375" defaultRowHeight="12.75" customHeight="1"/>
  <cols>
    <col min="1" max="1" width="21.7109375" style="5" customWidth="1"/>
    <col min="2" max="2" width="11.7109375" style="5" customWidth="1"/>
    <col min="3" max="3" width="11.28125" style="5" customWidth="1"/>
    <col min="4" max="5" width="11.28125" style="5" bestFit="1" customWidth="1"/>
    <col min="6" max="6" width="11.28125" style="95" bestFit="1" customWidth="1"/>
    <col min="7" max="9" width="12.140625" style="5" bestFit="1" customWidth="1"/>
    <col min="10" max="13" width="11.28125" style="5" bestFit="1" customWidth="1"/>
    <col min="14" max="14" width="14.140625" style="5" customWidth="1"/>
    <col min="15" max="25" width="10.7109375" style="5" customWidth="1"/>
    <col min="26" max="16384" width="11.7109375" style="5" customWidth="1"/>
  </cols>
  <sheetData>
    <row r="1" spans="9:14" s="96" customFormat="1" ht="18" customHeight="1">
      <c r="I1" s="1751" t="s">
        <v>463</v>
      </c>
      <c r="J1" s="1751"/>
      <c r="K1" s="1751"/>
      <c r="L1" s="1751"/>
      <c r="M1" s="1751"/>
      <c r="N1" s="1751"/>
    </row>
    <row r="2" spans="1:14" ht="12.75" customHeight="1">
      <c r="A2" s="1752" t="s">
        <v>1181</v>
      </c>
      <c r="B2" s="1752"/>
      <c r="C2" s="1752"/>
      <c r="D2" s="1752"/>
      <c r="E2" s="1752"/>
      <c r="F2" s="1752"/>
      <c r="G2" s="1752"/>
      <c r="H2" s="1752"/>
      <c r="I2" s="1752"/>
      <c r="J2" s="1752"/>
      <c r="K2" s="1752"/>
      <c r="L2" s="1752"/>
      <c r="M2" s="1752"/>
      <c r="N2" s="1752"/>
    </row>
    <row r="3" spans="1:11" ht="20.25" customHeight="1">
      <c r="A3" s="152"/>
      <c r="B3" s="152"/>
      <c r="C3" s="152"/>
      <c r="D3" s="2066" t="s">
        <v>1183</v>
      </c>
      <c r="E3" s="2066"/>
      <c r="F3" s="2066"/>
      <c r="G3" s="2066"/>
      <c r="H3" s="2066"/>
      <c r="I3" s="2066"/>
      <c r="J3" s="2066"/>
      <c r="K3" s="2066"/>
    </row>
    <row r="4" spans="1:14" ht="16.5" customHeight="1">
      <c r="A4" s="152"/>
      <c r="B4" s="152"/>
      <c r="C4" s="152"/>
      <c r="D4" s="152"/>
      <c r="E4" s="152"/>
      <c r="N4" s="5" t="s">
        <v>1184</v>
      </c>
    </row>
    <row r="5" spans="1:256" ht="12.75" customHeight="1">
      <c r="A5" s="1753" t="s">
        <v>1009</v>
      </c>
      <c r="B5" s="1753"/>
      <c r="C5" s="1753"/>
      <c r="D5" s="1753"/>
      <c r="E5" s="1753"/>
      <c r="F5" s="1753"/>
      <c r="G5" s="1753"/>
      <c r="H5" s="1753"/>
      <c r="I5" s="1753"/>
      <c r="J5" s="1753"/>
      <c r="K5" s="1753"/>
      <c r="L5" s="1753"/>
      <c r="M5" s="1753"/>
      <c r="N5" s="175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753"/>
      <c r="B6" s="1753"/>
      <c r="C6" s="1753"/>
      <c r="D6" s="1753"/>
      <c r="E6" s="1753"/>
      <c r="F6" s="1753"/>
      <c r="G6" s="1753"/>
      <c r="H6" s="1753"/>
      <c r="I6" s="1753"/>
      <c r="J6" s="1753"/>
      <c r="K6" s="1753"/>
      <c r="L6" s="1753"/>
      <c r="M6" s="1753"/>
      <c r="N6" s="175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/>
      <c r="M7" s="1754" t="s">
        <v>155</v>
      </c>
      <c r="N7" s="1754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425" t="s">
        <v>24</v>
      </c>
      <c r="B8" s="426" t="s">
        <v>464</v>
      </c>
      <c r="C8" s="426" t="s">
        <v>465</v>
      </c>
      <c r="D8" s="426" t="s">
        <v>466</v>
      </c>
      <c r="E8" s="426" t="s">
        <v>467</v>
      </c>
      <c r="F8" s="426" t="s">
        <v>468</v>
      </c>
      <c r="G8" s="426" t="s">
        <v>469</v>
      </c>
      <c r="H8" s="426" t="s">
        <v>470</v>
      </c>
      <c r="I8" s="426" t="s">
        <v>471</v>
      </c>
      <c r="J8" s="426" t="s">
        <v>472</v>
      </c>
      <c r="K8" s="426" t="s">
        <v>473</v>
      </c>
      <c r="L8" s="426" t="s">
        <v>474</v>
      </c>
      <c r="M8" s="426" t="s">
        <v>475</v>
      </c>
      <c r="N8" s="427" t="s">
        <v>476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428" t="s">
        <v>157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429">
        <f>SUM(B9:M9)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8.5" customHeight="1">
      <c r="A10" s="430" t="s">
        <v>162</v>
      </c>
      <c r="B10" s="158">
        <v>17107235</v>
      </c>
      <c r="C10" s="158">
        <v>17107232</v>
      </c>
      <c r="D10" s="158">
        <v>17107235</v>
      </c>
      <c r="E10" s="158">
        <v>17107235</v>
      </c>
      <c r="F10" s="158">
        <v>17107235</v>
      </c>
      <c r="G10" s="158">
        <v>17107235</v>
      </c>
      <c r="H10" s="158">
        <v>17107235</v>
      </c>
      <c r="I10" s="158">
        <v>17107234</v>
      </c>
      <c r="J10" s="158">
        <v>17107235</v>
      </c>
      <c r="K10" s="158">
        <v>17107235</v>
      </c>
      <c r="L10" s="158">
        <v>17107235</v>
      </c>
      <c r="M10" s="158">
        <v>17107235</v>
      </c>
      <c r="N10" s="429">
        <f>SUM(B10:M10)</f>
        <v>205286816</v>
      </c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 customHeight="1">
      <c r="A11" s="430" t="s">
        <v>630</v>
      </c>
      <c r="B11" s="158">
        <v>1104801</v>
      </c>
      <c r="C11" s="158">
        <v>1104801</v>
      </c>
      <c r="D11" s="158">
        <v>1104801</v>
      </c>
      <c r="E11" s="158">
        <v>1104801</v>
      </c>
      <c r="F11" s="158">
        <v>1104801</v>
      </c>
      <c r="G11" s="158">
        <v>2351072</v>
      </c>
      <c r="H11" s="158">
        <v>1104801</v>
      </c>
      <c r="I11" s="158">
        <v>1104801</v>
      </c>
      <c r="J11" s="158">
        <v>1104801</v>
      </c>
      <c r="K11" s="158">
        <v>1104801</v>
      </c>
      <c r="L11" s="158">
        <v>1104801</v>
      </c>
      <c r="M11" s="158">
        <v>1104796</v>
      </c>
      <c r="N11" s="429">
        <f>SUM(B11:M11)</f>
        <v>14503878</v>
      </c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430" t="s">
        <v>167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429">
        <f>SUM(B12:M12)</f>
        <v>0</v>
      </c>
      <c r="O12" s="159"/>
      <c r="Q12" s="16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430" t="s">
        <v>174</v>
      </c>
      <c r="B13" s="158">
        <f>SUM(N13/12)</f>
        <v>14037615.583333334</v>
      </c>
      <c r="C13" s="158">
        <v>14037615.583333334</v>
      </c>
      <c r="D13" s="158">
        <v>14037615.583333334</v>
      </c>
      <c r="E13" s="158">
        <v>14037615.583333334</v>
      </c>
      <c r="F13" s="158">
        <v>14037615.583333334</v>
      </c>
      <c r="G13" s="158">
        <v>14037615.583333334</v>
      </c>
      <c r="H13" s="158">
        <v>14037615.583333334</v>
      </c>
      <c r="I13" s="158">
        <v>14037615.583333334</v>
      </c>
      <c r="J13" s="158">
        <v>14037615.583333334</v>
      </c>
      <c r="K13" s="158">
        <v>14037615.583333334</v>
      </c>
      <c r="L13" s="158">
        <v>14037615.583333334</v>
      </c>
      <c r="M13" s="158">
        <v>14037615.583333334</v>
      </c>
      <c r="N13" s="429">
        <f>SUM('1. melléklet'!F19)</f>
        <v>168451387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430" t="s">
        <v>78</v>
      </c>
      <c r="B14" s="158">
        <v>4448989</v>
      </c>
      <c r="C14" s="158">
        <v>4448989</v>
      </c>
      <c r="D14" s="158">
        <v>4448989</v>
      </c>
      <c r="E14" s="158">
        <v>4448989</v>
      </c>
      <c r="F14" s="158">
        <v>4448989</v>
      </c>
      <c r="G14" s="158">
        <v>4448989</v>
      </c>
      <c r="H14" s="158">
        <v>4448989</v>
      </c>
      <c r="I14" s="158">
        <v>4448989</v>
      </c>
      <c r="J14" s="158">
        <v>4448989</v>
      </c>
      <c r="K14" s="158">
        <v>4448989</v>
      </c>
      <c r="L14" s="158">
        <v>4448989</v>
      </c>
      <c r="M14" s="158">
        <v>4448986</v>
      </c>
      <c r="N14" s="429">
        <f aca="true" t="shared" si="0" ref="N14:N20">SUM(B14:M14)</f>
        <v>53387865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430" t="s">
        <v>13</v>
      </c>
      <c r="B15" s="158">
        <v>2012744</v>
      </c>
      <c r="C15" s="158">
        <v>2012744</v>
      </c>
      <c r="D15" s="158">
        <v>2012744</v>
      </c>
      <c r="E15" s="158">
        <v>2012744</v>
      </c>
      <c r="F15" s="158">
        <v>2012744</v>
      </c>
      <c r="G15" s="158">
        <v>2012744</v>
      </c>
      <c r="H15" s="158">
        <v>2012744</v>
      </c>
      <c r="I15" s="158">
        <v>16012744</v>
      </c>
      <c r="J15" s="158">
        <v>2012744</v>
      </c>
      <c r="K15" s="158">
        <v>2012744</v>
      </c>
      <c r="L15" s="158">
        <v>2012744</v>
      </c>
      <c r="M15" s="158">
        <v>2012748</v>
      </c>
      <c r="N15" s="429">
        <f t="shared" si="0"/>
        <v>38152932</v>
      </c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430" t="s">
        <v>185</v>
      </c>
      <c r="B16" s="158">
        <v>6500</v>
      </c>
      <c r="C16" s="158">
        <v>6500</v>
      </c>
      <c r="D16" s="158">
        <v>216500</v>
      </c>
      <c r="E16" s="158">
        <v>6500</v>
      </c>
      <c r="F16" s="158">
        <v>6500</v>
      </c>
      <c r="G16" s="158">
        <v>25805</v>
      </c>
      <c r="H16" s="158">
        <v>6500</v>
      </c>
      <c r="I16" s="158">
        <v>6500</v>
      </c>
      <c r="J16" s="158">
        <v>6500</v>
      </c>
      <c r="K16" s="158">
        <v>6500</v>
      </c>
      <c r="L16" s="158">
        <v>6500</v>
      </c>
      <c r="M16" s="158">
        <v>6500</v>
      </c>
      <c r="N16" s="429">
        <f t="shared" si="0"/>
        <v>307305</v>
      </c>
      <c r="O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>
      <c r="A17" s="430" t="s">
        <v>225</v>
      </c>
      <c r="B17" s="158"/>
      <c r="C17" s="158"/>
      <c r="D17" s="158">
        <v>242955</v>
      </c>
      <c r="E17" s="158"/>
      <c r="F17" s="158">
        <v>192550</v>
      </c>
      <c r="G17" s="158"/>
      <c r="H17" s="158"/>
      <c r="I17" s="158"/>
      <c r="J17" s="158"/>
      <c r="K17" s="158"/>
      <c r="L17" s="158"/>
      <c r="M17" s="158"/>
      <c r="N17" s="429">
        <f t="shared" si="0"/>
        <v>435505</v>
      </c>
      <c r="O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430" t="s">
        <v>631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429">
        <f t="shared" si="0"/>
        <v>0</v>
      </c>
      <c r="O18" s="15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430" t="s">
        <v>220</v>
      </c>
      <c r="B19" s="158">
        <v>54461508</v>
      </c>
      <c r="C19" s="158">
        <v>54461508</v>
      </c>
      <c r="D19" s="158">
        <v>54461508</v>
      </c>
      <c r="E19" s="158">
        <v>54461508</v>
      </c>
      <c r="F19" s="158">
        <v>54461508</v>
      </c>
      <c r="G19" s="158">
        <v>54461508</v>
      </c>
      <c r="H19" s="158">
        <v>54461508</v>
      </c>
      <c r="I19" s="158">
        <v>54461508</v>
      </c>
      <c r="J19" s="158">
        <v>54461508</v>
      </c>
      <c r="K19" s="158">
        <v>54461508</v>
      </c>
      <c r="L19" s="158">
        <v>54461508</v>
      </c>
      <c r="M19" s="158">
        <v>54461504</v>
      </c>
      <c r="N19" s="429">
        <f t="shared" si="0"/>
        <v>653538092</v>
      </c>
      <c r="O19" s="15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430" t="s">
        <v>223</v>
      </c>
      <c r="B20" s="158">
        <v>586255</v>
      </c>
      <c r="C20" s="158">
        <v>586255</v>
      </c>
      <c r="D20" s="158">
        <v>586255</v>
      </c>
      <c r="E20" s="158">
        <v>586255</v>
      </c>
      <c r="F20" s="158">
        <v>586255</v>
      </c>
      <c r="G20" s="158">
        <v>586255</v>
      </c>
      <c r="H20" s="158">
        <v>586255</v>
      </c>
      <c r="I20" s="158">
        <v>586255</v>
      </c>
      <c r="J20" s="158">
        <v>586255</v>
      </c>
      <c r="K20" s="158">
        <v>586255</v>
      </c>
      <c r="L20" s="158">
        <v>586255</v>
      </c>
      <c r="M20" s="158">
        <v>586258</v>
      </c>
      <c r="N20" s="429">
        <f t="shared" si="0"/>
        <v>7035063</v>
      </c>
      <c r="O20" s="15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 s="431" t="s">
        <v>477</v>
      </c>
      <c r="B21" s="12">
        <f>SUM(B9:B20)</f>
        <v>93765647.58333334</v>
      </c>
      <c r="C21" s="12">
        <f aca="true" t="shared" si="1" ref="C21:M21">SUM(C9:C20)</f>
        <v>93765644.58333334</v>
      </c>
      <c r="D21" s="12">
        <f t="shared" si="1"/>
        <v>94218602.58333334</v>
      </c>
      <c r="E21" s="12">
        <f t="shared" si="1"/>
        <v>93765647.58333334</v>
      </c>
      <c r="F21" s="12">
        <f t="shared" si="1"/>
        <v>93958197.58333334</v>
      </c>
      <c r="G21" s="12">
        <f t="shared" si="1"/>
        <v>95031223.58333334</v>
      </c>
      <c r="H21" s="12">
        <f t="shared" si="1"/>
        <v>93765647.58333334</v>
      </c>
      <c r="I21" s="12">
        <f t="shared" si="1"/>
        <v>107765646.58333334</v>
      </c>
      <c r="J21" s="12">
        <f t="shared" si="1"/>
        <v>93765647.58333334</v>
      </c>
      <c r="K21" s="12">
        <f t="shared" si="1"/>
        <v>93765647.58333334</v>
      </c>
      <c r="L21" s="12">
        <f t="shared" si="1"/>
        <v>93765647.58333334</v>
      </c>
      <c r="M21" s="12">
        <f t="shared" si="1"/>
        <v>93765642.58333334</v>
      </c>
      <c r="N21" s="12">
        <f>SUM(N9:N20)</f>
        <v>1141098843</v>
      </c>
      <c r="O21" s="1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428" t="s">
        <v>119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33"/>
      <c r="O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430" t="s">
        <v>632</v>
      </c>
      <c r="B23" s="17">
        <v>20253212</v>
      </c>
      <c r="C23" s="17">
        <v>20113942</v>
      </c>
      <c r="D23" s="17">
        <v>19676755</v>
      </c>
      <c r="E23" s="17">
        <v>19676761</v>
      </c>
      <c r="F23" s="17">
        <v>19676761</v>
      </c>
      <c r="G23" s="17">
        <v>19676761</v>
      </c>
      <c r="H23" s="17">
        <v>19676761</v>
      </c>
      <c r="I23" s="17">
        <v>19676761</v>
      </c>
      <c r="J23" s="17">
        <v>19676761</v>
      </c>
      <c r="K23" s="17">
        <v>19676761</v>
      </c>
      <c r="L23" s="17">
        <v>19676761</v>
      </c>
      <c r="M23" s="17">
        <v>19676761</v>
      </c>
      <c r="N23" s="433">
        <f>SUM(B23:M23)</f>
        <v>237134758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430" t="s">
        <v>123</v>
      </c>
      <c r="B24" s="17">
        <v>3941908</v>
      </c>
      <c r="C24" s="158">
        <v>3941908</v>
      </c>
      <c r="D24" s="158">
        <v>4109855</v>
      </c>
      <c r="E24" s="158">
        <v>3941908</v>
      </c>
      <c r="F24" s="158">
        <v>3941908</v>
      </c>
      <c r="G24" s="158">
        <v>3941908</v>
      </c>
      <c r="H24" s="158">
        <v>3941908</v>
      </c>
      <c r="I24" s="158">
        <v>3941908</v>
      </c>
      <c r="J24" s="158">
        <v>3941908</v>
      </c>
      <c r="K24" s="158">
        <v>3941908</v>
      </c>
      <c r="L24" s="158">
        <v>3941908</v>
      </c>
      <c r="M24" s="158">
        <v>3941908</v>
      </c>
      <c r="N24" s="433">
        <f>SUM(B24:M24)</f>
        <v>47470843</v>
      </c>
      <c r="O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430" t="s">
        <v>125</v>
      </c>
      <c r="B25" s="17">
        <v>10645263</v>
      </c>
      <c r="C25" s="158">
        <v>10784533</v>
      </c>
      <c r="D25" s="158">
        <v>11053767</v>
      </c>
      <c r="E25" s="158">
        <v>11221714</v>
      </c>
      <c r="F25" s="158">
        <v>11414264</v>
      </c>
      <c r="G25" s="158">
        <v>12487290</v>
      </c>
      <c r="H25" s="158">
        <v>10645263</v>
      </c>
      <c r="I25" s="158">
        <v>15252687</v>
      </c>
      <c r="J25" s="158">
        <v>10645263</v>
      </c>
      <c r="K25" s="158">
        <v>10645263</v>
      </c>
      <c r="L25" s="158">
        <v>10645263</v>
      </c>
      <c r="M25" s="158">
        <v>10645263</v>
      </c>
      <c r="N25" s="433">
        <f>SUM(B25:M25)</f>
        <v>136085833</v>
      </c>
      <c r="O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.75" customHeight="1">
      <c r="A26" s="430" t="s">
        <v>455</v>
      </c>
      <c r="B26" s="17">
        <f>SUM(N26/12)</f>
        <v>346833.3333333333</v>
      </c>
      <c r="C26" s="158">
        <v>346833.3333333333</v>
      </c>
      <c r="D26" s="158">
        <v>346833.3333333333</v>
      </c>
      <c r="E26" s="158">
        <v>346833.3333333333</v>
      </c>
      <c r="F26" s="158">
        <v>346833.3333333333</v>
      </c>
      <c r="G26" s="158">
        <v>346833.3333333333</v>
      </c>
      <c r="H26" s="158">
        <v>346833.3333333333</v>
      </c>
      <c r="I26" s="158">
        <v>346833.3333333333</v>
      </c>
      <c r="J26" s="158">
        <v>346833.3333333333</v>
      </c>
      <c r="K26" s="158">
        <v>346833.3333333333</v>
      </c>
      <c r="L26" s="158">
        <v>346833.3333333333</v>
      </c>
      <c r="M26" s="158">
        <v>346833.3333333333</v>
      </c>
      <c r="N26" s="433">
        <f>SUM('1. melléklet'!E50)</f>
        <v>4162000</v>
      </c>
      <c r="O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430" t="s">
        <v>150</v>
      </c>
      <c r="B27" s="17">
        <v>53717946</v>
      </c>
      <c r="C27" s="17">
        <v>53890083</v>
      </c>
      <c r="D27" s="17">
        <v>53987805</v>
      </c>
      <c r="E27" s="17">
        <v>53996516</v>
      </c>
      <c r="F27" s="17">
        <v>51631376</v>
      </c>
      <c r="G27" s="17">
        <v>53996516</v>
      </c>
      <c r="H27" s="17">
        <v>54235281</v>
      </c>
      <c r="I27" s="17">
        <v>53996515</v>
      </c>
      <c r="J27" s="17">
        <v>53996516</v>
      </c>
      <c r="K27" s="17">
        <v>53996516</v>
      </c>
      <c r="L27" s="17">
        <v>53996516</v>
      </c>
      <c r="M27" s="17">
        <v>51047396</v>
      </c>
      <c r="N27" s="433">
        <f>SUM(B27:M27)</f>
        <v>642488982</v>
      </c>
      <c r="O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430" t="s">
        <v>202</v>
      </c>
      <c r="B28" s="17">
        <v>3237702</v>
      </c>
      <c r="C28" s="158">
        <v>3237701</v>
      </c>
      <c r="D28" s="158">
        <v>3237701</v>
      </c>
      <c r="E28" s="158">
        <v>3237701</v>
      </c>
      <c r="F28" s="158">
        <v>3237701</v>
      </c>
      <c r="G28" s="158">
        <v>3237701</v>
      </c>
      <c r="H28" s="158">
        <v>3302541</v>
      </c>
      <c r="I28" s="158">
        <v>3237701</v>
      </c>
      <c r="J28" s="158">
        <v>3237701</v>
      </c>
      <c r="K28" s="158">
        <v>3237701</v>
      </c>
      <c r="L28" s="158">
        <v>3237701</v>
      </c>
      <c r="M28" s="158">
        <v>3237701</v>
      </c>
      <c r="N28" s="433">
        <f>SUM(B28:M28)</f>
        <v>38917253</v>
      </c>
      <c r="O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8.25" customHeight="1">
      <c r="A29" s="430" t="s">
        <v>132</v>
      </c>
      <c r="B29" s="17">
        <v>928195</v>
      </c>
      <c r="C29" s="158">
        <v>907261</v>
      </c>
      <c r="D29" s="158">
        <v>917728</v>
      </c>
      <c r="E29" s="158">
        <v>917728</v>
      </c>
      <c r="F29" s="158">
        <v>917728</v>
      </c>
      <c r="G29" s="158">
        <v>917728</v>
      </c>
      <c r="H29" s="158">
        <v>1190574</v>
      </c>
      <c r="I29" s="158">
        <v>10886755</v>
      </c>
      <c r="J29" s="158">
        <v>1494179</v>
      </c>
      <c r="K29" s="158">
        <v>1494179</v>
      </c>
      <c r="L29" s="158">
        <v>1481899</v>
      </c>
      <c r="M29" s="158">
        <v>917724</v>
      </c>
      <c r="N29" s="433">
        <f>SUM(B29:M29)</f>
        <v>22971678</v>
      </c>
      <c r="O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430" t="s">
        <v>134</v>
      </c>
      <c r="B30" s="17">
        <f>SUM(N30/12)</f>
        <v>108333.33333333333</v>
      </c>
      <c r="C30" s="158">
        <v>108333.33333333333</v>
      </c>
      <c r="D30" s="158">
        <v>108333.33333333333</v>
      </c>
      <c r="E30" s="158">
        <v>108333.33333333333</v>
      </c>
      <c r="F30" s="158">
        <v>108333.33333333333</v>
      </c>
      <c r="G30" s="158">
        <v>108333.33333333333</v>
      </c>
      <c r="H30" s="158">
        <v>108333.33333333333</v>
      </c>
      <c r="I30" s="158">
        <v>108333.33333333333</v>
      </c>
      <c r="J30" s="158">
        <v>108333.33333333333</v>
      </c>
      <c r="K30" s="158">
        <v>108333.33333333333</v>
      </c>
      <c r="L30" s="158">
        <v>108333.33333333333</v>
      </c>
      <c r="M30" s="158">
        <v>108333.33333333333</v>
      </c>
      <c r="N30" s="433">
        <f>SUM('1. melléklet'!E57)</f>
        <v>1300000</v>
      </c>
      <c r="O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430" t="s">
        <v>478</v>
      </c>
      <c r="B31" s="158"/>
      <c r="C31" s="158">
        <v>116897</v>
      </c>
      <c r="D31" s="158"/>
      <c r="E31" s="158"/>
      <c r="F31" s="158">
        <v>2365140</v>
      </c>
      <c r="G31" s="158"/>
      <c r="H31" s="158"/>
      <c r="I31" s="158"/>
      <c r="J31" s="158"/>
      <c r="K31" s="158"/>
      <c r="L31" s="158"/>
      <c r="M31" s="158"/>
      <c r="N31" s="433">
        <f>SUM(B31:M31)</f>
        <v>2482037</v>
      </c>
      <c r="O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430" t="s">
        <v>633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433">
        <f>SUM(B32:M32)</f>
        <v>0</v>
      </c>
      <c r="O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430" t="s">
        <v>634</v>
      </c>
      <c r="B33" s="158">
        <v>586255</v>
      </c>
      <c r="C33" s="158">
        <v>318153</v>
      </c>
      <c r="D33" s="158">
        <v>779825</v>
      </c>
      <c r="E33" s="158">
        <v>318153</v>
      </c>
      <c r="F33" s="158">
        <v>318153</v>
      </c>
      <c r="G33" s="158">
        <v>318153</v>
      </c>
      <c r="H33" s="158">
        <v>318153</v>
      </c>
      <c r="I33" s="158">
        <v>318153</v>
      </c>
      <c r="J33" s="158">
        <v>318153</v>
      </c>
      <c r="K33" s="158">
        <v>318153</v>
      </c>
      <c r="L33" s="158">
        <v>330433</v>
      </c>
      <c r="M33" s="158">
        <v>3843722</v>
      </c>
      <c r="N33" s="433">
        <f>SUM(B33:M33)</f>
        <v>8085459</v>
      </c>
      <c r="O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431" t="s">
        <v>479</v>
      </c>
      <c r="B34" s="12">
        <f>SUM(B23:B33)</f>
        <v>93765647.66666667</v>
      </c>
      <c r="C34" s="12">
        <f aca="true" t="shared" si="2" ref="C34:N34">SUM(C23:C33)</f>
        <v>93765644.66666667</v>
      </c>
      <c r="D34" s="12">
        <f t="shared" si="2"/>
        <v>94218602.66666667</v>
      </c>
      <c r="E34" s="12">
        <f t="shared" si="2"/>
        <v>93765647.66666667</v>
      </c>
      <c r="F34" s="12">
        <f t="shared" si="2"/>
        <v>93958197.66666667</v>
      </c>
      <c r="G34" s="12">
        <f t="shared" si="2"/>
        <v>95031223.66666667</v>
      </c>
      <c r="H34" s="12">
        <f t="shared" si="2"/>
        <v>93765647.66666667</v>
      </c>
      <c r="I34" s="12">
        <f t="shared" si="2"/>
        <v>107765646.66666667</v>
      </c>
      <c r="J34" s="12">
        <f t="shared" si="2"/>
        <v>93765647.66666667</v>
      </c>
      <c r="K34" s="12">
        <f t="shared" si="2"/>
        <v>93765647.66666667</v>
      </c>
      <c r="L34" s="12">
        <f t="shared" si="2"/>
        <v>93765647.66666667</v>
      </c>
      <c r="M34" s="12">
        <f t="shared" si="2"/>
        <v>93765641.66666667</v>
      </c>
      <c r="N34" s="432">
        <f t="shared" si="2"/>
        <v>1141098843</v>
      </c>
      <c r="O34" s="10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430" t="s">
        <v>480</v>
      </c>
      <c r="B35" s="17">
        <f>SUM(B21-B34)</f>
        <v>-0.0833333283662796</v>
      </c>
      <c r="C35" s="17">
        <f aca="true" t="shared" si="3" ref="C35:N35">SUM(C21-C34)</f>
        <v>-0.0833333283662796</v>
      </c>
      <c r="D35" s="17">
        <f t="shared" si="3"/>
        <v>-0.0833333283662796</v>
      </c>
      <c r="E35" s="17">
        <f t="shared" si="3"/>
        <v>-0.0833333283662796</v>
      </c>
      <c r="F35" s="17">
        <f t="shared" si="3"/>
        <v>-0.0833333283662796</v>
      </c>
      <c r="G35" s="17">
        <f t="shared" si="3"/>
        <v>-0.0833333283662796</v>
      </c>
      <c r="H35" s="17">
        <f t="shared" si="3"/>
        <v>-0.0833333283662796</v>
      </c>
      <c r="I35" s="17">
        <f t="shared" si="3"/>
        <v>-0.0833333283662796</v>
      </c>
      <c r="J35" s="17">
        <f t="shared" si="3"/>
        <v>-0.0833333283662796</v>
      </c>
      <c r="K35" s="17">
        <f t="shared" si="3"/>
        <v>-0.0833333283662796</v>
      </c>
      <c r="L35" s="17">
        <f t="shared" si="3"/>
        <v>-0.0833333283662796</v>
      </c>
      <c r="M35" s="17">
        <v>0</v>
      </c>
      <c r="N35" s="433">
        <f t="shared" si="3"/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434" t="s">
        <v>481</v>
      </c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6">
        <f>SUM(N34:N35)</f>
        <v>1141098843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/>
      <c r="B37"/>
      <c r="C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40" ht="12.75" customHeight="1">
      <c r="N40" s="5">
        <f>N21-N36</f>
        <v>0</v>
      </c>
    </row>
  </sheetData>
  <sheetProtection selectLockedCells="1" selectUnlockedCells="1"/>
  <mergeCells count="5">
    <mergeCell ref="I1:N1"/>
    <mergeCell ref="A2:N2"/>
    <mergeCell ref="A5:N6"/>
    <mergeCell ref="M7:N7"/>
    <mergeCell ref="D3:K3"/>
  </mergeCells>
  <printOptions horizontalCentered="1"/>
  <pageMargins left="0.35433070866141736" right="0.2362204724409449" top="0.5118110236220472" bottom="0.15748031496062992" header="0.5118110236220472" footer="0.5118110236220472"/>
  <pageSetup firstPageNumber="1" useFirstPageNumber="1" fitToHeight="1" fitToWidth="1" horizontalDpi="600" verticalDpi="600" orientation="landscape" paperSize="9" scale="69" r:id="rId1"/>
  <rowBreaks count="2" manualBreakCount="2">
    <brk id="21" max="13" man="1"/>
    <brk id="24" max="13" man="1"/>
  </rowBreaks>
  <colBreaks count="1" manualBreakCount="1">
    <brk id="7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110" zoomScaleSheetLayoutView="110" zoomScalePageLayoutView="0" workbookViewId="0" topLeftCell="A31">
      <selection activeCell="C67" sqref="C67"/>
    </sheetView>
  </sheetViews>
  <sheetFormatPr defaultColWidth="9.140625" defaultRowHeight="12.75"/>
  <cols>
    <col min="1" max="1" width="5.00390625" style="956" customWidth="1"/>
    <col min="2" max="2" width="15.57421875" style="0" customWidth="1"/>
    <col min="3" max="3" width="76.140625" style="0" customWidth="1"/>
    <col min="4" max="4" width="9.28125" style="0" customWidth="1"/>
    <col min="5" max="5" width="6.57421875" style="0" customWidth="1"/>
    <col min="6" max="6" width="14.7109375" style="52" customWidth="1"/>
    <col min="7" max="7" width="20.8515625" style="52" customWidth="1"/>
    <col min="9" max="9" width="15.28125" style="52" customWidth="1"/>
    <col min="11" max="11" width="16.28125" style="0" customWidth="1"/>
  </cols>
  <sheetData>
    <row r="1" spans="1:9" s="10" customFormat="1" ht="15">
      <c r="A1" s="531"/>
      <c r="F1" s="1760" t="s">
        <v>837</v>
      </c>
      <c r="G1" s="1760"/>
      <c r="I1" s="52"/>
    </row>
    <row r="2" spans="1:7" ht="12.75">
      <c r="A2" s="1761" t="s">
        <v>1010</v>
      </c>
      <c r="B2" s="1761"/>
      <c r="C2" s="1761"/>
      <c r="D2" s="1761"/>
      <c r="E2" s="1761"/>
      <c r="F2" s="1761"/>
      <c r="G2" s="1761"/>
    </row>
    <row r="4" spans="1:9" s="10" customFormat="1" ht="15.75" customHeight="1">
      <c r="A4" s="1762" t="s">
        <v>1011</v>
      </c>
      <c r="B4" s="1762"/>
      <c r="C4" s="1762"/>
      <c r="D4" s="1762"/>
      <c r="E4" s="1762"/>
      <c r="F4" s="1762"/>
      <c r="G4" s="1762"/>
      <c r="I4" s="52"/>
    </row>
    <row r="7" spans="1:9" s="10" customFormat="1" ht="16.5" thickBot="1">
      <c r="A7" s="531"/>
      <c r="C7" s="10" t="s">
        <v>838</v>
      </c>
      <c r="F7" s="52"/>
      <c r="G7" s="942">
        <f>SUM(G33+G46+G56+G59)</f>
        <v>197827616</v>
      </c>
      <c r="I7" s="52"/>
    </row>
    <row r="9" spans="1:9" s="531" customFormat="1" ht="38.25">
      <c r="A9" s="943" t="s">
        <v>33</v>
      </c>
      <c r="B9" s="161" t="s">
        <v>839</v>
      </c>
      <c r="C9" s="161" t="s">
        <v>840</v>
      </c>
      <c r="D9" s="943" t="s">
        <v>841</v>
      </c>
      <c r="E9" s="161" t="s">
        <v>842</v>
      </c>
      <c r="F9" s="974" t="s">
        <v>843</v>
      </c>
      <c r="G9" s="151" t="s">
        <v>844</v>
      </c>
      <c r="I9" s="162"/>
    </row>
    <row r="10" spans="1:7" ht="12.75">
      <c r="A10" s="944" t="s">
        <v>845</v>
      </c>
      <c r="B10" s="103" t="s">
        <v>846</v>
      </c>
      <c r="C10" s="103" t="s">
        <v>847</v>
      </c>
      <c r="D10" s="103" t="s">
        <v>848</v>
      </c>
      <c r="E10" s="945">
        <v>15.54</v>
      </c>
      <c r="F10" s="84">
        <v>4580000</v>
      </c>
      <c r="G10" s="84">
        <v>71173200</v>
      </c>
    </row>
    <row r="11" spans="1:7" ht="12.75">
      <c r="A11" s="161" t="s">
        <v>849</v>
      </c>
      <c r="B11" s="102" t="s">
        <v>850</v>
      </c>
      <c r="C11" s="102" t="s">
        <v>851</v>
      </c>
      <c r="D11" s="102" t="s">
        <v>852</v>
      </c>
      <c r="E11" s="102"/>
      <c r="F11" s="84"/>
      <c r="G11" s="84">
        <v>62033420</v>
      </c>
    </row>
    <row r="12" spans="1:7" ht="12.75">
      <c r="A12" s="1763" t="s">
        <v>853</v>
      </c>
      <c r="B12" s="1763"/>
      <c r="C12" s="1763"/>
      <c r="D12" s="1763"/>
      <c r="E12" s="1763"/>
      <c r="F12" s="1763"/>
      <c r="G12" s="1763"/>
    </row>
    <row r="13" spans="1:7" ht="12.75">
      <c r="A13" s="944" t="s">
        <v>854</v>
      </c>
      <c r="B13" s="103" t="s">
        <v>855</v>
      </c>
      <c r="C13" s="103" t="s">
        <v>856</v>
      </c>
      <c r="D13" s="103" t="s">
        <v>852</v>
      </c>
      <c r="E13" s="103"/>
      <c r="F13" s="84"/>
      <c r="G13" s="84">
        <v>14870770</v>
      </c>
    </row>
    <row r="14" spans="1:9" s="10" customFormat="1" ht="12.75">
      <c r="A14" s="161" t="s">
        <v>857</v>
      </c>
      <c r="B14" s="102" t="s">
        <v>858</v>
      </c>
      <c r="C14" s="102" t="s">
        <v>859</v>
      </c>
      <c r="D14" s="102" t="s">
        <v>852</v>
      </c>
      <c r="E14" s="102"/>
      <c r="F14" s="84"/>
      <c r="G14" s="84">
        <v>0</v>
      </c>
      <c r="I14" s="52"/>
    </row>
    <row r="15" spans="1:7" ht="12.75">
      <c r="A15" s="944" t="s">
        <v>860</v>
      </c>
      <c r="B15" s="103" t="s">
        <v>861</v>
      </c>
      <c r="C15" s="103" t="s">
        <v>862</v>
      </c>
      <c r="D15" s="103" t="s">
        <v>863</v>
      </c>
      <c r="E15" s="103"/>
      <c r="F15" s="84">
        <v>22300</v>
      </c>
      <c r="G15" s="84">
        <v>4007310</v>
      </c>
    </row>
    <row r="16" spans="1:9" s="10" customFormat="1" ht="12.75">
      <c r="A16" s="161" t="s">
        <v>864</v>
      </c>
      <c r="B16" s="102" t="s">
        <v>865</v>
      </c>
      <c r="C16" s="102" t="s">
        <v>866</v>
      </c>
      <c r="D16" s="102" t="s">
        <v>852</v>
      </c>
      <c r="E16" s="102"/>
      <c r="F16" s="84">
        <v>22300</v>
      </c>
      <c r="G16" s="84">
        <v>0</v>
      </c>
      <c r="I16" s="52"/>
    </row>
    <row r="17" spans="1:7" ht="12.75">
      <c r="A17" s="944" t="s">
        <v>867</v>
      </c>
      <c r="B17" s="103" t="s">
        <v>868</v>
      </c>
      <c r="C17" s="103" t="s">
        <v>869</v>
      </c>
      <c r="D17" s="103" t="s">
        <v>870</v>
      </c>
      <c r="E17" s="103"/>
      <c r="F17" s="84"/>
      <c r="G17" s="84">
        <v>7136000</v>
      </c>
    </row>
    <row r="18" spans="1:9" s="10" customFormat="1" ht="12.75">
      <c r="A18" s="161" t="s">
        <v>871</v>
      </c>
      <c r="B18" s="102" t="s">
        <v>872</v>
      </c>
      <c r="C18" s="102" t="s">
        <v>873</v>
      </c>
      <c r="D18" s="102" t="s">
        <v>852</v>
      </c>
      <c r="E18" s="102"/>
      <c r="F18" s="84"/>
      <c r="G18" s="84">
        <v>0</v>
      </c>
      <c r="I18" s="52"/>
    </row>
    <row r="19" spans="1:7" ht="12.75">
      <c r="A19" s="944" t="s">
        <v>874</v>
      </c>
      <c r="B19" s="103" t="s">
        <v>875</v>
      </c>
      <c r="C19" s="103" t="s">
        <v>876</v>
      </c>
      <c r="D19" s="103" t="s">
        <v>877</v>
      </c>
      <c r="E19" s="103"/>
      <c r="F19" s="84"/>
      <c r="G19" s="84">
        <v>100000</v>
      </c>
    </row>
    <row r="20" spans="1:9" s="10" customFormat="1" ht="12.75">
      <c r="A20" s="161" t="s">
        <v>878</v>
      </c>
      <c r="B20" s="102" t="s">
        <v>879</v>
      </c>
      <c r="C20" s="102" t="s">
        <v>880</v>
      </c>
      <c r="D20" s="102" t="s">
        <v>852</v>
      </c>
      <c r="E20" s="102"/>
      <c r="F20" s="84"/>
      <c r="G20" s="84">
        <v>0</v>
      </c>
      <c r="I20" s="52"/>
    </row>
    <row r="21" spans="1:7" ht="12.75">
      <c r="A21" s="944" t="s">
        <v>881</v>
      </c>
      <c r="B21" s="103" t="s">
        <v>882</v>
      </c>
      <c r="C21" s="103" t="s">
        <v>883</v>
      </c>
      <c r="D21" s="103" t="s">
        <v>870</v>
      </c>
      <c r="E21" s="103"/>
      <c r="F21" s="84"/>
      <c r="G21" s="84">
        <v>3627460</v>
      </c>
    </row>
    <row r="22" spans="1:9" s="10" customFormat="1" ht="12.75">
      <c r="A22" s="161" t="s">
        <v>884</v>
      </c>
      <c r="B22" s="102" t="s">
        <v>885</v>
      </c>
      <c r="C22" s="102" t="s">
        <v>886</v>
      </c>
      <c r="D22" s="102" t="s">
        <v>852</v>
      </c>
      <c r="E22" s="102"/>
      <c r="F22" s="84"/>
      <c r="G22" s="84">
        <v>0</v>
      </c>
      <c r="I22" s="52"/>
    </row>
    <row r="23" spans="1:7" ht="12.75">
      <c r="A23" s="944" t="s">
        <v>887</v>
      </c>
      <c r="B23" s="103" t="s">
        <v>888</v>
      </c>
      <c r="C23" s="103" t="s">
        <v>889</v>
      </c>
      <c r="D23" s="103" t="s">
        <v>890</v>
      </c>
      <c r="E23" s="103"/>
      <c r="F23" s="84">
        <v>2700</v>
      </c>
      <c r="G23" s="84">
        <v>9433800</v>
      </c>
    </row>
    <row r="24" spans="1:9" s="10" customFormat="1" ht="12.75">
      <c r="A24" s="161" t="s">
        <v>891</v>
      </c>
      <c r="B24" s="102" t="s">
        <v>892</v>
      </c>
      <c r="C24" s="102" t="s">
        <v>893</v>
      </c>
      <c r="D24" s="102" t="s">
        <v>852</v>
      </c>
      <c r="E24" s="102"/>
      <c r="F24" s="84">
        <v>2700</v>
      </c>
      <c r="G24" s="84">
        <v>0</v>
      </c>
      <c r="I24" s="52"/>
    </row>
    <row r="25" spans="1:7" ht="25.5">
      <c r="A25" s="944" t="s">
        <v>894</v>
      </c>
      <c r="B25" s="103" t="s">
        <v>895</v>
      </c>
      <c r="C25" s="103" t="s">
        <v>896</v>
      </c>
      <c r="D25" s="104" t="s">
        <v>897</v>
      </c>
      <c r="E25" s="103"/>
      <c r="F25" s="84">
        <v>2550</v>
      </c>
      <c r="G25" s="84">
        <v>311100</v>
      </c>
    </row>
    <row r="26" spans="1:9" s="10" customFormat="1" ht="12.75">
      <c r="A26" s="161" t="s">
        <v>898</v>
      </c>
      <c r="B26" s="102" t="s">
        <v>899</v>
      </c>
      <c r="C26" s="102" t="s">
        <v>900</v>
      </c>
      <c r="D26" s="102" t="s">
        <v>852</v>
      </c>
      <c r="E26" s="102"/>
      <c r="F26" s="84">
        <v>2550</v>
      </c>
      <c r="G26" s="84">
        <v>0</v>
      </c>
      <c r="I26" s="52"/>
    </row>
    <row r="27" spans="1:7" ht="12.75">
      <c r="A27" s="944">
        <v>17</v>
      </c>
      <c r="B27" s="103" t="s">
        <v>901</v>
      </c>
      <c r="C27" s="103" t="s">
        <v>902</v>
      </c>
      <c r="D27" s="103" t="s">
        <v>852</v>
      </c>
      <c r="E27" s="103"/>
      <c r="F27" s="84"/>
      <c r="G27" s="84">
        <v>62033420</v>
      </c>
    </row>
    <row r="28" spans="1:7" ht="12.75">
      <c r="A28" s="944">
        <v>18</v>
      </c>
      <c r="B28" s="103" t="s">
        <v>903</v>
      </c>
      <c r="C28" s="103" t="s">
        <v>904</v>
      </c>
      <c r="D28" s="103" t="s">
        <v>852</v>
      </c>
      <c r="E28" s="103"/>
      <c r="F28" s="84"/>
      <c r="G28" s="84">
        <v>33755450</v>
      </c>
    </row>
    <row r="29" spans="1:7" ht="25.5">
      <c r="A29" s="944">
        <v>19</v>
      </c>
      <c r="B29" s="104" t="s">
        <v>905</v>
      </c>
      <c r="C29" s="103" t="s">
        <v>906</v>
      </c>
      <c r="D29" s="103" t="s">
        <v>852</v>
      </c>
      <c r="E29" s="103"/>
      <c r="F29" s="84"/>
      <c r="G29" s="84">
        <v>0</v>
      </c>
    </row>
    <row r="30" spans="1:7" ht="12.75">
      <c r="A30" s="944">
        <v>20</v>
      </c>
      <c r="B30" s="103" t="s">
        <v>907</v>
      </c>
      <c r="C30" s="103" t="s">
        <v>908</v>
      </c>
      <c r="D30" s="103" t="s">
        <v>909</v>
      </c>
      <c r="E30" s="17"/>
      <c r="F30" s="84"/>
      <c r="G30" s="84">
        <v>0</v>
      </c>
    </row>
    <row r="31" spans="1:7" ht="12.75">
      <c r="A31" s="944">
        <v>21</v>
      </c>
      <c r="B31" s="103" t="s">
        <v>968</v>
      </c>
      <c r="C31" s="103" t="s">
        <v>967</v>
      </c>
      <c r="D31" s="103"/>
      <c r="E31" s="17"/>
      <c r="F31" s="84"/>
      <c r="G31" s="84">
        <v>0</v>
      </c>
    </row>
    <row r="32" spans="1:7" ht="12.75">
      <c r="A32" s="944">
        <v>22</v>
      </c>
      <c r="B32" s="103" t="s">
        <v>910</v>
      </c>
      <c r="C32" s="103" t="s">
        <v>969</v>
      </c>
      <c r="D32" s="103" t="s">
        <v>852</v>
      </c>
      <c r="E32" s="17"/>
      <c r="F32" s="84"/>
      <c r="G32" s="84">
        <v>243100</v>
      </c>
    </row>
    <row r="33" spans="1:9" s="10" customFormat="1" ht="31.5">
      <c r="A33" s="946" t="s">
        <v>911</v>
      </c>
      <c r="B33" s="947" t="s">
        <v>912</v>
      </c>
      <c r="C33" s="948" t="s">
        <v>913</v>
      </c>
      <c r="D33" s="947" t="s">
        <v>852</v>
      </c>
      <c r="E33" s="947"/>
      <c r="F33" s="973"/>
      <c r="G33" s="949">
        <f>SUM(G27+G32)</f>
        <v>62276520</v>
      </c>
      <c r="I33" s="52"/>
    </row>
    <row r="34" spans="1:7" ht="12.75">
      <c r="A34" s="956">
        <v>24</v>
      </c>
      <c r="B34" s="1755" t="s">
        <v>914</v>
      </c>
      <c r="C34" s="1756"/>
      <c r="D34" s="1756"/>
      <c r="E34" s="1756"/>
      <c r="F34" s="1756"/>
      <c r="G34" s="1757"/>
    </row>
    <row r="35" spans="1:7" ht="12.75">
      <c r="A35" s="944" t="s">
        <v>915</v>
      </c>
      <c r="B35" s="103" t="s">
        <v>916</v>
      </c>
      <c r="C35" s="103" t="s">
        <v>971</v>
      </c>
      <c r="D35" s="103" t="s">
        <v>890</v>
      </c>
      <c r="E35" s="950">
        <v>10.7</v>
      </c>
      <c r="F35" s="84">
        <v>4371500</v>
      </c>
      <c r="G35" s="84">
        <v>31183367</v>
      </c>
    </row>
    <row r="36" spans="1:7" ht="12.75">
      <c r="A36" s="944" t="s">
        <v>917</v>
      </c>
      <c r="B36" s="103" t="s">
        <v>918</v>
      </c>
      <c r="C36" s="103" t="s">
        <v>919</v>
      </c>
      <c r="D36" s="103" t="s">
        <v>890</v>
      </c>
      <c r="E36" s="950">
        <v>7</v>
      </c>
      <c r="F36" s="84">
        <v>2205000</v>
      </c>
      <c r="G36" s="84">
        <v>10290000</v>
      </c>
    </row>
    <row r="37" spans="1:7" ht="12.75">
      <c r="A37" s="944">
        <v>27</v>
      </c>
      <c r="B37" s="103" t="s">
        <v>920</v>
      </c>
      <c r="C37" s="103" t="s">
        <v>970</v>
      </c>
      <c r="D37" s="103" t="s">
        <v>890</v>
      </c>
      <c r="E37" s="950">
        <v>8.6</v>
      </c>
      <c r="F37" s="84">
        <v>4371500</v>
      </c>
      <c r="G37" s="84">
        <v>12531633</v>
      </c>
    </row>
    <row r="38" spans="1:7" ht="12.75">
      <c r="A38" s="944">
        <v>28</v>
      </c>
      <c r="B38" s="103" t="s">
        <v>921</v>
      </c>
      <c r="C38" s="103" t="s">
        <v>919</v>
      </c>
      <c r="D38" s="103" t="s">
        <v>890</v>
      </c>
      <c r="E38" s="950">
        <v>7</v>
      </c>
      <c r="F38" s="84">
        <v>2205000</v>
      </c>
      <c r="G38" s="84">
        <v>5145000</v>
      </c>
    </row>
    <row r="39" spans="1:7" ht="12.75">
      <c r="A39" s="956">
        <v>29</v>
      </c>
      <c r="B39" s="1755" t="s">
        <v>922</v>
      </c>
      <c r="C39" s="1756"/>
      <c r="D39" s="1756"/>
      <c r="E39" s="1756"/>
      <c r="F39" s="1756"/>
      <c r="G39" s="1757"/>
    </row>
    <row r="40" spans="1:7" ht="12.75">
      <c r="A40" s="944">
        <v>30</v>
      </c>
      <c r="B40" s="103" t="s">
        <v>923</v>
      </c>
      <c r="C40" s="103" t="s">
        <v>924</v>
      </c>
      <c r="D40" s="103" t="s">
        <v>890</v>
      </c>
      <c r="E40" s="17">
        <v>118</v>
      </c>
      <c r="F40" s="84">
        <v>97400</v>
      </c>
      <c r="G40" s="84">
        <v>7662133</v>
      </c>
    </row>
    <row r="41" spans="1:7" ht="12.75">
      <c r="A41" s="944">
        <v>31</v>
      </c>
      <c r="B41" s="103" t="s">
        <v>972</v>
      </c>
      <c r="C41" s="103" t="s">
        <v>924</v>
      </c>
      <c r="D41" s="103" t="s">
        <v>890</v>
      </c>
      <c r="E41" s="103">
        <v>95</v>
      </c>
      <c r="F41" s="951">
        <v>97400</v>
      </c>
      <c r="G41" s="84">
        <v>3084333</v>
      </c>
    </row>
    <row r="42" spans="1:7" ht="12.75">
      <c r="A42" s="956">
        <v>32</v>
      </c>
      <c r="B42" s="1755" t="s">
        <v>973</v>
      </c>
      <c r="C42" s="1756"/>
      <c r="D42" s="1756"/>
      <c r="E42" s="1756"/>
      <c r="F42" s="1756"/>
      <c r="G42" s="1757"/>
    </row>
    <row r="43" spans="1:7" ht="25.5">
      <c r="A43" s="944">
        <v>33</v>
      </c>
      <c r="B43" s="103" t="s">
        <v>974</v>
      </c>
      <c r="C43" s="104" t="s">
        <v>925</v>
      </c>
      <c r="D43" s="103" t="s">
        <v>890</v>
      </c>
      <c r="E43" s="103">
        <v>3</v>
      </c>
      <c r="F43" s="84">
        <v>396700</v>
      </c>
      <c r="G43" s="84">
        <v>1190100</v>
      </c>
    </row>
    <row r="44" spans="1:7" ht="12.75">
      <c r="A44" s="944">
        <v>34</v>
      </c>
      <c r="B44" s="103" t="s">
        <v>1012</v>
      </c>
      <c r="C44" s="104"/>
      <c r="D44" s="103"/>
      <c r="E44" s="103"/>
      <c r="F44" s="84"/>
      <c r="G44" s="84"/>
    </row>
    <row r="45" spans="1:7" ht="12.75">
      <c r="A45" s="944">
        <v>35</v>
      </c>
      <c r="B45" s="103" t="s">
        <v>1013</v>
      </c>
      <c r="C45" s="104" t="s">
        <v>1014</v>
      </c>
      <c r="D45" s="103" t="s">
        <v>890</v>
      </c>
      <c r="E45" s="103">
        <v>3</v>
      </c>
      <c r="F45" s="84">
        <v>563000</v>
      </c>
      <c r="G45" s="84">
        <v>1689000</v>
      </c>
    </row>
    <row r="46" spans="1:7" ht="31.5">
      <c r="A46" s="946">
        <v>36</v>
      </c>
      <c r="B46" s="947" t="s">
        <v>926</v>
      </c>
      <c r="C46" s="948" t="s">
        <v>927</v>
      </c>
      <c r="D46" s="947" t="s">
        <v>852</v>
      </c>
      <c r="E46" s="947"/>
      <c r="F46" s="973"/>
      <c r="G46" s="949">
        <f>SUM(G35+G36+G37+G38+G40+G41+G43+G45)</f>
        <v>72775566</v>
      </c>
    </row>
    <row r="47" spans="1:9" s="163" customFormat="1" ht="12.75">
      <c r="A47" s="952">
        <v>37</v>
      </c>
      <c r="B47" s="953" t="s">
        <v>928</v>
      </c>
      <c r="C47" s="954" t="s">
        <v>929</v>
      </c>
      <c r="D47" s="953" t="s">
        <v>852</v>
      </c>
      <c r="E47" s="953"/>
      <c r="F47" s="87"/>
      <c r="G47" s="67">
        <v>3812000</v>
      </c>
      <c r="I47" s="955"/>
    </row>
    <row r="48" spans="1:7" ht="12.75">
      <c r="A48" s="956">
        <v>38</v>
      </c>
      <c r="B48" s="1755" t="s">
        <v>930</v>
      </c>
      <c r="C48" s="1756"/>
      <c r="D48" s="1756"/>
      <c r="E48" s="1756"/>
      <c r="F48" s="1756"/>
      <c r="G48" s="1757"/>
    </row>
    <row r="49" spans="1:9" s="447" customFormat="1" ht="25.5" customHeight="1">
      <c r="A49" s="944">
        <v>39</v>
      </c>
      <c r="B49" s="969" t="s">
        <v>931</v>
      </c>
      <c r="C49" s="969" t="s">
        <v>932</v>
      </c>
      <c r="D49" s="1758" t="s">
        <v>933</v>
      </c>
      <c r="E49" s="1759"/>
      <c r="F49" s="970">
        <v>3400000</v>
      </c>
      <c r="G49" s="970">
        <v>17000000</v>
      </c>
      <c r="I49" s="971"/>
    </row>
    <row r="50" spans="1:7" ht="12.75">
      <c r="A50" s="956">
        <v>40</v>
      </c>
      <c r="B50" s="1755" t="s">
        <v>934</v>
      </c>
      <c r="C50" s="1756"/>
      <c r="D50" s="1756"/>
      <c r="E50" s="1756"/>
      <c r="F50" s="1756"/>
      <c r="G50" s="1757"/>
    </row>
    <row r="51" spans="1:7" ht="12.75">
      <c r="A51" s="944">
        <v>41</v>
      </c>
      <c r="B51" s="103" t="s">
        <v>975</v>
      </c>
      <c r="C51" s="103" t="s">
        <v>976</v>
      </c>
      <c r="D51" s="103" t="s">
        <v>890</v>
      </c>
      <c r="E51" s="103">
        <v>8.51</v>
      </c>
      <c r="F51" s="84">
        <v>1900000</v>
      </c>
      <c r="G51" s="84">
        <v>16169000</v>
      </c>
    </row>
    <row r="52" spans="1:7" ht="12.75">
      <c r="A52" s="944">
        <v>42</v>
      </c>
      <c r="B52" s="103" t="s">
        <v>935</v>
      </c>
      <c r="C52" s="103" t="s">
        <v>936</v>
      </c>
      <c r="D52" s="103" t="s">
        <v>852</v>
      </c>
      <c r="E52" s="103">
        <v>0</v>
      </c>
      <c r="F52" s="84"/>
      <c r="G52" s="84">
        <v>11867790</v>
      </c>
    </row>
    <row r="53" spans="1:7" ht="12.75">
      <c r="A53" s="969">
        <v>43</v>
      </c>
      <c r="B53" s="1755" t="s">
        <v>1015</v>
      </c>
      <c r="C53" s="1756"/>
      <c r="D53" s="1756"/>
      <c r="E53" s="1756"/>
      <c r="F53" s="1756"/>
      <c r="G53" s="1757"/>
    </row>
    <row r="54" spans="1:11" ht="12.75">
      <c r="A54" s="944">
        <v>44</v>
      </c>
      <c r="B54" s="103" t="s">
        <v>1016</v>
      </c>
      <c r="C54" s="103" t="s">
        <v>977</v>
      </c>
      <c r="D54" s="103" t="s">
        <v>890</v>
      </c>
      <c r="E54" s="103">
        <v>3</v>
      </c>
      <c r="F54" s="84">
        <v>2993000</v>
      </c>
      <c r="G54" s="84">
        <v>8979000</v>
      </c>
      <c r="K54" s="52"/>
    </row>
    <row r="55" spans="1:11" ht="12.75">
      <c r="A55" s="944">
        <v>45</v>
      </c>
      <c r="B55" s="103" t="s">
        <v>1017</v>
      </c>
      <c r="C55" s="103" t="s">
        <v>978</v>
      </c>
      <c r="D55" s="103" t="s">
        <v>852</v>
      </c>
      <c r="E55" s="103"/>
      <c r="F55" s="84"/>
      <c r="G55" s="84">
        <v>720000</v>
      </c>
      <c r="K55" s="52"/>
    </row>
    <row r="56" spans="1:9" s="838" customFormat="1" ht="31.5">
      <c r="A56" s="946">
        <v>46</v>
      </c>
      <c r="B56" s="972" t="s">
        <v>173</v>
      </c>
      <c r="C56" s="948" t="s">
        <v>937</v>
      </c>
      <c r="D56" s="947" t="s">
        <v>852</v>
      </c>
      <c r="E56" s="947"/>
      <c r="F56" s="973"/>
      <c r="G56" s="949">
        <f>SUM(G47+G49+G51+G52+G54+G55)</f>
        <v>58547790</v>
      </c>
      <c r="I56" s="52"/>
    </row>
    <row r="57" spans="1:7" ht="12.75">
      <c r="A57" s="956">
        <v>47</v>
      </c>
      <c r="B57" s="1755" t="s">
        <v>938</v>
      </c>
      <c r="C57" s="1756"/>
      <c r="D57" s="1756"/>
      <c r="E57" s="1756"/>
      <c r="F57" s="1756"/>
      <c r="G57" s="1757"/>
    </row>
    <row r="58" spans="1:7" ht="38.25">
      <c r="A58" s="944">
        <v>48</v>
      </c>
      <c r="B58" s="103" t="s">
        <v>940</v>
      </c>
      <c r="C58" s="104" t="s">
        <v>941</v>
      </c>
      <c r="D58" s="103" t="s">
        <v>939</v>
      </c>
      <c r="E58" s="103"/>
      <c r="F58" s="84">
        <v>1210</v>
      </c>
      <c r="G58" s="84">
        <v>4227740</v>
      </c>
    </row>
    <row r="59" spans="1:7" ht="15.75">
      <c r="A59" s="946">
        <v>49</v>
      </c>
      <c r="B59" s="947" t="s">
        <v>182</v>
      </c>
      <c r="C59" s="947" t="s">
        <v>942</v>
      </c>
      <c r="D59" s="947" t="s">
        <v>939</v>
      </c>
      <c r="E59" s="947"/>
      <c r="F59" s="973"/>
      <c r="G59" s="949">
        <f>SUM(G58)</f>
        <v>4227740</v>
      </c>
    </row>
  </sheetData>
  <sheetProtection selectLockedCells="1" selectUnlockedCells="1"/>
  <mergeCells count="12">
    <mergeCell ref="B39:G39"/>
    <mergeCell ref="B42:G42"/>
    <mergeCell ref="B48:G48"/>
    <mergeCell ref="D49:E49"/>
    <mergeCell ref="B50:G50"/>
    <mergeCell ref="B53:G53"/>
    <mergeCell ref="B57:G57"/>
    <mergeCell ref="F1:G1"/>
    <mergeCell ref="A2:G2"/>
    <mergeCell ref="A4:G4"/>
    <mergeCell ref="A12:G12"/>
    <mergeCell ref="B34:G34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7.28125" style="0" customWidth="1"/>
    <col min="2" max="2" width="17.140625" style="0" customWidth="1"/>
    <col min="3" max="3" width="29.57421875" style="0" customWidth="1"/>
    <col min="4" max="4" width="18.7109375" style="0" customWidth="1"/>
    <col min="5" max="5" width="11.00390625" style="0" customWidth="1"/>
  </cols>
  <sheetData>
    <row r="1" spans="1:15" ht="15.75" customHeight="1">
      <c r="A1" s="1764" t="s">
        <v>943</v>
      </c>
      <c r="B1" s="1764"/>
      <c r="C1" s="1764"/>
      <c r="D1" s="1764"/>
      <c r="E1" s="1764"/>
      <c r="F1" s="1764"/>
      <c r="G1" s="1764"/>
      <c r="H1" s="1764"/>
      <c r="I1" s="1764"/>
      <c r="J1" s="1764"/>
      <c r="K1" s="1764"/>
      <c r="L1" s="1764"/>
      <c r="M1" s="1764"/>
      <c r="N1" s="1764"/>
      <c r="O1" s="1764"/>
    </row>
    <row r="2" spans="1:15" ht="15.75" customHeight="1">
      <c r="A2" s="1765"/>
      <c r="B2" s="1765"/>
      <c r="C2" s="1765"/>
      <c r="D2" s="1765"/>
      <c r="E2" s="1765"/>
      <c r="F2" s="923"/>
      <c r="G2" s="923"/>
      <c r="H2" s="923"/>
      <c r="I2" s="923"/>
      <c r="J2" s="923"/>
      <c r="K2" s="923"/>
      <c r="L2" s="923"/>
      <c r="M2" s="923"/>
      <c r="N2" s="923"/>
      <c r="O2" s="923"/>
    </row>
    <row r="3" spans="2:6" ht="18" customHeight="1">
      <c r="B3" s="1762" t="s">
        <v>1010</v>
      </c>
      <c r="C3" s="1762"/>
      <c r="D3" s="1762"/>
      <c r="E3" s="1762"/>
      <c r="F3" s="1762"/>
    </row>
    <row r="4" ht="18" customHeight="1">
      <c r="F4" s="957"/>
    </row>
    <row r="5" spans="2:15" ht="37.5" customHeight="1">
      <c r="B5" s="1650" t="s">
        <v>944</v>
      </c>
      <c r="C5" s="1650"/>
      <c r="D5" s="1650"/>
      <c r="E5" s="1650"/>
      <c r="F5" s="1650"/>
      <c r="G5" s="1650"/>
      <c r="H5" s="1650"/>
      <c r="I5" s="1650"/>
      <c r="J5" s="1650"/>
      <c r="K5" s="1650"/>
      <c r="L5" s="1650"/>
      <c r="M5" s="1650"/>
      <c r="N5" s="1650"/>
      <c r="O5" s="1650"/>
    </row>
    <row r="6" spans="2:15" ht="12.75">
      <c r="B6" s="958"/>
      <c r="C6" s="958"/>
      <c r="D6" s="958"/>
      <c r="E6" s="958"/>
      <c r="F6" s="958"/>
      <c r="G6" s="958"/>
      <c r="H6" s="958"/>
      <c r="I6" s="958"/>
      <c r="J6" s="958"/>
      <c r="K6" s="958"/>
      <c r="L6" s="958"/>
      <c r="M6" s="958"/>
      <c r="N6" s="958"/>
      <c r="O6" s="958"/>
    </row>
    <row r="8" spans="14:15" ht="12.75">
      <c r="N8" s="1766" t="s">
        <v>155</v>
      </c>
      <c r="O8" s="1766"/>
    </row>
    <row r="9" spans="1:15" ht="14.25" customHeight="1">
      <c r="A9" s="1767" t="s">
        <v>33</v>
      </c>
      <c r="B9" s="1750" t="s">
        <v>945</v>
      </c>
      <c r="C9" s="1768" t="s">
        <v>946</v>
      </c>
      <c r="D9" s="1750" t="s">
        <v>947</v>
      </c>
      <c r="E9" s="1768" t="s">
        <v>948</v>
      </c>
      <c r="F9" s="1769"/>
      <c r="G9" s="1769"/>
      <c r="H9" s="1769"/>
      <c r="I9" s="1769"/>
      <c r="J9" s="1769"/>
      <c r="K9" s="1769"/>
      <c r="L9" s="1769"/>
      <c r="M9" s="1769"/>
      <c r="N9" s="1769"/>
      <c r="O9" s="1769"/>
    </row>
    <row r="10" spans="1:15" ht="12.75">
      <c r="A10" s="1767"/>
      <c r="B10" s="1750"/>
      <c r="C10" s="1768"/>
      <c r="D10" s="1750"/>
      <c r="E10" s="1768"/>
      <c r="F10" s="959" t="s">
        <v>949</v>
      </c>
      <c r="G10" s="959">
        <v>2020</v>
      </c>
      <c r="H10" s="959">
        <v>2021</v>
      </c>
      <c r="I10" s="959">
        <v>2022</v>
      </c>
      <c r="J10" s="959">
        <v>2023</v>
      </c>
      <c r="K10" s="959">
        <v>2024</v>
      </c>
      <c r="L10" s="959">
        <v>2025</v>
      </c>
      <c r="M10" s="959">
        <v>2026</v>
      </c>
      <c r="N10" s="959">
        <v>2027</v>
      </c>
      <c r="O10" s="959">
        <v>2028</v>
      </c>
    </row>
    <row r="11" spans="1:15" ht="12.75">
      <c r="A11" s="1767"/>
      <c r="B11" s="960" t="s">
        <v>158</v>
      </c>
      <c r="C11" s="961" t="s">
        <v>159</v>
      </c>
      <c r="D11" s="960" t="s">
        <v>160</v>
      </c>
      <c r="E11" s="961" t="s">
        <v>161</v>
      </c>
      <c r="F11" s="961" t="s">
        <v>462</v>
      </c>
      <c r="G11" s="961" t="s">
        <v>482</v>
      </c>
      <c r="H11" s="961" t="s">
        <v>715</v>
      </c>
      <c r="I11" s="961" t="s">
        <v>796</v>
      </c>
      <c r="J11" s="961" t="s">
        <v>799</v>
      </c>
      <c r="K11" s="961" t="s">
        <v>950</v>
      </c>
      <c r="L11" s="961" t="s">
        <v>951</v>
      </c>
      <c r="M11" s="961" t="s">
        <v>952</v>
      </c>
      <c r="N11" s="961" t="s">
        <v>953</v>
      </c>
      <c r="O11" s="961" t="s">
        <v>954</v>
      </c>
    </row>
    <row r="12" spans="1:15" ht="12.75">
      <c r="A12" s="165" t="s">
        <v>38</v>
      </c>
      <c r="B12" s="104"/>
      <c r="C12" s="103"/>
      <c r="D12" s="103">
        <v>0</v>
      </c>
      <c r="E12" s="103"/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</row>
    <row r="15" ht="12.75">
      <c r="B15" t="s">
        <v>955</v>
      </c>
    </row>
    <row r="16" spans="1:15" ht="14.25" customHeight="1">
      <c r="A16" s="1770" t="s">
        <v>33</v>
      </c>
      <c r="B16" s="1771" t="s">
        <v>215</v>
      </c>
      <c r="C16" s="1771"/>
      <c r="D16" s="1771"/>
      <c r="E16" s="1771"/>
      <c r="F16" s="1772" t="s">
        <v>955</v>
      </c>
      <c r="G16" s="1772"/>
      <c r="H16" s="1772"/>
      <c r="I16" s="1772"/>
      <c r="J16" s="1772"/>
      <c r="K16" s="1772"/>
      <c r="L16" s="1772"/>
      <c r="M16" s="1772"/>
      <c r="N16" s="1772"/>
      <c r="O16" s="1772"/>
    </row>
    <row r="17" spans="1:15" ht="12.75">
      <c r="A17" s="1770"/>
      <c r="B17" s="1771"/>
      <c r="C17" s="1771"/>
      <c r="D17" s="1771"/>
      <c r="E17" s="1771"/>
      <c r="F17" s="962" t="s">
        <v>956</v>
      </c>
      <c r="G17" s="962">
        <v>2020</v>
      </c>
      <c r="H17" s="962">
        <v>2021</v>
      </c>
      <c r="I17" s="962">
        <v>2022</v>
      </c>
      <c r="J17" s="962">
        <v>2023</v>
      </c>
      <c r="K17" s="962">
        <v>2024</v>
      </c>
      <c r="L17" s="962">
        <v>2025</v>
      </c>
      <c r="M17" s="962">
        <v>2026</v>
      </c>
      <c r="N17" s="962">
        <v>2027</v>
      </c>
      <c r="O17" s="962">
        <v>2028</v>
      </c>
    </row>
    <row r="18" spans="1:15" ht="14.25" customHeight="1">
      <c r="A18" s="1770"/>
      <c r="B18" s="1750" t="s">
        <v>158</v>
      </c>
      <c r="C18" s="1750"/>
      <c r="D18" s="1750"/>
      <c r="E18" s="1750"/>
      <c r="F18" s="928" t="s">
        <v>159</v>
      </c>
      <c r="G18" s="928" t="s">
        <v>160</v>
      </c>
      <c r="H18" s="928" t="s">
        <v>161</v>
      </c>
      <c r="I18" s="928" t="s">
        <v>462</v>
      </c>
      <c r="J18" s="928" t="s">
        <v>482</v>
      </c>
      <c r="K18" s="928" t="s">
        <v>715</v>
      </c>
      <c r="L18" s="928" t="s">
        <v>796</v>
      </c>
      <c r="M18" s="928" t="s">
        <v>799</v>
      </c>
      <c r="N18" s="928" t="s">
        <v>950</v>
      </c>
      <c r="O18" s="928" t="s">
        <v>951</v>
      </c>
    </row>
    <row r="19" spans="1:15" ht="14.25" customHeight="1">
      <c r="A19" s="963" t="s">
        <v>38</v>
      </c>
      <c r="B19" s="1773" t="s">
        <v>39</v>
      </c>
      <c r="C19" s="1773"/>
      <c r="D19" s="1773"/>
      <c r="E19" s="1773"/>
      <c r="F19" s="964"/>
      <c r="G19" s="964"/>
      <c r="H19" s="964"/>
      <c r="I19" s="964"/>
      <c r="J19" s="964"/>
      <c r="K19" s="964"/>
      <c r="L19" s="964"/>
      <c r="M19" s="964"/>
      <c r="N19" s="964"/>
      <c r="O19" s="964"/>
    </row>
    <row r="20" spans="1:15" ht="14.25" customHeight="1">
      <c r="A20" s="963" t="s">
        <v>40</v>
      </c>
      <c r="B20" s="1775" t="s">
        <v>957</v>
      </c>
      <c r="C20" s="1775"/>
      <c r="D20" s="1775"/>
      <c r="E20" s="1775"/>
      <c r="F20" s="965"/>
      <c r="G20" s="965"/>
      <c r="H20" s="965"/>
      <c r="I20" s="965"/>
      <c r="J20" s="965"/>
      <c r="K20" s="965"/>
      <c r="L20" s="965"/>
      <c r="M20" s="965"/>
      <c r="N20" s="965"/>
      <c r="O20" s="965"/>
    </row>
    <row r="21" spans="1:15" ht="14.25" customHeight="1">
      <c r="A21" s="963" t="s">
        <v>47</v>
      </c>
      <c r="B21" s="1775" t="s">
        <v>958</v>
      </c>
      <c r="C21" s="1775"/>
      <c r="D21" s="1775"/>
      <c r="E21" s="1775"/>
      <c r="F21" s="965"/>
      <c r="G21" s="965"/>
      <c r="H21" s="965"/>
      <c r="I21" s="965"/>
      <c r="J21" s="965"/>
      <c r="K21" s="965"/>
      <c r="L21" s="965"/>
      <c r="M21" s="965"/>
      <c r="N21" s="965"/>
      <c r="O21" s="965"/>
    </row>
    <row r="22" spans="1:15" ht="26.25" customHeight="1">
      <c r="A22" s="963" t="s">
        <v>49</v>
      </c>
      <c r="B22" s="1775" t="s">
        <v>959</v>
      </c>
      <c r="C22" s="1775"/>
      <c r="D22" s="1775"/>
      <c r="E22" s="1775"/>
      <c r="F22" s="965"/>
      <c r="G22" s="965"/>
      <c r="H22" s="965"/>
      <c r="I22" s="965"/>
      <c r="J22" s="965"/>
      <c r="K22" s="965"/>
      <c r="L22" s="965"/>
      <c r="M22" s="965"/>
      <c r="N22" s="965"/>
      <c r="O22" s="965"/>
    </row>
    <row r="23" spans="1:15" ht="14.25" customHeight="1">
      <c r="A23" s="963" t="s">
        <v>51</v>
      </c>
      <c r="B23" s="1775" t="s">
        <v>960</v>
      </c>
      <c r="C23" s="1775"/>
      <c r="D23" s="1775"/>
      <c r="E23" s="1775"/>
      <c r="F23" s="965"/>
      <c r="G23" s="965"/>
      <c r="H23" s="965"/>
      <c r="I23" s="965"/>
      <c r="J23" s="965"/>
      <c r="K23" s="965"/>
      <c r="L23" s="965"/>
      <c r="M23" s="965"/>
      <c r="N23" s="965"/>
      <c r="O23" s="965"/>
    </row>
    <row r="24" spans="1:15" ht="14.25" customHeight="1">
      <c r="A24" s="963" t="s">
        <v>53</v>
      </c>
      <c r="B24" s="1775" t="s">
        <v>961</v>
      </c>
      <c r="C24" s="1775"/>
      <c r="D24" s="1775"/>
      <c r="E24" s="1775"/>
      <c r="F24" s="965"/>
      <c r="G24" s="965"/>
      <c r="H24" s="965"/>
      <c r="I24" s="965"/>
      <c r="J24" s="965"/>
      <c r="K24" s="965"/>
      <c r="L24" s="965"/>
      <c r="M24" s="965"/>
      <c r="N24" s="965"/>
      <c r="O24" s="965"/>
    </row>
    <row r="25" spans="1:15" ht="14.25" customHeight="1">
      <c r="A25" s="963" t="s">
        <v>55</v>
      </c>
      <c r="B25" s="1775" t="s">
        <v>962</v>
      </c>
      <c r="C25" s="1775"/>
      <c r="D25" s="1775"/>
      <c r="E25" s="1775"/>
      <c r="F25" s="965"/>
      <c r="G25" s="965"/>
      <c r="H25" s="965"/>
      <c r="I25" s="965"/>
      <c r="J25" s="965"/>
      <c r="K25" s="965"/>
      <c r="L25" s="965"/>
      <c r="M25" s="965"/>
      <c r="N25" s="965"/>
      <c r="O25" s="965"/>
    </row>
    <row r="26" spans="1:15" ht="14.25" customHeight="1">
      <c r="A26" s="963" t="s">
        <v>57</v>
      </c>
      <c r="B26" s="1774" t="s">
        <v>963</v>
      </c>
      <c r="C26" s="1774"/>
      <c r="D26" s="1774"/>
      <c r="E26" s="1774"/>
      <c r="F26" s="966">
        <f aca="true" t="shared" si="0" ref="F26:O26">SUM(F19:F25)</f>
        <v>0</v>
      </c>
      <c r="G26" s="966">
        <f t="shared" si="0"/>
        <v>0</v>
      </c>
      <c r="H26" s="966">
        <f t="shared" si="0"/>
        <v>0</v>
      </c>
      <c r="I26" s="966">
        <f t="shared" si="0"/>
        <v>0</v>
      </c>
      <c r="J26" s="966">
        <f t="shared" si="0"/>
        <v>0</v>
      </c>
      <c r="K26" s="966">
        <f t="shared" si="0"/>
        <v>0</v>
      </c>
      <c r="L26" s="966">
        <f t="shared" si="0"/>
        <v>0</v>
      </c>
      <c r="M26" s="966">
        <f t="shared" si="0"/>
        <v>0</v>
      </c>
      <c r="N26" s="966">
        <f t="shared" si="0"/>
        <v>0</v>
      </c>
      <c r="O26" s="966">
        <f t="shared" si="0"/>
        <v>0</v>
      </c>
    </row>
    <row r="27" spans="1:15" ht="14.25" customHeight="1">
      <c r="A27" s="963" t="s">
        <v>86</v>
      </c>
      <c r="B27" s="1774" t="s">
        <v>964</v>
      </c>
      <c r="C27" s="1774"/>
      <c r="D27" s="1774"/>
      <c r="E27" s="1774"/>
      <c r="F27" s="967">
        <f aca="true" t="shared" si="1" ref="F27:O27">F26/2</f>
        <v>0</v>
      </c>
      <c r="G27" s="967">
        <f t="shared" si="1"/>
        <v>0</v>
      </c>
      <c r="H27" s="967">
        <f t="shared" si="1"/>
        <v>0</v>
      </c>
      <c r="I27" s="967">
        <f t="shared" si="1"/>
        <v>0</v>
      </c>
      <c r="J27" s="967">
        <f t="shared" si="1"/>
        <v>0</v>
      </c>
      <c r="K27" s="967">
        <f t="shared" si="1"/>
        <v>0</v>
      </c>
      <c r="L27" s="967">
        <f t="shared" si="1"/>
        <v>0</v>
      </c>
      <c r="M27" s="967">
        <f t="shared" si="1"/>
        <v>0</v>
      </c>
      <c r="N27" s="967">
        <f t="shared" si="1"/>
        <v>0</v>
      </c>
      <c r="O27" s="967">
        <f t="shared" si="1"/>
        <v>0</v>
      </c>
    </row>
  </sheetData>
  <sheetProtection selectLockedCells="1" selectUnlockedCells="1"/>
  <mergeCells count="24">
    <mergeCell ref="B26:E26"/>
    <mergeCell ref="B27:E27"/>
    <mergeCell ref="B20:E20"/>
    <mergeCell ref="B21:E21"/>
    <mergeCell ref="B22:E22"/>
    <mergeCell ref="B23:E23"/>
    <mergeCell ref="B24:E24"/>
    <mergeCell ref="B25:E25"/>
    <mergeCell ref="F9:O9"/>
    <mergeCell ref="A16:A18"/>
    <mergeCell ref="B16:E17"/>
    <mergeCell ref="F16:O16"/>
    <mergeCell ref="B18:E18"/>
    <mergeCell ref="B19:E19"/>
    <mergeCell ref="A1:O1"/>
    <mergeCell ref="A2:E2"/>
    <mergeCell ref="B3:F3"/>
    <mergeCell ref="B5:O5"/>
    <mergeCell ref="N8:O8"/>
    <mergeCell ref="A9:A11"/>
    <mergeCell ref="B9:B10"/>
    <mergeCell ref="C9:C10"/>
    <mergeCell ref="D9:D10"/>
    <mergeCell ref="E9:E10"/>
  </mergeCells>
  <printOptions/>
  <pageMargins left="0.7" right="0.7" top="0.75" bottom="0.75" header="0.5118055555555555" footer="0.5118055555555555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IV49"/>
  <sheetViews>
    <sheetView view="pageBreakPreview" zoomScaleSheetLayoutView="100" zoomScalePageLayoutView="0" workbookViewId="0" topLeftCell="A1">
      <selection activeCell="A3" sqref="A3:E4"/>
    </sheetView>
  </sheetViews>
  <sheetFormatPr defaultColWidth="11.7109375" defaultRowHeight="12.75" customHeight="1"/>
  <cols>
    <col min="1" max="1" width="7.57421875" style="79" customWidth="1"/>
    <col min="2" max="2" width="36.8515625" style="5" customWidth="1"/>
    <col min="3" max="6" width="20.57421875" style="5" bestFit="1" customWidth="1"/>
    <col min="7" max="16384" width="11.7109375" style="5" customWidth="1"/>
  </cols>
  <sheetData>
    <row r="1" spans="1:6" s="96" customFormat="1" ht="25.5" customHeight="1">
      <c r="A1" s="1748" t="s">
        <v>483</v>
      </c>
      <c r="B1" s="1748"/>
      <c r="C1" s="1748"/>
      <c r="D1" s="1748"/>
      <c r="E1" s="1748"/>
      <c r="F1" s="1748"/>
    </row>
    <row r="2" spans="1:6" ht="12.75" customHeight="1">
      <c r="A2" s="1752" t="s">
        <v>1181</v>
      </c>
      <c r="B2" s="1752"/>
      <c r="C2" s="1752"/>
      <c r="D2" s="1752"/>
      <c r="E2" s="1752"/>
      <c r="F2" s="1752"/>
    </row>
    <row r="3" spans="1:6" ht="12.75" customHeight="1">
      <c r="A3" s="1688" t="s">
        <v>1183</v>
      </c>
      <c r="B3" s="1688"/>
      <c r="C3" s="1688"/>
      <c r="D3" s="1688"/>
      <c r="E3" s="1688"/>
      <c r="F3" s="2067" t="s">
        <v>1185</v>
      </c>
    </row>
    <row r="4" spans="1:6" ht="12.75" customHeight="1">
      <c r="A4" s="1688"/>
      <c r="B4" s="1688"/>
      <c r="C4" s="1688"/>
      <c r="D4" s="1688"/>
      <c r="E4" s="1688"/>
      <c r="F4" s="95"/>
    </row>
    <row r="5" spans="1:256" ht="12.75" customHeight="1">
      <c r="A5" s="1761" t="s">
        <v>73</v>
      </c>
      <c r="B5" s="1761"/>
      <c r="C5" s="1761"/>
      <c r="D5" s="1761"/>
      <c r="E5" s="1761"/>
      <c r="F5" s="176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761" t="s">
        <v>1018</v>
      </c>
      <c r="B6" s="1761"/>
      <c r="C6" s="1761"/>
      <c r="D6" s="1761"/>
      <c r="E6" s="1761"/>
      <c r="F6" s="176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66"/>
      <c r="B7" s="166"/>
      <c r="C7" s="167"/>
      <c r="D7" s="167"/>
      <c r="E7" s="167"/>
      <c r="F7" s="16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68"/>
      <c r="B8"/>
      <c r="C8"/>
      <c r="D8" s="1776" t="s">
        <v>214</v>
      </c>
      <c r="E8" s="1776"/>
      <c r="F8" s="177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750" t="s">
        <v>33</v>
      </c>
      <c r="B9" s="164" t="s">
        <v>24</v>
      </c>
      <c r="C9" s="156">
        <v>2019</v>
      </c>
      <c r="D9" s="156">
        <v>2020</v>
      </c>
      <c r="E9" s="156">
        <v>2021</v>
      </c>
      <c r="F9" s="156">
        <v>2022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750"/>
      <c r="B10" s="164" t="s">
        <v>158</v>
      </c>
      <c r="C10" s="156" t="s">
        <v>159</v>
      </c>
      <c r="D10" s="156" t="s">
        <v>160</v>
      </c>
      <c r="E10" s="156" t="s">
        <v>161</v>
      </c>
      <c r="F10" s="156" t="s">
        <v>462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169" t="s">
        <v>38</v>
      </c>
      <c r="B11" s="543" t="s">
        <v>165</v>
      </c>
      <c r="C11" s="170">
        <v>219790694</v>
      </c>
      <c r="D11" s="170">
        <v>200000000</v>
      </c>
      <c r="E11" s="170">
        <v>200000000</v>
      </c>
      <c r="F11" s="170">
        <v>200000000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8" customFormat="1" ht="27" customHeight="1">
      <c r="A12" s="174" t="s">
        <v>40</v>
      </c>
      <c r="B12" s="175" t="s">
        <v>167</v>
      </c>
      <c r="C12" s="170"/>
      <c r="D12" s="170">
        <v>0</v>
      </c>
      <c r="E12" s="170">
        <v>0</v>
      </c>
      <c r="F12" s="170"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8" customFormat="1" ht="12.75" customHeight="1">
      <c r="A13" s="169" t="s">
        <v>47</v>
      </c>
      <c r="B13" s="173" t="s">
        <v>174</v>
      </c>
      <c r="C13" s="170">
        <f>C14+C15+C16+C17+C18</f>
        <v>168451387</v>
      </c>
      <c r="D13" s="170">
        <v>165500000</v>
      </c>
      <c r="E13" s="170">
        <f>SUM(E14:E18)</f>
        <v>165500000</v>
      </c>
      <c r="F13" s="170">
        <f>SUM(F14:F18)</f>
        <v>165500000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548" customFormat="1" ht="12.75" customHeight="1">
      <c r="A14" s="544" t="s">
        <v>49</v>
      </c>
      <c r="B14" s="550" t="s">
        <v>677</v>
      </c>
      <c r="C14" s="546">
        <f>SUM('1. melléklet'!E14)</f>
        <v>7013063</v>
      </c>
      <c r="D14" s="546">
        <v>5000000</v>
      </c>
      <c r="E14" s="546">
        <v>5000000</v>
      </c>
      <c r="F14" s="546">
        <v>5000000</v>
      </c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7"/>
      <c r="BI14" s="547"/>
      <c r="BJ14" s="547"/>
      <c r="BK14" s="547"/>
      <c r="BL14" s="547"/>
      <c r="BM14" s="547"/>
      <c r="BN14" s="547"/>
      <c r="BO14" s="547"/>
      <c r="BP14" s="547"/>
      <c r="BQ14" s="547"/>
      <c r="BR14" s="547"/>
      <c r="BS14" s="547"/>
      <c r="BT14" s="547"/>
      <c r="BU14" s="547"/>
      <c r="BV14" s="547"/>
      <c r="BW14" s="547"/>
      <c r="BX14" s="547"/>
      <c r="BY14" s="547"/>
      <c r="BZ14" s="547"/>
      <c r="CA14" s="547"/>
      <c r="CB14" s="547"/>
      <c r="CC14" s="547"/>
      <c r="CD14" s="547"/>
      <c r="CE14" s="547"/>
      <c r="CF14" s="547"/>
      <c r="CG14" s="547"/>
      <c r="CH14" s="547"/>
      <c r="CI14" s="547"/>
      <c r="CJ14" s="547"/>
      <c r="CK14" s="547"/>
      <c r="CL14" s="547"/>
      <c r="CM14" s="547"/>
      <c r="CN14" s="547"/>
      <c r="CO14" s="547"/>
      <c r="CP14" s="547"/>
      <c r="CQ14" s="547"/>
      <c r="CR14" s="547"/>
      <c r="CS14" s="547"/>
      <c r="CT14" s="547"/>
      <c r="CU14" s="547"/>
      <c r="CV14" s="547"/>
      <c r="CW14" s="547"/>
      <c r="CX14" s="547"/>
      <c r="CY14" s="547"/>
      <c r="CZ14" s="547"/>
      <c r="DA14" s="547"/>
      <c r="DB14" s="547"/>
      <c r="DC14" s="547"/>
      <c r="DD14" s="547"/>
      <c r="DE14" s="547"/>
      <c r="DF14" s="547"/>
      <c r="DG14" s="547"/>
      <c r="DH14" s="547"/>
      <c r="DI14" s="547"/>
      <c r="DJ14" s="547"/>
      <c r="DK14" s="547"/>
      <c r="DL14" s="547"/>
      <c r="DM14" s="547"/>
      <c r="DN14" s="547"/>
      <c r="DO14" s="547"/>
      <c r="DP14" s="547"/>
      <c r="DQ14" s="547"/>
      <c r="DR14" s="547"/>
      <c r="DS14" s="547"/>
      <c r="DT14" s="547"/>
      <c r="DU14" s="547"/>
      <c r="DV14" s="547"/>
      <c r="DW14" s="547"/>
      <c r="DX14" s="547"/>
      <c r="DY14" s="547"/>
      <c r="DZ14" s="547"/>
      <c r="EA14" s="547"/>
      <c r="EB14" s="547"/>
      <c r="EC14" s="547"/>
      <c r="ED14" s="547"/>
      <c r="EE14" s="547"/>
      <c r="EF14" s="547"/>
      <c r="EG14" s="547"/>
      <c r="EH14" s="547"/>
      <c r="EI14" s="547"/>
      <c r="EJ14" s="547"/>
      <c r="EK14" s="547"/>
      <c r="EL14" s="547"/>
      <c r="EM14" s="547"/>
      <c r="EN14" s="547"/>
      <c r="EO14" s="547"/>
      <c r="EP14" s="547"/>
      <c r="EQ14" s="547"/>
      <c r="ER14" s="547"/>
      <c r="ES14" s="547"/>
      <c r="ET14" s="547"/>
      <c r="EU14" s="547"/>
      <c r="EV14" s="547"/>
      <c r="EW14" s="547"/>
      <c r="EX14" s="547"/>
      <c r="EY14" s="547"/>
      <c r="EZ14" s="547"/>
      <c r="FA14" s="547"/>
      <c r="FB14" s="547"/>
      <c r="FC14" s="547"/>
      <c r="FD14" s="547"/>
      <c r="FE14" s="547"/>
      <c r="FF14" s="547"/>
      <c r="FG14" s="547"/>
      <c r="FH14" s="547"/>
      <c r="FI14" s="547"/>
      <c r="FJ14" s="547"/>
      <c r="FK14" s="547"/>
      <c r="FL14" s="547"/>
      <c r="FM14" s="547"/>
      <c r="FN14" s="547"/>
      <c r="FO14" s="547"/>
      <c r="FP14" s="547"/>
      <c r="FQ14" s="547"/>
      <c r="FR14" s="547"/>
      <c r="FS14" s="547"/>
      <c r="FT14" s="547"/>
      <c r="FU14" s="547"/>
      <c r="FV14" s="547"/>
      <c r="FW14" s="547"/>
      <c r="FX14" s="547"/>
      <c r="FY14" s="547"/>
      <c r="FZ14" s="547"/>
      <c r="GA14" s="547"/>
      <c r="GB14" s="547"/>
      <c r="GC14" s="547"/>
      <c r="GD14" s="547"/>
      <c r="GE14" s="547"/>
      <c r="GF14" s="547"/>
      <c r="GG14" s="547"/>
      <c r="GH14" s="547"/>
      <c r="GI14" s="547"/>
      <c r="GJ14" s="547"/>
      <c r="GK14" s="547"/>
      <c r="GL14" s="547"/>
      <c r="GM14" s="547"/>
      <c r="GN14" s="547"/>
      <c r="GO14" s="547"/>
      <c r="GP14" s="547"/>
      <c r="GQ14" s="547"/>
      <c r="GR14" s="547"/>
      <c r="GS14" s="547"/>
      <c r="GT14" s="547"/>
      <c r="GU14" s="547"/>
      <c r="GV14" s="547"/>
      <c r="GW14" s="547"/>
      <c r="GX14" s="547"/>
      <c r="GY14" s="547"/>
      <c r="GZ14" s="547"/>
      <c r="HA14" s="547"/>
      <c r="HB14" s="547"/>
      <c r="HC14" s="547"/>
      <c r="HD14" s="547"/>
      <c r="HE14" s="547"/>
      <c r="HF14" s="547"/>
      <c r="HG14" s="547"/>
      <c r="HH14" s="547"/>
      <c r="HI14" s="547"/>
      <c r="HJ14" s="547"/>
      <c r="HK14" s="547"/>
      <c r="HL14" s="547"/>
      <c r="HM14" s="547"/>
      <c r="HN14" s="547"/>
      <c r="HO14" s="547"/>
      <c r="HP14" s="547"/>
      <c r="HQ14" s="547"/>
      <c r="HR14" s="547"/>
      <c r="HS14" s="547"/>
      <c r="HT14" s="547"/>
      <c r="HU14" s="547"/>
      <c r="HV14" s="547"/>
      <c r="HW14" s="547"/>
      <c r="HX14" s="547"/>
      <c r="HY14" s="547"/>
      <c r="HZ14" s="547"/>
      <c r="IA14" s="547"/>
      <c r="IB14" s="547"/>
      <c r="IC14" s="547"/>
      <c r="ID14" s="547"/>
      <c r="IE14" s="547"/>
      <c r="IF14" s="547"/>
      <c r="IG14" s="547"/>
      <c r="IH14" s="547"/>
      <c r="II14" s="547"/>
      <c r="IJ14" s="547"/>
      <c r="IK14" s="547"/>
      <c r="IL14" s="547"/>
      <c r="IM14" s="547"/>
      <c r="IN14" s="547"/>
      <c r="IO14" s="547"/>
      <c r="IP14" s="547"/>
      <c r="IQ14" s="547"/>
      <c r="IR14" s="547"/>
      <c r="IS14" s="547"/>
      <c r="IT14" s="547"/>
      <c r="IU14" s="547"/>
      <c r="IV14" s="547"/>
    </row>
    <row r="15" spans="1:256" s="548" customFormat="1" ht="12.75" customHeight="1">
      <c r="A15" s="549" t="s">
        <v>51</v>
      </c>
      <c r="B15" s="545" t="s">
        <v>676</v>
      </c>
      <c r="C15" s="546">
        <f>SUM('1. melléklet'!E15)</f>
        <v>150581381</v>
      </c>
      <c r="D15" s="546">
        <v>150000000</v>
      </c>
      <c r="E15" s="546">
        <v>150000000</v>
      </c>
      <c r="F15" s="546">
        <v>150000000</v>
      </c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/>
      <c r="AV15" s="547"/>
      <c r="AW15" s="547"/>
      <c r="AX15" s="547"/>
      <c r="AY15" s="547"/>
      <c r="AZ15" s="547"/>
      <c r="BA15" s="547"/>
      <c r="BB15" s="547"/>
      <c r="BC15" s="547"/>
      <c r="BD15" s="547"/>
      <c r="BE15" s="547"/>
      <c r="BF15" s="547"/>
      <c r="BG15" s="547"/>
      <c r="BH15" s="547"/>
      <c r="BI15" s="547"/>
      <c r="BJ15" s="547"/>
      <c r="BK15" s="547"/>
      <c r="BL15" s="547"/>
      <c r="BM15" s="547"/>
      <c r="BN15" s="547"/>
      <c r="BO15" s="547"/>
      <c r="BP15" s="547"/>
      <c r="BQ15" s="547"/>
      <c r="BR15" s="547"/>
      <c r="BS15" s="547"/>
      <c r="BT15" s="547"/>
      <c r="BU15" s="547"/>
      <c r="BV15" s="547"/>
      <c r="BW15" s="547"/>
      <c r="BX15" s="547"/>
      <c r="BY15" s="547"/>
      <c r="BZ15" s="547"/>
      <c r="CA15" s="547"/>
      <c r="CB15" s="547"/>
      <c r="CC15" s="547"/>
      <c r="CD15" s="547"/>
      <c r="CE15" s="547"/>
      <c r="CF15" s="547"/>
      <c r="CG15" s="547"/>
      <c r="CH15" s="547"/>
      <c r="CI15" s="547"/>
      <c r="CJ15" s="547"/>
      <c r="CK15" s="547"/>
      <c r="CL15" s="547"/>
      <c r="CM15" s="547"/>
      <c r="CN15" s="547"/>
      <c r="CO15" s="547"/>
      <c r="CP15" s="547"/>
      <c r="CQ15" s="547"/>
      <c r="CR15" s="547"/>
      <c r="CS15" s="547"/>
      <c r="CT15" s="547"/>
      <c r="CU15" s="547"/>
      <c r="CV15" s="547"/>
      <c r="CW15" s="547"/>
      <c r="CX15" s="547"/>
      <c r="CY15" s="547"/>
      <c r="CZ15" s="547"/>
      <c r="DA15" s="547"/>
      <c r="DB15" s="547"/>
      <c r="DC15" s="547"/>
      <c r="DD15" s="547"/>
      <c r="DE15" s="547"/>
      <c r="DF15" s="547"/>
      <c r="DG15" s="547"/>
      <c r="DH15" s="547"/>
      <c r="DI15" s="547"/>
      <c r="DJ15" s="547"/>
      <c r="DK15" s="547"/>
      <c r="DL15" s="547"/>
      <c r="DM15" s="547"/>
      <c r="DN15" s="547"/>
      <c r="DO15" s="547"/>
      <c r="DP15" s="547"/>
      <c r="DQ15" s="547"/>
      <c r="DR15" s="547"/>
      <c r="DS15" s="547"/>
      <c r="DT15" s="547"/>
      <c r="DU15" s="547"/>
      <c r="DV15" s="547"/>
      <c r="DW15" s="547"/>
      <c r="DX15" s="547"/>
      <c r="DY15" s="547"/>
      <c r="DZ15" s="547"/>
      <c r="EA15" s="547"/>
      <c r="EB15" s="547"/>
      <c r="EC15" s="547"/>
      <c r="ED15" s="547"/>
      <c r="EE15" s="547"/>
      <c r="EF15" s="547"/>
      <c r="EG15" s="547"/>
      <c r="EH15" s="547"/>
      <c r="EI15" s="547"/>
      <c r="EJ15" s="547"/>
      <c r="EK15" s="547"/>
      <c r="EL15" s="547"/>
      <c r="EM15" s="547"/>
      <c r="EN15" s="547"/>
      <c r="EO15" s="547"/>
      <c r="EP15" s="547"/>
      <c r="EQ15" s="547"/>
      <c r="ER15" s="547"/>
      <c r="ES15" s="547"/>
      <c r="ET15" s="547"/>
      <c r="EU15" s="547"/>
      <c r="EV15" s="547"/>
      <c r="EW15" s="547"/>
      <c r="EX15" s="547"/>
      <c r="EY15" s="547"/>
      <c r="EZ15" s="547"/>
      <c r="FA15" s="547"/>
      <c r="FB15" s="547"/>
      <c r="FC15" s="547"/>
      <c r="FD15" s="547"/>
      <c r="FE15" s="547"/>
      <c r="FF15" s="547"/>
      <c r="FG15" s="547"/>
      <c r="FH15" s="547"/>
      <c r="FI15" s="547"/>
      <c r="FJ15" s="547"/>
      <c r="FK15" s="547"/>
      <c r="FL15" s="547"/>
      <c r="FM15" s="547"/>
      <c r="FN15" s="547"/>
      <c r="FO15" s="547"/>
      <c r="FP15" s="547"/>
      <c r="FQ15" s="547"/>
      <c r="FR15" s="547"/>
      <c r="FS15" s="547"/>
      <c r="FT15" s="547"/>
      <c r="FU15" s="547"/>
      <c r="FV15" s="547"/>
      <c r="FW15" s="547"/>
      <c r="FX15" s="547"/>
      <c r="FY15" s="547"/>
      <c r="FZ15" s="547"/>
      <c r="GA15" s="547"/>
      <c r="GB15" s="547"/>
      <c r="GC15" s="547"/>
      <c r="GD15" s="547"/>
      <c r="GE15" s="547"/>
      <c r="GF15" s="547"/>
      <c r="GG15" s="547"/>
      <c r="GH15" s="547"/>
      <c r="GI15" s="547"/>
      <c r="GJ15" s="547"/>
      <c r="GK15" s="547"/>
      <c r="GL15" s="547"/>
      <c r="GM15" s="547"/>
      <c r="GN15" s="547"/>
      <c r="GO15" s="547"/>
      <c r="GP15" s="547"/>
      <c r="GQ15" s="547"/>
      <c r="GR15" s="547"/>
      <c r="GS15" s="547"/>
      <c r="GT15" s="547"/>
      <c r="GU15" s="547"/>
      <c r="GV15" s="547"/>
      <c r="GW15" s="547"/>
      <c r="GX15" s="547"/>
      <c r="GY15" s="547"/>
      <c r="GZ15" s="547"/>
      <c r="HA15" s="547"/>
      <c r="HB15" s="547"/>
      <c r="HC15" s="547"/>
      <c r="HD15" s="547"/>
      <c r="HE15" s="547"/>
      <c r="HF15" s="547"/>
      <c r="HG15" s="547"/>
      <c r="HH15" s="547"/>
      <c r="HI15" s="547"/>
      <c r="HJ15" s="547"/>
      <c r="HK15" s="547"/>
      <c r="HL15" s="547"/>
      <c r="HM15" s="547"/>
      <c r="HN15" s="547"/>
      <c r="HO15" s="547"/>
      <c r="HP15" s="547"/>
      <c r="HQ15" s="547"/>
      <c r="HR15" s="547"/>
      <c r="HS15" s="547"/>
      <c r="HT15" s="547"/>
      <c r="HU15" s="547"/>
      <c r="HV15" s="547"/>
      <c r="HW15" s="547"/>
      <c r="HX15" s="547"/>
      <c r="HY15" s="547"/>
      <c r="HZ15" s="547"/>
      <c r="IA15" s="547"/>
      <c r="IB15" s="547"/>
      <c r="IC15" s="547"/>
      <c r="ID15" s="547"/>
      <c r="IE15" s="547"/>
      <c r="IF15" s="547"/>
      <c r="IG15" s="547"/>
      <c r="IH15" s="547"/>
      <c r="II15" s="547"/>
      <c r="IJ15" s="547"/>
      <c r="IK15" s="547"/>
      <c r="IL15" s="547"/>
      <c r="IM15" s="547"/>
      <c r="IN15" s="547"/>
      <c r="IO15" s="547"/>
      <c r="IP15" s="547"/>
      <c r="IQ15" s="547"/>
      <c r="IR15" s="547"/>
      <c r="IS15" s="547"/>
      <c r="IT15" s="547"/>
      <c r="IU15" s="547"/>
      <c r="IV15" s="547"/>
    </row>
    <row r="16" spans="1:256" s="548" customFormat="1" ht="12.75" customHeight="1">
      <c r="A16" s="544" t="s">
        <v>53</v>
      </c>
      <c r="B16" s="545" t="s">
        <v>599</v>
      </c>
      <c r="C16" s="546">
        <f>SUM('1. melléklet'!E16)</f>
        <v>10353962</v>
      </c>
      <c r="D16" s="546">
        <v>10000000</v>
      </c>
      <c r="E16" s="546">
        <v>10000000</v>
      </c>
      <c r="F16" s="546">
        <v>10000000</v>
      </c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547"/>
      <c r="BG16" s="547"/>
      <c r="BH16" s="547"/>
      <c r="BI16" s="547"/>
      <c r="BJ16" s="547"/>
      <c r="BK16" s="547"/>
      <c r="BL16" s="547"/>
      <c r="BM16" s="547"/>
      <c r="BN16" s="547"/>
      <c r="BO16" s="547"/>
      <c r="BP16" s="547"/>
      <c r="BQ16" s="547"/>
      <c r="BR16" s="547"/>
      <c r="BS16" s="547"/>
      <c r="BT16" s="547"/>
      <c r="BU16" s="547"/>
      <c r="BV16" s="547"/>
      <c r="BW16" s="547"/>
      <c r="BX16" s="547"/>
      <c r="BY16" s="547"/>
      <c r="BZ16" s="547"/>
      <c r="CA16" s="547"/>
      <c r="CB16" s="547"/>
      <c r="CC16" s="547"/>
      <c r="CD16" s="547"/>
      <c r="CE16" s="547"/>
      <c r="CF16" s="547"/>
      <c r="CG16" s="547"/>
      <c r="CH16" s="547"/>
      <c r="CI16" s="547"/>
      <c r="CJ16" s="547"/>
      <c r="CK16" s="547"/>
      <c r="CL16" s="547"/>
      <c r="CM16" s="547"/>
      <c r="CN16" s="547"/>
      <c r="CO16" s="547"/>
      <c r="CP16" s="547"/>
      <c r="CQ16" s="547"/>
      <c r="CR16" s="547"/>
      <c r="CS16" s="547"/>
      <c r="CT16" s="547"/>
      <c r="CU16" s="547"/>
      <c r="CV16" s="547"/>
      <c r="CW16" s="547"/>
      <c r="CX16" s="547"/>
      <c r="CY16" s="547"/>
      <c r="CZ16" s="547"/>
      <c r="DA16" s="547"/>
      <c r="DB16" s="547"/>
      <c r="DC16" s="547"/>
      <c r="DD16" s="547"/>
      <c r="DE16" s="547"/>
      <c r="DF16" s="547"/>
      <c r="DG16" s="547"/>
      <c r="DH16" s="547"/>
      <c r="DI16" s="547"/>
      <c r="DJ16" s="547"/>
      <c r="DK16" s="547"/>
      <c r="DL16" s="547"/>
      <c r="DM16" s="547"/>
      <c r="DN16" s="547"/>
      <c r="DO16" s="547"/>
      <c r="DP16" s="547"/>
      <c r="DQ16" s="547"/>
      <c r="DR16" s="547"/>
      <c r="DS16" s="547"/>
      <c r="DT16" s="547"/>
      <c r="DU16" s="547"/>
      <c r="DV16" s="547"/>
      <c r="DW16" s="547"/>
      <c r="DX16" s="547"/>
      <c r="DY16" s="547"/>
      <c r="DZ16" s="547"/>
      <c r="EA16" s="547"/>
      <c r="EB16" s="547"/>
      <c r="EC16" s="547"/>
      <c r="ED16" s="547"/>
      <c r="EE16" s="547"/>
      <c r="EF16" s="547"/>
      <c r="EG16" s="547"/>
      <c r="EH16" s="547"/>
      <c r="EI16" s="547"/>
      <c r="EJ16" s="547"/>
      <c r="EK16" s="547"/>
      <c r="EL16" s="547"/>
      <c r="EM16" s="547"/>
      <c r="EN16" s="547"/>
      <c r="EO16" s="547"/>
      <c r="EP16" s="547"/>
      <c r="EQ16" s="547"/>
      <c r="ER16" s="547"/>
      <c r="ES16" s="547"/>
      <c r="ET16" s="547"/>
      <c r="EU16" s="547"/>
      <c r="EV16" s="547"/>
      <c r="EW16" s="547"/>
      <c r="EX16" s="547"/>
      <c r="EY16" s="547"/>
      <c r="EZ16" s="547"/>
      <c r="FA16" s="547"/>
      <c r="FB16" s="547"/>
      <c r="FC16" s="547"/>
      <c r="FD16" s="547"/>
      <c r="FE16" s="547"/>
      <c r="FF16" s="547"/>
      <c r="FG16" s="547"/>
      <c r="FH16" s="547"/>
      <c r="FI16" s="547"/>
      <c r="FJ16" s="547"/>
      <c r="FK16" s="547"/>
      <c r="FL16" s="547"/>
      <c r="FM16" s="547"/>
      <c r="FN16" s="547"/>
      <c r="FO16" s="547"/>
      <c r="FP16" s="547"/>
      <c r="FQ16" s="547"/>
      <c r="FR16" s="547"/>
      <c r="FS16" s="547"/>
      <c r="FT16" s="547"/>
      <c r="FU16" s="547"/>
      <c r="FV16" s="547"/>
      <c r="FW16" s="547"/>
      <c r="FX16" s="547"/>
      <c r="FY16" s="547"/>
      <c r="FZ16" s="547"/>
      <c r="GA16" s="547"/>
      <c r="GB16" s="547"/>
      <c r="GC16" s="547"/>
      <c r="GD16" s="547"/>
      <c r="GE16" s="547"/>
      <c r="GF16" s="547"/>
      <c r="GG16" s="547"/>
      <c r="GH16" s="547"/>
      <c r="GI16" s="547"/>
      <c r="GJ16" s="547"/>
      <c r="GK16" s="547"/>
      <c r="GL16" s="547"/>
      <c r="GM16" s="547"/>
      <c r="GN16" s="547"/>
      <c r="GO16" s="547"/>
      <c r="GP16" s="547"/>
      <c r="GQ16" s="547"/>
      <c r="GR16" s="547"/>
      <c r="GS16" s="547"/>
      <c r="GT16" s="547"/>
      <c r="GU16" s="547"/>
      <c r="GV16" s="547"/>
      <c r="GW16" s="547"/>
      <c r="GX16" s="547"/>
      <c r="GY16" s="547"/>
      <c r="GZ16" s="547"/>
      <c r="HA16" s="547"/>
      <c r="HB16" s="547"/>
      <c r="HC16" s="547"/>
      <c r="HD16" s="547"/>
      <c r="HE16" s="547"/>
      <c r="HF16" s="547"/>
      <c r="HG16" s="547"/>
      <c r="HH16" s="547"/>
      <c r="HI16" s="547"/>
      <c r="HJ16" s="547"/>
      <c r="HK16" s="547"/>
      <c r="HL16" s="547"/>
      <c r="HM16" s="547"/>
      <c r="HN16" s="547"/>
      <c r="HO16" s="547"/>
      <c r="HP16" s="547"/>
      <c r="HQ16" s="547"/>
      <c r="HR16" s="547"/>
      <c r="HS16" s="547"/>
      <c r="HT16" s="547"/>
      <c r="HU16" s="547"/>
      <c r="HV16" s="547"/>
      <c r="HW16" s="547"/>
      <c r="HX16" s="547"/>
      <c r="HY16" s="547"/>
      <c r="HZ16" s="547"/>
      <c r="IA16" s="547"/>
      <c r="IB16" s="547"/>
      <c r="IC16" s="547"/>
      <c r="ID16" s="547"/>
      <c r="IE16" s="547"/>
      <c r="IF16" s="547"/>
      <c r="IG16" s="547"/>
      <c r="IH16" s="547"/>
      <c r="II16" s="547"/>
      <c r="IJ16" s="547"/>
      <c r="IK16" s="547"/>
      <c r="IL16" s="547"/>
      <c r="IM16" s="547"/>
      <c r="IN16" s="547"/>
      <c r="IO16" s="547"/>
      <c r="IP16" s="547"/>
      <c r="IQ16" s="547"/>
      <c r="IR16" s="547"/>
      <c r="IS16" s="547"/>
      <c r="IT16" s="547"/>
      <c r="IU16" s="547"/>
      <c r="IV16" s="547"/>
    </row>
    <row r="17" spans="1:256" s="548" customFormat="1" ht="12.75" customHeight="1">
      <c r="A17" s="549" t="s">
        <v>55</v>
      </c>
      <c r="B17" s="545" t="s">
        <v>96</v>
      </c>
      <c r="C17" s="546">
        <f>SUM('1. melléklet'!E17)</f>
        <v>0</v>
      </c>
      <c r="D17" s="546">
        <v>0</v>
      </c>
      <c r="E17" s="546">
        <v>0</v>
      </c>
      <c r="F17" s="546">
        <v>0</v>
      </c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7"/>
      <c r="AP17" s="547"/>
      <c r="AQ17" s="547"/>
      <c r="AR17" s="547"/>
      <c r="AS17" s="547"/>
      <c r="AT17" s="547"/>
      <c r="AU17" s="547"/>
      <c r="AV17" s="547"/>
      <c r="AW17" s="547"/>
      <c r="AX17" s="547"/>
      <c r="AY17" s="547"/>
      <c r="AZ17" s="547"/>
      <c r="BA17" s="547"/>
      <c r="BB17" s="547"/>
      <c r="BC17" s="547"/>
      <c r="BD17" s="547"/>
      <c r="BE17" s="547"/>
      <c r="BF17" s="547"/>
      <c r="BG17" s="547"/>
      <c r="BH17" s="547"/>
      <c r="BI17" s="547"/>
      <c r="BJ17" s="547"/>
      <c r="BK17" s="547"/>
      <c r="BL17" s="547"/>
      <c r="BM17" s="547"/>
      <c r="BN17" s="547"/>
      <c r="BO17" s="547"/>
      <c r="BP17" s="547"/>
      <c r="BQ17" s="547"/>
      <c r="BR17" s="547"/>
      <c r="BS17" s="547"/>
      <c r="BT17" s="547"/>
      <c r="BU17" s="547"/>
      <c r="BV17" s="547"/>
      <c r="BW17" s="547"/>
      <c r="BX17" s="547"/>
      <c r="BY17" s="547"/>
      <c r="BZ17" s="547"/>
      <c r="CA17" s="547"/>
      <c r="CB17" s="547"/>
      <c r="CC17" s="547"/>
      <c r="CD17" s="547"/>
      <c r="CE17" s="547"/>
      <c r="CF17" s="547"/>
      <c r="CG17" s="547"/>
      <c r="CH17" s="547"/>
      <c r="CI17" s="547"/>
      <c r="CJ17" s="547"/>
      <c r="CK17" s="547"/>
      <c r="CL17" s="547"/>
      <c r="CM17" s="547"/>
      <c r="CN17" s="547"/>
      <c r="CO17" s="547"/>
      <c r="CP17" s="547"/>
      <c r="CQ17" s="547"/>
      <c r="CR17" s="547"/>
      <c r="CS17" s="547"/>
      <c r="CT17" s="547"/>
      <c r="CU17" s="547"/>
      <c r="CV17" s="547"/>
      <c r="CW17" s="547"/>
      <c r="CX17" s="547"/>
      <c r="CY17" s="547"/>
      <c r="CZ17" s="547"/>
      <c r="DA17" s="547"/>
      <c r="DB17" s="547"/>
      <c r="DC17" s="547"/>
      <c r="DD17" s="547"/>
      <c r="DE17" s="547"/>
      <c r="DF17" s="547"/>
      <c r="DG17" s="547"/>
      <c r="DH17" s="547"/>
      <c r="DI17" s="547"/>
      <c r="DJ17" s="547"/>
      <c r="DK17" s="547"/>
      <c r="DL17" s="547"/>
      <c r="DM17" s="547"/>
      <c r="DN17" s="547"/>
      <c r="DO17" s="547"/>
      <c r="DP17" s="547"/>
      <c r="DQ17" s="547"/>
      <c r="DR17" s="547"/>
      <c r="DS17" s="547"/>
      <c r="DT17" s="547"/>
      <c r="DU17" s="547"/>
      <c r="DV17" s="547"/>
      <c r="DW17" s="547"/>
      <c r="DX17" s="547"/>
      <c r="DY17" s="547"/>
      <c r="DZ17" s="547"/>
      <c r="EA17" s="547"/>
      <c r="EB17" s="547"/>
      <c r="EC17" s="547"/>
      <c r="ED17" s="547"/>
      <c r="EE17" s="547"/>
      <c r="EF17" s="547"/>
      <c r="EG17" s="547"/>
      <c r="EH17" s="547"/>
      <c r="EI17" s="547"/>
      <c r="EJ17" s="547"/>
      <c r="EK17" s="547"/>
      <c r="EL17" s="547"/>
      <c r="EM17" s="547"/>
      <c r="EN17" s="547"/>
      <c r="EO17" s="547"/>
      <c r="EP17" s="547"/>
      <c r="EQ17" s="547"/>
      <c r="ER17" s="547"/>
      <c r="ES17" s="547"/>
      <c r="ET17" s="547"/>
      <c r="EU17" s="547"/>
      <c r="EV17" s="547"/>
      <c r="EW17" s="547"/>
      <c r="EX17" s="547"/>
      <c r="EY17" s="547"/>
      <c r="EZ17" s="547"/>
      <c r="FA17" s="547"/>
      <c r="FB17" s="547"/>
      <c r="FC17" s="547"/>
      <c r="FD17" s="547"/>
      <c r="FE17" s="547"/>
      <c r="FF17" s="547"/>
      <c r="FG17" s="547"/>
      <c r="FH17" s="547"/>
      <c r="FI17" s="547"/>
      <c r="FJ17" s="547"/>
      <c r="FK17" s="547"/>
      <c r="FL17" s="547"/>
      <c r="FM17" s="547"/>
      <c r="FN17" s="547"/>
      <c r="FO17" s="547"/>
      <c r="FP17" s="547"/>
      <c r="FQ17" s="547"/>
      <c r="FR17" s="547"/>
      <c r="FS17" s="547"/>
      <c r="FT17" s="547"/>
      <c r="FU17" s="547"/>
      <c r="FV17" s="547"/>
      <c r="FW17" s="547"/>
      <c r="FX17" s="547"/>
      <c r="FY17" s="547"/>
      <c r="FZ17" s="547"/>
      <c r="GA17" s="547"/>
      <c r="GB17" s="547"/>
      <c r="GC17" s="547"/>
      <c r="GD17" s="547"/>
      <c r="GE17" s="547"/>
      <c r="GF17" s="547"/>
      <c r="GG17" s="547"/>
      <c r="GH17" s="547"/>
      <c r="GI17" s="547"/>
      <c r="GJ17" s="547"/>
      <c r="GK17" s="547"/>
      <c r="GL17" s="547"/>
      <c r="GM17" s="547"/>
      <c r="GN17" s="547"/>
      <c r="GO17" s="547"/>
      <c r="GP17" s="547"/>
      <c r="GQ17" s="547"/>
      <c r="GR17" s="547"/>
      <c r="GS17" s="547"/>
      <c r="GT17" s="547"/>
      <c r="GU17" s="547"/>
      <c r="GV17" s="547"/>
      <c r="GW17" s="547"/>
      <c r="GX17" s="547"/>
      <c r="GY17" s="547"/>
      <c r="GZ17" s="547"/>
      <c r="HA17" s="547"/>
      <c r="HB17" s="547"/>
      <c r="HC17" s="547"/>
      <c r="HD17" s="547"/>
      <c r="HE17" s="547"/>
      <c r="HF17" s="547"/>
      <c r="HG17" s="547"/>
      <c r="HH17" s="547"/>
      <c r="HI17" s="547"/>
      <c r="HJ17" s="547"/>
      <c r="HK17" s="547"/>
      <c r="HL17" s="547"/>
      <c r="HM17" s="547"/>
      <c r="HN17" s="547"/>
      <c r="HO17" s="547"/>
      <c r="HP17" s="547"/>
      <c r="HQ17" s="547"/>
      <c r="HR17" s="547"/>
      <c r="HS17" s="547"/>
      <c r="HT17" s="547"/>
      <c r="HU17" s="547"/>
      <c r="HV17" s="547"/>
      <c r="HW17" s="547"/>
      <c r="HX17" s="547"/>
      <c r="HY17" s="547"/>
      <c r="HZ17" s="547"/>
      <c r="IA17" s="547"/>
      <c r="IB17" s="547"/>
      <c r="IC17" s="547"/>
      <c r="ID17" s="547"/>
      <c r="IE17" s="547"/>
      <c r="IF17" s="547"/>
      <c r="IG17" s="547"/>
      <c r="IH17" s="547"/>
      <c r="II17" s="547"/>
      <c r="IJ17" s="547"/>
      <c r="IK17" s="547"/>
      <c r="IL17" s="547"/>
      <c r="IM17" s="547"/>
      <c r="IN17" s="547"/>
      <c r="IO17" s="547"/>
      <c r="IP17" s="547"/>
      <c r="IQ17" s="547"/>
      <c r="IR17" s="547"/>
      <c r="IS17" s="547"/>
      <c r="IT17" s="547"/>
      <c r="IU17" s="547"/>
      <c r="IV17" s="547"/>
    </row>
    <row r="18" spans="1:256" s="548" customFormat="1" ht="12.75" customHeight="1">
      <c r="A18" s="544" t="s">
        <v>57</v>
      </c>
      <c r="B18" s="545" t="s">
        <v>172</v>
      </c>
      <c r="C18" s="546">
        <f>SUM('1. melléklet'!E18)</f>
        <v>502981</v>
      </c>
      <c r="D18" s="546">
        <v>500000</v>
      </c>
      <c r="E18" s="546">
        <v>500000</v>
      </c>
      <c r="F18" s="546">
        <v>500000</v>
      </c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547"/>
      <c r="AD18" s="547"/>
      <c r="AE18" s="547"/>
      <c r="AF18" s="547"/>
      <c r="AG18" s="547"/>
      <c r="AH18" s="547"/>
      <c r="AI18" s="547"/>
      <c r="AJ18" s="547"/>
      <c r="AK18" s="547"/>
      <c r="AL18" s="547"/>
      <c r="AM18" s="547"/>
      <c r="AN18" s="547"/>
      <c r="AO18" s="547"/>
      <c r="AP18" s="547"/>
      <c r="AQ18" s="547"/>
      <c r="AR18" s="547"/>
      <c r="AS18" s="547"/>
      <c r="AT18" s="547"/>
      <c r="AU18" s="547"/>
      <c r="AV18" s="547"/>
      <c r="AW18" s="547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7"/>
      <c r="BI18" s="547"/>
      <c r="BJ18" s="547"/>
      <c r="BK18" s="547"/>
      <c r="BL18" s="547"/>
      <c r="BM18" s="547"/>
      <c r="BN18" s="547"/>
      <c r="BO18" s="547"/>
      <c r="BP18" s="547"/>
      <c r="BQ18" s="547"/>
      <c r="BR18" s="547"/>
      <c r="BS18" s="547"/>
      <c r="BT18" s="547"/>
      <c r="BU18" s="547"/>
      <c r="BV18" s="547"/>
      <c r="BW18" s="547"/>
      <c r="BX18" s="547"/>
      <c r="BY18" s="547"/>
      <c r="BZ18" s="547"/>
      <c r="CA18" s="547"/>
      <c r="CB18" s="547"/>
      <c r="CC18" s="547"/>
      <c r="CD18" s="547"/>
      <c r="CE18" s="547"/>
      <c r="CF18" s="547"/>
      <c r="CG18" s="547"/>
      <c r="CH18" s="547"/>
      <c r="CI18" s="547"/>
      <c r="CJ18" s="547"/>
      <c r="CK18" s="547"/>
      <c r="CL18" s="547"/>
      <c r="CM18" s="547"/>
      <c r="CN18" s="547"/>
      <c r="CO18" s="547"/>
      <c r="CP18" s="547"/>
      <c r="CQ18" s="547"/>
      <c r="CR18" s="547"/>
      <c r="CS18" s="547"/>
      <c r="CT18" s="547"/>
      <c r="CU18" s="547"/>
      <c r="CV18" s="547"/>
      <c r="CW18" s="547"/>
      <c r="CX18" s="547"/>
      <c r="CY18" s="547"/>
      <c r="CZ18" s="547"/>
      <c r="DA18" s="547"/>
      <c r="DB18" s="547"/>
      <c r="DC18" s="547"/>
      <c r="DD18" s="547"/>
      <c r="DE18" s="547"/>
      <c r="DF18" s="547"/>
      <c r="DG18" s="547"/>
      <c r="DH18" s="547"/>
      <c r="DI18" s="547"/>
      <c r="DJ18" s="547"/>
      <c r="DK18" s="547"/>
      <c r="DL18" s="547"/>
      <c r="DM18" s="547"/>
      <c r="DN18" s="547"/>
      <c r="DO18" s="547"/>
      <c r="DP18" s="547"/>
      <c r="DQ18" s="547"/>
      <c r="DR18" s="547"/>
      <c r="DS18" s="547"/>
      <c r="DT18" s="547"/>
      <c r="DU18" s="547"/>
      <c r="DV18" s="547"/>
      <c r="DW18" s="547"/>
      <c r="DX18" s="547"/>
      <c r="DY18" s="547"/>
      <c r="DZ18" s="547"/>
      <c r="EA18" s="547"/>
      <c r="EB18" s="547"/>
      <c r="EC18" s="547"/>
      <c r="ED18" s="547"/>
      <c r="EE18" s="547"/>
      <c r="EF18" s="547"/>
      <c r="EG18" s="547"/>
      <c r="EH18" s="547"/>
      <c r="EI18" s="547"/>
      <c r="EJ18" s="547"/>
      <c r="EK18" s="547"/>
      <c r="EL18" s="547"/>
      <c r="EM18" s="547"/>
      <c r="EN18" s="547"/>
      <c r="EO18" s="547"/>
      <c r="EP18" s="547"/>
      <c r="EQ18" s="547"/>
      <c r="ER18" s="547"/>
      <c r="ES18" s="547"/>
      <c r="ET18" s="547"/>
      <c r="EU18" s="547"/>
      <c r="EV18" s="547"/>
      <c r="EW18" s="547"/>
      <c r="EX18" s="547"/>
      <c r="EY18" s="547"/>
      <c r="EZ18" s="547"/>
      <c r="FA18" s="547"/>
      <c r="FB18" s="547"/>
      <c r="FC18" s="547"/>
      <c r="FD18" s="547"/>
      <c r="FE18" s="547"/>
      <c r="FF18" s="547"/>
      <c r="FG18" s="547"/>
      <c r="FH18" s="547"/>
      <c r="FI18" s="547"/>
      <c r="FJ18" s="547"/>
      <c r="FK18" s="547"/>
      <c r="FL18" s="547"/>
      <c r="FM18" s="547"/>
      <c r="FN18" s="547"/>
      <c r="FO18" s="547"/>
      <c r="FP18" s="547"/>
      <c r="FQ18" s="547"/>
      <c r="FR18" s="547"/>
      <c r="FS18" s="547"/>
      <c r="FT18" s="547"/>
      <c r="FU18" s="547"/>
      <c r="FV18" s="547"/>
      <c r="FW18" s="547"/>
      <c r="FX18" s="547"/>
      <c r="FY18" s="547"/>
      <c r="FZ18" s="547"/>
      <c r="GA18" s="547"/>
      <c r="GB18" s="547"/>
      <c r="GC18" s="547"/>
      <c r="GD18" s="547"/>
      <c r="GE18" s="547"/>
      <c r="GF18" s="547"/>
      <c r="GG18" s="547"/>
      <c r="GH18" s="547"/>
      <c r="GI18" s="547"/>
      <c r="GJ18" s="547"/>
      <c r="GK18" s="547"/>
      <c r="GL18" s="547"/>
      <c r="GM18" s="547"/>
      <c r="GN18" s="547"/>
      <c r="GO18" s="547"/>
      <c r="GP18" s="547"/>
      <c r="GQ18" s="547"/>
      <c r="GR18" s="547"/>
      <c r="GS18" s="547"/>
      <c r="GT18" s="547"/>
      <c r="GU18" s="547"/>
      <c r="GV18" s="547"/>
      <c r="GW18" s="547"/>
      <c r="GX18" s="547"/>
      <c r="GY18" s="547"/>
      <c r="GZ18" s="547"/>
      <c r="HA18" s="547"/>
      <c r="HB18" s="547"/>
      <c r="HC18" s="547"/>
      <c r="HD18" s="547"/>
      <c r="HE18" s="547"/>
      <c r="HF18" s="547"/>
      <c r="HG18" s="547"/>
      <c r="HH18" s="547"/>
      <c r="HI18" s="547"/>
      <c r="HJ18" s="547"/>
      <c r="HK18" s="547"/>
      <c r="HL18" s="547"/>
      <c r="HM18" s="547"/>
      <c r="HN18" s="547"/>
      <c r="HO18" s="547"/>
      <c r="HP18" s="547"/>
      <c r="HQ18" s="547"/>
      <c r="HR18" s="547"/>
      <c r="HS18" s="547"/>
      <c r="HT18" s="547"/>
      <c r="HU18" s="547"/>
      <c r="HV18" s="547"/>
      <c r="HW18" s="547"/>
      <c r="HX18" s="547"/>
      <c r="HY18" s="547"/>
      <c r="HZ18" s="547"/>
      <c r="IA18" s="547"/>
      <c r="IB18" s="547"/>
      <c r="IC18" s="547"/>
      <c r="ID18" s="547"/>
      <c r="IE18" s="547"/>
      <c r="IF18" s="547"/>
      <c r="IG18" s="547"/>
      <c r="IH18" s="547"/>
      <c r="II18" s="547"/>
      <c r="IJ18" s="547"/>
      <c r="IK18" s="547"/>
      <c r="IL18" s="547"/>
      <c r="IM18" s="547"/>
      <c r="IN18" s="547"/>
      <c r="IO18" s="547"/>
      <c r="IP18" s="547"/>
      <c r="IQ18" s="547"/>
      <c r="IR18" s="547"/>
      <c r="IS18" s="547"/>
      <c r="IT18" s="547"/>
      <c r="IU18" s="547"/>
      <c r="IV18" s="547"/>
    </row>
    <row r="19" spans="1:256" s="68" customFormat="1" ht="12.75" customHeight="1">
      <c r="A19" s="169" t="s">
        <v>86</v>
      </c>
      <c r="B19" s="173" t="s">
        <v>78</v>
      </c>
      <c r="C19" s="170">
        <f>SUM(C20:C28)</f>
        <v>53387865</v>
      </c>
      <c r="D19" s="170">
        <f>SUM(D20:D28)</f>
        <v>37500000</v>
      </c>
      <c r="E19" s="170">
        <f>SUM(E20:E28)</f>
        <v>37500000</v>
      </c>
      <c r="F19" s="170">
        <f>SUM(F20:F28)</f>
        <v>37500000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548" customFormat="1" ht="12.75" customHeight="1">
      <c r="A20" s="544" t="s">
        <v>59</v>
      </c>
      <c r="B20" s="550" t="s">
        <v>683</v>
      </c>
      <c r="C20" s="546">
        <v>3701767</v>
      </c>
      <c r="D20" s="546">
        <v>3500000</v>
      </c>
      <c r="E20" s="546">
        <v>3500000</v>
      </c>
      <c r="F20" s="546">
        <v>3500000</v>
      </c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7"/>
      <c r="BI20" s="547"/>
      <c r="BJ20" s="547"/>
      <c r="BK20" s="547"/>
      <c r="BL20" s="547"/>
      <c r="BM20" s="547"/>
      <c r="BN20" s="547"/>
      <c r="BO20" s="547"/>
      <c r="BP20" s="547"/>
      <c r="BQ20" s="547"/>
      <c r="BR20" s="547"/>
      <c r="BS20" s="547"/>
      <c r="BT20" s="547"/>
      <c r="BU20" s="547"/>
      <c r="BV20" s="547"/>
      <c r="BW20" s="547"/>
      <c r="BX20" s="547"/>
      <c r="BY20" s="547"/>
      <c r="BZ20" s="547"/>
      <c r="CA20" s="547"/>
      <c r="CB20" s="547"/>
      <c r="CC20" s="547"/>
      <c r="CD20" s="547"/>
      <c r="CE20" s="547"/>
      <c r="CF20" s="547"/>
      <c r="CG20" s="547"/>
      <c r="CH20" s="547"/>
      <c r="CI20" s="547"/>
      <c r="CJ20" s="547"/>
      <c r="CK20" s="547"/>
      <c r="CL20" s="547"/>
      <c r="CM20" s="547"/>
      <c r="CN20" s="547"/>
      <c r="CO20" s="547"/>
      <c r="CP20" s="547"/>
      <c r="CQ20" s="547"/>
      <c r="CR20" s="547"/>
      <c r="CS20" s="547"/>
      <c r="CT20" s="547"/>
      <c r="CU20" s="547"/>
      <c r="CV20" s="547"/>
      <c r="CW20" s="547"/>
      <c r="CX20" s="547"/>
      <c r="CY20" s="547"/>
      <c r="CZ20" s="547"/>
      <c r="DA20" s="547"/>
      <c r="DB20" s="547"/>
      <c r="DC20" s="547"/>
      <c r="DD20" s="547"/>
      <c r="DE20" s="547"/>
      <c r="DF20" s="547"/>
      <c r="DG20" s="547"/>
      <c r="DH20" s="547"/>
      <c r="DI20" s="547"/>
      <c r="DJ20" s="547"/>
      <c r="DK20" s="547"/>
      <c r="DL20" s="547"/>
      <c r="DM20" s="547"/>
      <c r="DN20" s="547"/>
      <c r="DO20" s="547"/>
      <c r="DP20" s="547"/>
      <c r="DQ20" s="547"/>
      <c r="DR20" s="547"/>
      <c r="DS20" s="547"/>
      <c r="DT20" s="547"/>
      <c r="DU20" s="547"/>
      <c r="DV20" s="547"/>
      <c r="DW20" s="547"/>
      <c r="DX20" s="547"/>
      <c r="DY20" s="547"/>
      <c r="DZ20" s="547"/>
      <c r="EA20" s="547"/>
      <c r="EB20" s="547"/>
      <c r="EC20" s="547"/>
      <c r="ED20" s="547"/>
      <c r="EE20" s="547"/>
      <c r="EF20" s="547"/>
      <c r="EG20" s="547"/>
      <c r="EH20" s="547"/>
      <c r="EI20" s="547"/>
      <c r="EJ20" s="547"/>
      <c r="EK20" s="547"/>
      <c r="EL20" s="547"/>
      <c r="EM20" s="547"/>
      <c r="EN20" s="547"/>
      <c r="EO20" s="547"/>
      <c r="EP20" s="547"/>
      <c r="EQ20" s="547"/>
      <c r="ER20" s="547"/>
      <c r="ES20" s="547"/>
      <c r="ET20" s="547"/>
      <c r="EU20" s="547"/>
      <c r="EV20" s="547"/>
      <c r="EW20" s="547"/>
      <c r="EX20" s="547"/>
      <c r="EY20" s="547"/>
      <c r="EZ20" s="547"/>
      <c r="FA20" s="547"/>
      <c r="FB20" s="547"/>
      <c r="FC20" s="547"/>
      <c r="FD20" s="547"/>
      <c r="FE20" s="547"/>
      <c r="FF20" s="547"/>
      <c r="FG20" s="547"/>
      <c r="FH20" s="547"/>
      <c r="FI20" s="547"/>
      <c r="FJ20" s="547"/>
      <c r="FK20" s="547"/>
      <c r="FL20" s="547"/>
      <c r="FM20" s="547"/>
      <c r="FN20" s="547"/>
      <c r="FO20" s="547"/>
      <c r="FP20" s="547"/>
      <c r="FQ20" s="547"/>
      <c r="FR20" s="547"/>
      <c r="FS20" s="547"/>
      <c r="FT20" s="547"/>
      <c r="FU20" s="547"/>
      <c r="FV20" s="547"/>
      <c r="FW20" s="547"/>
      <c r="FX20" s="547"/>
      <c r="FY20" s="547"/>
      <c r="FZ20" s="547"/>
      <c r="GA20" s="547"/>
      <c r="GB20" s="547"/>
      <c r="GC20" s="547"/>
      <c r="GD20" s="547"/>
      <c r="GE20" s="547"/>
      <c r="GF20" s="547"/>
      <c r="GG20" s="547"/>
      <c r="GH20" s="547"/>
      <c r="GI20" s="547"/>
      <c r="GJ20" s="547"/>
      <c r="GK20" s="547"/>
      <c r="GL20" s="547"/>
      <c r="GM20" s="547"/>
      <c r="GN20" s="547"/>
      <c r="GO20" s="547"/>
      <c r="GP20" s="547"/>
      <c r="GQ20" s="547"/>
      <c r="GR20" s="547"/>
      <c r="GS20" s="547"/>
      <c r="GT20" s="547"/>
      <c r="GU20" s="547"/>
      <c r="GV20" s="547"/>
      <c r="GW20" s="547"/>
      <c r="GX20" s="547"/>
      <c r="GY20" s="547"/>
      <c r="GZ20" s="547"/>
      <c r="HA20" s="547"/>
      <c r="HB20" s="547"/>
      <c r="HC20" s="547"/>
      <c r="HD20" s="547"/>
      <c r="HE20" s="547"/>
      <c r="HF20" s="547"/>
      <c r="HG20" s="547"/>
      <c r="HH20" s="547"/>
      <c r="HI20" s="547"/>
      <c r="HJ20" s="547"/>
      <c r="HK20" s="547"/>
      <c r="HL20" s="547"/>
      <c r="HM20" s="547"/>
      <c r="HN20" s="547"/>
      <c r="HO20" s="547"/>
      <c r="HP20" s="547"/>
      <c r="HQ20" s="547"/>
      <c r="HR20" s="547"/>
      <c r="HS20" s="547"/>
      <c r="HT20" s="547"/>
      <c r="HU20" s="547"/>
      <c r="HV20" s="547"/>
      <c r="HW20" s="547"/>
      <c r="HX20" s="547"/>
      <c r="HY20" s="547"/>
      <c r="HZ20" s="547"/>
      <c r="IA20" s="547"/>
      <c r="IB20" s="547"/>
      <c r="IC20" s="547"/>
      <c r="ID20" s="547"/>
      <c r="IE20" s="547"/>
      <c r="IF20" s="547"/>
      <c r="IG20" s="547"/>
      <c r="IH20" s="547"/>
      <c r="II20" s="547"/>
      <c r="IJ20" s="547"/>
      <c r="IK20" s="547"/>
      <c r="IL20" s="547"/>
      <c r="IM20" s="547"/>
      <c r="IN20" s="547"/>
      <c r="IO20" s="547"/>
      <c r="IP20" s="547"/>
      <c r="IQ20" s="547"/>
      <c r="IR20" s="547"/>
      <c r="IS20" s="547"/>
      <c r="IT20" s="547"/>
      <c r="IU20" s="547"/>
      <c r="IV20" s="547"/>
    </row>
    <row r="21" spans="1:256" s="548" customFormat="1" ht="12.75" customHeight="1">
      <c r="A21" s="549" t="s">
        <v>61</v>
      </c>
      <c r="B21" s="545" t="s">
        <v>678</v>
      </c>
      <c r="C21" s="546">
        <v>8236991</v>
      </c>
      <c r="D21" s="546">
        <v>4500000</v>
      </c>
      <c r="E21" s="546">
        <v>4500000</v>
      </c>
      <c r="F21" s="546">
        <v>4500000</v>
      </c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  <c r="AA21" s="547"/>
      <c r="AB21" s="547"/>
      <c r="AC21" s="547"/>
      <c r="AD21" s="547"/>
      <c r="AE21" s="547"/>
      <c r="AF21" s="547"/>
      <c r="AG21" s="547"/>
      <c r="AH21" s="547"/>
      <c r="AI21" s="547"/>
      <c r="AJ21" s="547"/>
      <c r="AK21" s="547"/>
      <c r="AL21" s="547"/>
      <c r="AM21" s="547"/>
      <c r="AN21" s="547"/>
      <c r="AO21" s="547"/>
      <c r="AP21" s="547"/>
      <c r="AQ21" s="547"/>
      <c r="AR21" s="547"/>
      <c r="AS21" s="547"/>
      <c r="AT21" s="547"/>
      <c r="AU21" s="547"/>
      <c r="AV21" s="547"/>
      <c r="AW21" s="547"/>
      <c r="AX21" s="547"/>
      <c r="AY21" s="547"/>
      <c r="AZ21" s="547"/>
      <c r="BA21" s="547"/>
      <c r="BB21" s="547"/>
      <c r="BC21" s="547"/>
      <c r="BD21" s="547"/>
      <c r="BE21" s="547"/>
      <c r="BF21" s="547"/>
      <c r="BG21" s="547"/>
      <c r="BH21" s="547"/>
      <c r="BI21" s="547"/>
      <c r="BJ21" s="547"/>
      <c r="BK21" s="547"/>
      <c r="BL21" s="547"/>
      <c r="BM21" s="547"/>
      <c r="BN21" s="547"/>
      <c r="BO21" s="547"/>
      <c r="BP21" s="547"/>
      <c r="BQ21" s="547"/>
      <c r="BR21" s="547"/>
      <c r="BS21" s="547"/>
      <c r="BT21" s="547"/>
      <c r="BU21" s="547"/>
      <c r="BV21" s="547"/>
      <c r="BW21" s="547"/>
      <c r="BX21" s="547"/>
      <c r="BY21" s="547"/>
      <c r="BZ21" s="547"/>
      <c r="CA21" s="547"/>
      <c r="CB21" s="547"/>
      <c r="CC21" s="547"/>
      <c r="CD21" s="547"/>
      <c r="CE21" s="547"/>
      <c r="CF21" s="547"/>
      <c r="CG21" s="547"/>
      <c r="CH21" s="547"/>
      <c r="CI21" s="547"/>
      <c r="CJ21" s="547"/>
      <c r="CK21" s="547"/>
      <c r="CL21" s="547"/>
      <c r="CM21" s="547"/>
      <c r="CN21" s="547"/>
      <c r="CO21" s="547"/>
      <c r="CP21" s="547"/>
      <c r="CQ21" s="547"/>
      <c r="CR21" s="547"/>
      <c r="CS21" s="547"/>
      <c r="CT21" s="547"/>
      <c r="CU21" s="547"/>
      <c r="CV21" s="547"/>
      <c r="CW21" s="547"/>
      <c r="CX21" s="547"/>
      <c r="CY21" s="547"/>
      <c r="CZ21" s="547"/>
      <c r="DA21" s="547"/>
      <c r="DB21" s="547"/>
      <c r="DC21" s="547"/>
      <c r="DD21" s="547"/>
      <c r="DE21" s="547"/>
      <c r="DF21" s="547"/>
      <c r="DG21" s="547"/>
      <c r="DH21" s="547"/>
      <c r="DI21" s="547"/>
      <c r="DJ21" s="547"/>
      <c r="DK21" s="547"/>
      <c r="DL21" s="547"/>
      <c r="DM21" s="547"/>
      <c r="DN21" s="547"/>
      <c r="DO21" s="547"/>
      <c r="DP21" s="547"/>
      <c r="DQ21" s="547"/>
      <c r="DR21" s="547"/>
      <c r="DS21" s="547"/>
      <c r="DT21" s="547"/>
      <c r="DU21" s="547"/>
      <c r="DV21" s="547"/>
      <c r="DW21" s="547"/>
      <c r="DX21" s="547"/>
      <c r="DY21" s="547"/>
      <c r="DZ21" s="547"/>
      <c r="EA21" s="547"/>
      <c r="EB21" s="547"/>
      <c r="EC21" s="547"/>
      <c r="ED21" s="547"/>
      <c r="EE21" s="547"/>
      <c r="EF21" s="547"/>
      <c r="EG21" s="547"/>
      <c r="EH21" s="547"/>
      <c r="EI21" s="547"/>
      <c r="EJ21" s="547"/>
      <c r="EK21" s="547"/>
      <c r="EL21" s="547"/>
      <c r="EM21" s="547"/>
      <c r="EN21" s="547"/>
      <c r="EO21" s="547"/>
      <c r="EP21" s="547"/>
      <c r="EQ21" s="547"/>
      <c r="ER21" s="547"/>
      <c r="ES21" s="547"/>
      <c r="ET21" s="547"/>
      <c r="EU21" s="547"/>
      <c r="EV21" s="547"/>
      <c r="EW21" s="547"/>
      <c r="EX21" s="547"/>
      <c r="EY21" s="547"/>
      <c r="EZ21" s="547"/>
      <c r="FA21" s="547"/>
      <c r="FB21" s="547"/>
      <c r="FC21" s="547"/>
      <c r="FD21" s="547"/>
      <c r="FE21" s="547"/>
      <c r="FF21" s="547"/>
      <c r="FG21" s="547"/>
      <c r="FH21" s="547"/>
      <c r="FI21" s="547"/>
      <c r="FJ21" s="547"/>
      <c r="FK21" s="547"/>
      <c r="FL21" s="547"/>
      <c r="FM21" s="547"/>
      <c r="FN21" s="547"/>
      <c r="FO21" s="547"/>
      <c r="FP21" s="547"/>
      <c r="FQ21" s="547"/>
      <c r="FR21" s="547"/>
      <c r="FS21" s="547"/>
      <c r="FT21" s="547"/>
      <c r="FU21" s="547"/>
      <c r="FV21" s="547"/>
      <c r="FW21" s="547"/>
      <c r="FX21" s="547"/>
      <c r="FY21" s="547"/>
      <c r="FZ21" s="547"/>
      <c r="GA21" s="547"/>
      <c r="GB21" s="547"/>
      <c r="GC21" s="547"/>
      <c r="GD21" s="547"/>
      <c r="GE21" s="547"/>
      <c r="GF21" s="547"/>
      <c r="GG21" s="547"/>
      <c r="GH21" s="547"/>
      <c r="GI21" s="547"/>
      <c r="GJ21" s="547"/>
      <c r="GK21" s="547"/>
      <c r="GL21" s="547"/>
      <c r="GM21" s="547"/>
      <c r="GN21" s="547"/>
      <c r="GO21" s="547"/>
      <c r="GP21" s="547"/>
      <c r="GQ21" s="547"/>
      <c r="GR21" s="547"/>
      <c r="GS21" s="547"/>
      <c r="GT21" s="547"/>
      <c r="GU21" s="547"/>
      <c r="GV21" s="547"/>
      <c r="GW21" s="547"/>
      <c r="GX21" s="547"/>
      <c r="GY21" s="547"/>
      <c r="GZ21" s="547"/>
      <c r="HA21" s="547"/>
      <c r="HB21" s="547"/>
      <c r="HC21" s="547"/>
      <c r="HD21" s="547"/>
      <c r="HE21" s="547"/>
      <c r="HF21" s="547"/>
      <c r="HG21" s="547"/>
      <c r="HH21" s="547"/>
      <c r="HI21" s="547"/>
      <c r="HJ21" s="547"/>
      <c r="HK21" s="547"/>
      <c r="HL21" s="547"/>
      <c r="HM21" s="547"/>
      <c r="HN21" s="547"/>
      <c r="HO21" s="547"/>
      <c r="HP21" s="547"/>
      <c r="HQ21" s="547"/>
      <c r="HR21" s="547"/>
      <c r="HS21" s="547"/>
      <c r="HT21" s="547"/>
      <c r="HU21" s="547"/>
      <c r="HV21" s="547"/>
      <c r="HW21" s="547"/>
      <c r="HX21" s="547"/>
      <c r="HY21" s="547"/>
      <c r="HZ21" s="547"/>
      <c r="IA21" s="547"/>
      <c r="IB21" s="547"/>
      <c r="IC21" s="547"/>
      <c r="ID21" s="547"/>
      <c r="IE21" s="547"/>
      <c r="IF21" s="547"/>
      <c r="IG21" s="547"/>
      <c r="IH21" s="547"/>
      <c r="II21" s="547"/>
      <c r="IJ21" s="547"/>
      <c r="IK21" s="547"/>
      <c r="IL21" s="547"/>
      <c r="IM21" s="547"/>
      <c r="IN21" s="547"/>
      <c r="IO21" s="547"/>
      <c r="IP21" s="547"/>
      <c r="IQ21" s="547"/>
      <c r="IR21" s="547"/>
      <c r="IS21" s="547"/>
      <c r="IT21" s="547"/>
      <c r="IU21" s="547"/>
      <c r="IV21" s="547"/>
    </row>
    <row r="22" spans="1:256" s="548" customFormat="1" ht="12.75" customHeight="1">
      <c r="A22" s="544" t="s">
        <v>63</v>
      </c>
      <c r="B22" s="545" t="s">
        <v>679</v>
      </c>
      <c r="C22" s="546">
        <f>SUM('1. melléklet'!E22)</f>
        <v>3731000</v>
      </c>
      <c r="D22" s="546">
        <v>3500000</v>
      </c>
      <c r="E22" s="546">
        <v>3500000</v>
      </c>
      <c r="F22" s="546">
        <v>3500000</v>
      </c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547"/>
      <c r="AG22" s="547"/>
      <c r="AH22" s="547"/>
      <c r="AI22" s="547"/>
      <c r="AJ22" s="547"/>
      <c r="AK22" s="547"/>
      <c r="AL22" s="547"/>
      <c r="AM22" s="547"/>
      <c r="AN22" s="547"/>
      <c r="AO22" s="547"/>
      <c r="AP22" s="547"/>
      <c r="AQ22" s="547"/>
      <c r="AR22" s="547"/>
      <c r="AS22" s="547"/>
      <c r="AT22" s="547"/>
      <c r="AU22" s="547"/>
      <c r="AV22" s="547"/>
      <c r="AW22" s="547"/>
      <c r="AX22" s="547"/>
      <c r="AY22" s="547"/>
      <c r="AZ22" s="547"/>
      <c r="BA22" s="547"/>
      <c r="BB22" s="547"/>
      <c r="BC22" s="547"/>
      <c r="BD22" s="547"/>
      <c r="BE22" s="547"/>
      <c r="BF22" s="547"/>
      <c r="BG22" s="547"/>
      <c r="BH22" s="547"/>
      <c r="BI22" s="547"/>
      <c r="BJ22" s="547"/>
      <c r="BK22" s="547"/>
      <c r="BL22" s="547"/>
      <c r="BM22" s="547"/>
      <c r="BN22" s="547"/>
      <c r="BO22" s="547"/>
      <c r="BP22" s="547"/>
      <c r="BQ22" s="547"/>
      <c r="BR22" s="547"/>
      <c r="BS22" s="547"/>
      <c r="BT22" s="547"/>
      <c r="BU22" s="547"/>
      <c r="BV22" s="547"/>
      <c r="BW22" s="547"/>
      <c r="BX22" s="547"/>
      <c r="BY22" s="547"/>
      <c r="BZ22" s="547"/>
      <c r="CA22" s="547"/>
      <c r="CB22" s="547"/>
      <c r="CC22" s="547"/>
      <c r="CD22" s="547"/>
      <c r="CE22" s="547"/>
      <c r="CF22" s="547"/>
      <c r="CG22" s="547"/>
      <c r="CH22" s="547"/>
      <c r="CI22" s="547"/>
      <c r="CJ22" s="547"/>
      <c r="CK22" s="547"/>
      <c r="CL22" s="547"/>
      <c r="CM22" s="547"/>
      <c r="CN22" s="547"/>
      <c r="CO22" s="547"/>
      <c r="CP22" s="547"/>
      <c r="CQ22" s="547"/>
      <c r="CR22" s="547"/>
      <c r="CS22" s="547"/>
      <c r="CT22" s="547"/>
      <c r="CU22" s="547"/>
      <c r="CV22" s="547"/>
      <c r="CW22" s="547"/>
      <c r="CX22" s="547"/>
      <c r="CY22" s="547"/>
      <c r="CZ22" s="547"/>
      <c r="DA22" s="547"/>
      <c r="DB22" s="547"/>
      <c r="DC22" s="547"/>
      <c r="DD22" s="547"/>
      <c r="DE22" s="547"/>
      <c r="DF22" s="547"/>
      <c r="DG22" s="547"/>
      <c r="DH22" s="547"/>
      <c r="DI22" s="547"/>
      <c r="DJ22" s="547"/>
      <c r="DK22" s="547"/>
      <c r="DL22" s="547"/>
      <c r="DM22" s="547"/>
      <c r="DN22" s="547"/>
      <c r="DO22" s="547"/>
      <c r="DP22" s="547"/>
      <c r="DQ22" s="547"/>
      <c r="DR22" s="547"/>
      <c r="DS22" s="547"/>
      <c r="DT22" s="547"/>
      <c r="DU22" s="547"/>
      <c r="DV22" s="547"/>
      <c r="DW22" s="547"/>
      <c r="DX22" s="547"/>
      <c r="DY22" s="547"/>
      <c r="DZ22" s="547"/>
      <c r="EA22" s="547"/>
      <c r="EB22" s="547"/>
      <c r="EC22" s="547"/>
      <c r="ED22" s="547"/>
      <c r="EE22" s="547"/>
      <c r="EF22" s="547"/>
      <c r="EG22" s="547"/>
      <c r="EH22" s="547"/>
      <c r="EI22" s="547"/>
      <c r="EJ22" s="547"/>
      <c r="EK22" s="547"/>
      <c r="EL22" s="547"/>
      <c r="EM22" s="547"/>
      <c r="EN22" s="547"/>
      <c r="EO22" s="547"/>
      <c r="EP22" s="547"/>
      <c r="EQ22" s="547"/>
      <c r="ER22" s="547"/>
      <c r="ES22" s="547"/>
      <c r="ET22" s="547"/>
      <c r="EU22" s="547"/>
      <c r="EV22" s="547"/>
      <c r="EW22" s="547"/>
      <c r="EX22" s="547"/>
      <c r="EY22" s="547"/>
      <c r="EZ22" s="547"/>
      <c r="FA22" s="547"/>
      <c r="FB22" s="547"/>
      <c r="FC22" s="547"/>
      <c r="FD22" s="547"/>
      <c r="FE22" s="547"/>
      <c r="FF22" s="547"/>
      <c r="FG22" s="547"/>
      <c r="FH22" s="547"/>
      <c r="FI22" s="547"/>
      <c r="FJ22" s="547"/>
      <c r="FK22" s="547"/>
      <c r="FL22" s="547"/>
      <c r="FM22" s="547"/>
      <c r="FN22" s="547"/>
      <c r="FO22" s="547"/>
      <c r="FP22" s="547"/>
      <c r="FQ22" s="547"/>
      <c r="FR22" s="547"/>
      <c r="FS22" s="547"/>
      <c r="FT22" s="547"/>
      <c r="FU22" s="547"/>
      <c r="FV22" s="547"/>
      <c r="FW22" s="547"/>
      <c r="FX22" s="547"/>
      <c r="FY22" s="547"/>
      <c r="FZ22" s="547"/>
      <c r="GA22" s="547"/>
      <c r="GB22" s="547"/>
      <c r="GC22" s="547"/>
      <c r="GD22" s="547"/>
      <c r="GE22" s="547"/>
      <c r="GF22" s="547"/>
      <c r="GG22" s="547"/>
      <c r="GH22" s="547"/>
      <c r="GI22" s="547"/>
      <c r="GJ22" s="547"/>
      <c r="GK22" s="547"/>
      <c r="GL22" s="547"/>
      <c r="GM22" s="547"/>
      <c r="GN22" s="547"/>
      <c r="GO22" s="547"/>
      <c r="GP22" s="547"/>
      <c r="GQ22" s="547"/>
      <c r="GR22" s="547"/>
      <c r="GS22" s="547"/>
      <c r="GT22" s="547"/>
      <c r="GU22" s="547"/>
      <c r="GV22" s="547"/>
      <c r="GW22" s="547"/>
      <c r="GX22" s="547"/>
      <c r="GY22" s="547"/>
      <c r="GZ22" s="547"/>
      <c r="HA22" s="547"/>
      <c r="HB22" s="547"/>
      <c r="HC22" s="547"/>
      <c r="HD22" s="547"/>
      <c r="HE22" s="547"/>
      <c r="HF22" s="547"/>
      <c r="HG22" s="547"/>
      <c r="HH22" s="547"/>
      <c r="HI22" s="547"/>
      <c r="HJ22" s="547"/>
      <c r="HK22" s="547"/>
      <c r="HL22" s="547"/>
      <c r="HM22" s="547"/>
      <c r="HN22" s="547"/>
      <c r="HO22" s="547"/>
      <c r="HP22" s="547"/>
      <c r="HQ22" s="547"/>
      <c r="HR22" s="547"/>
      <c r="HS22" s="547"/>
      <c r="HT22" s="547"/>
      <c r="HU22" s="547"/>
      <c r="HV22" s="547"/>
      <c r="HW22" s="547"/>
      <c r="HX22" s="547"/>
      <c r="HY22" s="547"/>
      <c r="HZ22" s="547"/>
      <c r="IA22" s="547"/>
      <c r="IB22" s="547"/>
      <c r="IC22" s="547"/>
      <c r="ID22" s="547"/>
      <c r="IE22" s="547"/>
      <c r="IF22" s="547"/>
      <c r="IG22" s="547"/>
      <c r="IH22" s="547"/>
      <c r="II22" s="547"/>
      <c r="IJ22" s="547"/>
      <c r="IK22" s="547"/>
      <c r="IL22" s="547"/>
      <c r="IM22" s="547"/>
      <c r="IN22" s="547"/>
      <c r="IO22" s="547"/>
      <c r="IP22" s="547"/>
      <c r="IQ22" s="547"/>
      <c r="IR22" s="547"/>
      <c r="IS22" s="547"/>
      <c r="IT22" s="547"/>
      <c r="IU22" s="547"/>
      <c r="IV22" s="547"/>
    </row>
    <row r="23" spans="1:256" s="548" customFormat="1" ht="12.75" customHeight="1">
      <c r="A23" s="549" t="s">
        <v>65</v>
      </c>
      <c r="B23" s="545" t="s">
        <v>1173</v>
      </c>
      <c r="C23" s="546">
        <v>19449555</v>
      </c>
      <c r="D23" s="546"/>
      <c r="E23" s="546"/>
      <c r="F23" s="546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7"/>
      <c r="AJ23" s="547"/>
      <c r="AK23" s="547"/>
      <c r="AL23" s="547"/>
      <c r="AM23" s="547"/>
      <c r="AN23" s="547"/>
      <c r="AO23" s="547"/>
      <c r="AP23" s="547"/>
      <c r="AQ23" s="547"/>
      <c r="AR23" s="547"/>
      <c r="AS23" s="547"/>
      <c r="AT23" s="547"/>
      <c r="AU23" s="547"/>
      <c r="AV23" s="547"/>
      <c r="AW23" s="547"/>
      <c r="AX23" s="547"/>
      <c r="AY23" s="547"/>
      <c r="AZ23" s="547"/>
      <c r="BA23" s="547"/>
      <c r="BB23" s="547"/>
      <c r="BC23" s="547"/>
      <c r="BD23" s="547"/>
      <c r="BE23" s="547"/>
      <c r="BF23" s="547"/>
      <c r="BG23" s="547"/>
      <c r="BH23" s="547"/>
      <c r="BI23" s="547"/>
      <c r="BJ23" s="547"/>
      <c r="BK23" s="547"/>
      <c r="BL23" s="547"/>
      <c r="BM23" s="547"/>
      <c r="BN23" s="547"/>
      <c r="BO23" s="547"/>
      <c r="BP23" s="547"/>
      <c r="BQ23" s="547"/>
      <c r="BR23" s="547"/>
      <c r="BS23" s="547"/>
      <c r="BT23" s="547"/>
      <c r="BU23" s="547"/>
      <c r="BV23" s="547"/>
      <c r="BW23" s="547"/>
      <c r="BX23" s="547"/>
      <c r="BY23" s="547"/>
      <c r="BZ23" s="547"/>
      <c r="CA23" s="547"/>
      <c r="CB23" s="547"/>
      <c r="CC23" s="547"/>
      <c r="CD23" s="547"/>
      <c r="CE23" s="547"/>
      <c r="CF23" s="547"/>
      <c r="CG23" s="547"/>
      <c r="CH23" s="547"/>
      <c r="CI23" s="547"/>
      <c r="CJ23" s="547"/>
      <c r="CK23" s="547"/>
      <c r="CL23" s="547"/>
      <c r="CM23" s="547"/>
      <c r="CN23" s="547"/>
      <c r="CO23" s="547"/>
      <c r="CP23" s="547"/>
      <c r="CQ23" s="547"/>
      <c r="CR23" s="547"/>
      <c r="CS23" s="547"/>
      <c r="CT23" s="547"/>
      <c r="CU23" s="547"/>
      <c r="CV23" s="547"/>
      <c r="CW23" s="547"/>
      <c r="CX23" s="547"/>
      <c r="CY23" s="547"/>
      <c r="CZ23" s="547"/>
      <c r="DA23" s="547"/>
      <c r="DB23" s="547"/>
      <c r="DC23" s="547"/>
      <c r="DD23" s="547"/>
      <c r="DE23" s="547"/>
      <c r="DF23" s="547"/>
      <c r="DG23" s="547"/>
      <c r="DH23" s="547"/>
      <c r="DI23" s="547"/>
      <c r="DJ23" s="547"/>
      <c r="DK23" s="547"/>
      <c r="DL23" s="547"/>
      <c r="DM23" s="547"/>
      <c r="DN23" s="547"/>
      <c r="DO23" s="547"/>
      <c r="DP23" s="547"/>
      <c r="DQ23" s="547"/>
      <c r="DR23" s="547"/>
      <c r="DS23" s="547"/>
      <c r="DT23" s="547"/>
      <c r="DU23" s="547"/>
      <c r="DV23" s="547"/>
      <c r="DW23" s="547"/>
      <c r="DX23" s="547"/>
      <c r="DY23" s="547"/>
      <c r="DZ23" s="547"/>
      <c r="EA23" s="547"/>
      <c r="EB23" s="547"/>
      <c r="EC23" s="547"/>
      <c r="ED23" s="547"/>
      <c r="EE23" s="547"/>
      <c r="EF23" s="547"/>
      <c r="EG23" s="547"/>
      <c r="EH23" s="547"/>
      <c r="EI23" s="547"/>
      <c r="EJ23" s="547"/>
      <c r="EK23" s="547"/>
      <c r="EL23" s="547"/>
      <c r="EM23" s="547"/>
      <c r="EN23" s="547"/>
      <c r="EO23" s="547"/>
      <c r="EP23" s="547"/>
      <c r="EQ23" s="547"/>
      <c r="ER23" s="547"/>
      <c r="ES23" s="547"/>
      <c r="ET23" s="547"/>
      <c r="EU23" s="547"/>
      <c r="EV23" s="547"/>
      <c r="EW23" s="547"/>
      <c r="EX23" s="547"/>
      <c r="EY23" s="547"/>
      <c r="EZ23" s="547"/>
      <c r="FA23" s="547"/>
      <c r="FB23" s="547"/>
      <c r="FC23" s="547"/>
      <c r="FD23" s="547"/>
      <c r="FE23" s="547"/>
      <c r="FF23" s="547"/>
      <c r="FG23" s="547"/>
      <c r="FH23" s="547"/>
      <c r="FI23" s="547"/>
      <c r="FJ23" s="547"/>
      <c r="FK23" s="547"/>
      <c r="FL23" s="547"/>
      <c r="FM23" s="547"/>
      <c r="FN23" s="547"/>
      <c r="FO23" s="547"/>
      <c r="FP23" s="547"/>
      <c r="FQ23" s="547"/>
      <c r="FR23" s="547"/>
      <c r="FS23" s="547"/>
      <c r="FT23" s="547"/>
      <c r="FU23" s="547"/>
      <c r="FV23" s="547"/>
      <c r="FW23" s="547"/>
      <c r="FX23" s="547"/>
      <c r="FY23" s="547"/>
      <c r="FZ23" s="547"/>
      <c r="GA23" s="547"/>
      <c r="GB23" s="547"/>
      <c r="GC23" s="547"/>
      <c r="GD23" s="547"/>
      <c r="GE23" s="547"/>
      <c r="GF23" s="547"/>
      <c r="GG23" s="547"/>
      <c r="GH23" s="547"/>
      <c r="GI23" s="547"/>
      <c r="GJ23" s="547"/>
      <c r="GK23" s="547"/>
      <c r="GL23" s="547"/>
      <c r="GM23" s="547"/>
      <c r="GN23" s="547"/>
      <c r="GO23" s="547"/>
      <c r="GP23" s="547"/>
      <c r="GQ23" s="547"/>
      <c r="GR23" s="547"/>
      <c r="GS23" s="547"/>
      <c r="GT23" s="547"/>
      <c r="GU23" s="547"/>
      <c r="GV23" s="547"/>
      <c r="GW23" s="547"/>
      <c r="GX23" s="547"/>
      <c r="GY23" s="547"/>
      <c r="GZ23" s="547"/>
      <c r="HA23" s="547"/>
      <c r="HB23" s="547"/>
      <c r="HC23" s="547"/>
      <c r="HD23" s="547"/>
      <c r="HE23" s="547"/>
      <c r="HF23" s="547"/>
      <c r="HG23" s="547"/>
      <c r="HH23" s="547"/>
      <c r="HI23" s="547"/>
      <c r="HJ23" s="547"/>
      <c r="HK23" s="547"/>
      <c r="HL23" s="547"/>
      <c r="HM23" s="547"/>
      <c r="HN23" s="547"/>
      <c r="HO23" s="547"/>
      <c r="HP23" s="547"/>
      <c r="HQ23" s="547"/>
      <c r="HR23" s="547"/>
      <c r="HS23" s="547"/>
      <c r="HT23" s="547"/>
      <c r="HU23" s="547"/>
      <c r="HV23" s="547"/>
      <c r="HW23" s="547"/>
      <c r="HX23" s="547"/>
      <c r="HY23" s="547"/>
      <c r="HZ23" s="547"/>
      <c r="IA23" s="547"/>
      <c r="IB23" s="547"/>
      <c r="IC23" s="547"/>
      <c r="ID23" s="547"/>
      <c r="IE23" s="547"/>
      <c r="IF23" s="547"/>
      <c r="IG23" s="547"/>
      <c r="IH23" s="547"/>
      <c r="II23" s="547"/>
      <c r="IJ23" s="547"/>
      <c r="IK23" s="547"/>
      <c r="IL23" s="547"/>
      <c r="IM23" s="547"/>
      <c r="IN23" s="547"/>
      <c r="IO23" s="547"/>
      <c r="IP23" s="547"/>
      <c r="IQ23" s="547"/>
      <c r="IR23" s="547"/>
      <c r="IS23" s="547"/>
      <c r="IT23" s="547"/>
      <c r="IU23" s="547"/>
      <c r="IV23" s="547"/>
    </row>
    <row r="24" spans="1:256" s="548" customFormat="1" ht="12.75" customHeight="1">
      <c r="A24" s="549" t="s">
        <v>92</v>
      </c>
      <c r="B24" s="545" t="s">
        <v>680</v>
      </c>
      <c r="C24" s="546">
        <v>15420000</v>
      </c>
      <c r="D24" s="546">
        <v>19000000</v>
      </c>
      <c r="E24" s="546">
        <v>19000000</v>
      </c>
      <c r="F24" s="546">
        <v>19000000</v>
      </c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7"/>
      <c r="AU24" s="547"/>
      <c r="AV24" s="547"/>
      <c r="AW24" s="547"/>
      <c r="AX24" s="547"/>
      <c r="AY24" s="547"/>
      <c r="AZ24" s="547"/>
      <c r="BA24" s="547"/>
      <c r="BB24" s="547"/>
      <c r="BC24" s="547"/>
      <c r="BD24" s="547"/>
      <c r="BE24" s="547"/>
      <c r="BF24" s="547"/>
      <c r="BG24" s="547"/>
      <c r="BH24" s="547"/>
      <c r="BI24" s="547"/>
      <c r="BJ24" s="547"/>
      <c r="BK24" s="547"/>
      <c r="BL24" s="547"/>
      <c r="BM24" s="547"/>
      <c r="BN24" s="547"/>
      <c r="BO24" s="547"/>
      <c r="BP24" s="547"/>
      <c r="BQ24" s="547"/>
      <c r="BR24" s="547"/>
      <c r="BS24" s="547"/>
      <c r="BT24" s="547"/>
      <c r="BU24" s="547"/>
      <c r="BV24" s="547"/>
      <c r="BW24" s="547"/>
      <c r="BX24" s="547"/>
      <c r="BY24" s="547"/>
      <c r="BZ24" s="547"/>
      <c r="CA24" s="547"/>
      <c r="CB24" s="547"/>
      <c r="CC24" s="547"/>
      <c r="CD24" s="547"/>
      <c r="CE24" s="547"/>
      <c r="CF24" s="547"/>
      <c r="CG24" s="547"/>
      <c r="CH24" s="547"/>
      <c r="CI24" s="547"/>
      <c r="CJ24" s="547"/>
      <c r="CK24" s="547"/>
      <c r="CL24" s="547"/>
      <c r="CM24" s="547"/>
      <c r="CN24" s="547"/>
      <c r="CO24" s="547"/>
      <c r="CP24" s="547"/>
      <c r="CQ24" s="547"/>
      <c r="CR24" s="547"/>
      <c r="CS24" s="547"/>
      <c r="CT24" s="547"/>
      <c r="CU24" s="547"/>
      <c r="CV24" s="547"/>
      <c r="CW24" s="547"/>
      <c r="CX24" s="547"/>
      <c r="CY24" s="547"/>
      <c r="CZ24" s="547"/>
      <c r="DA24" s="547"/>
      <c r="DB24" s="547"/>
      <c r="DC24" s="547"/>
      <c r="DD24" s="547"/>
      <c r="DE24" s="547"/>
      <c r="DF24" s="547"/>
      <c r="DG24" s="547"/>
      <c r="DH24" s="547"/>
      <c r="DI24" s="547"/>
      <c r="DJ24" s="547"/>
      <c r="DK24" s="547"/>
      <c r="DL24" s="547"/>
      <c r="DM24" s="547"/>
      <c r="DN24" s="547"/>
      <c r="DO24" s="547"/>
      <c r="DP24" s="547"/>
      <c r="DQ24" s="547"/>
      <c r="DR24" s="547"/>
      <c r="DS24" s="547"/>
      <c r="DT24" s="547"/>
      <c r="DU24" s="547"/>
      <c r="DV24" s="547"/>
      <c r="DW24" s="547"/>
      <c r="DX24" s="547"/>
      <c r="DY24" s="547"/>
      <c r="DZ24" s="547"/>
      <c r="EA24" s="547"/>
      <c r="EB24" s="547"/>
      <c r="EC24" s="547"/>
      <c r="ED24" s="547"/>
      <c r="EE24" s="547"/>
      <c r="EF24" s="547"/>
      <c r="EG24" s="547"/>
      <c r="EH24" s="547"/>
      <c r="EI24" s="547"/>
      <c r="EJ24" s="547"/>
      <c r="EK24" s="547"/>
      <c r="EL24" s="547"/>
      <c r="EM24" s="547"/>
      <c r="EN24" s="547"/>
      <c r="EO24" s="547"/>
      <c r="EP24" s="547"/>
      <c r="EQ24" s="547"/>
      <c r="ER24" s="547"/>
      <c r="ES24" s="547"/>
      <c r="ET24" s="547"/>
      <c r="EU24" s="547"/>
      <c r="EV24" s="547"/>
      <c r="EW24" s="547"/>
      <c r="EX24" s="547"/>
      <c r="EY24" s="547"/>
      <c r="EZ24" s="547"/>
      <c r="FA24" s="547"/>
      <c r="FB24" s="547"/>
      <c r="FC24" s="547"/>
      <c r="FD24" s="547"/>
      <c r="FE24" s="547"/>
      <c r="FF24" s="547"/>
      <c r="FG24" s="547"/>
      <c r="FH24" s="547"/>
      <c r="FI24" s="547"/>
      <c r="FJ24" s="547"/>
      <c r="FK24" s="547"/>
      <c r="FL24" s="547"/>
      <c r="FM24" s="547"/>
      <c r="FN24" s="547"/>
      <c r="FO24" s="547"/>
      <c r="FP24" s="547"/>
      <c r="FQ24" s="547"/>
      <c r="FR24" s="547"/>
      <c r="FS24" s="547"/>
      <c r="FT24" s="547"/>
      <c r="FU24" s="547"/>
      <c r="FV24" s="547"/>
      <c r="FW24" s="547"/>
      <c r="FX24" s="547"/>
      <c r="FY24" s="547"/>
      <c r="FZ24" s="547"/>
      <c r="GA24" s="547"/>
      <c r="GB24" s="547"/>
      <c r="GC24" s="547"/>
      <c r="GD24" s="547"/>
      <c r="GE24" s="547"/>
      <c r="GF24" s="547"/>
      <c r="GG24" s="547"/>
      <c r="GH24" s="547"/>
      <c r="GI24" s="547"/>
      <c r="GJ24" s="547"/>
      <c r="GK24" s="547"/>
      <c r="GL24" s="547"/>
      <c r="GM24" s="547"/>
      <c r="GN24" s="547"/>
      <c r="GO24" s="547"/>
      <c r="GP24" s="547"/>
      <c r="GQ24" s="547"/>
      <c r="GR24" s="547"/>
      <c r="GS24" s="547"/>
      <c r="GT24" s="547"/>
      <c r="GU24" s="547"/>
      <c r="GV24" s="547"/>
      <c r="GW24" s="547"/>
      <c r="GX24" s="547"/>
      <c r="GY24" s="547"/>
      <c r="GZ24" s="547"/>
      <c r="HA24" s="547"/>
      <c r="HB24" s="547"/>
      <c r="HC24" s="547"/>
      <c r="HD24" s="547"/>
      <c r="HE24" s="547"/>
      <c r="HF24" s="547"/>
      <c r="HG24" s="547"/>
      <c r="HH24" s="547"/>
      <c r="HI24" s="547"/>
      <c r="HJ24" s="547"/>
      <c r="HK24" s="547"/>
      <c r="HL24" s="547"/>
      <c r="HM24" s="547"/>
      <c r="HN24" s="547"/>
      <c r="HO24" s="547"/>
      <c r="HP24" s="547"/>
      <c r="HQ24" s="547"/>
      <c r="HR24" s="547"/>
      <c r="HS24" s="547"/>
      <c r="HT24" s="547"/>
      <c r="HU24" s="547"/>
      <c r="HV24" s="547"/>
      <c r="HW24" s="547"/>
      <c r="HX24" s="547"/>
      <c r="HY24" s="547"/>
      <c r="HZ24" s="547"/>
      <c r="IA24" s="547"/>
      <c r="IB24" s="547"/>
      <c r="IC24" s="547"/>
      <c r="ID24" s="547"/>
      <c r="IE24" s="547"/>
      <c r="IF24" s="547"/>
      <c r="IG24" s="547"/>
      <c r="IH24" s="547"/>
      <c r="II24" s="547"/>
      <c r="IJ24" s="547"/>
      <c r="IK24" s="547"/>
      <c r="IL24" s="547"/>
      <c r="IM24" s="547"/>
      <c r="IN24" s="547"/>
      <c r="IO24" s="547"/>
      <c r="IP24" s="547"/>
      <c r="IQ24" s="547"/>
      <c r="IR24" s="547"/>
      <c r="IS24" s="547"/>
      <c r="IT24" s="547"/>
      <c r="IU24" s="547"/>
      <c r="IV24" s="547"/>
    </row>
    <row r="25" spans="1:256" s="548" customFormat="1" ht="12.75" customHeight="1">
      <c r="A25" s="549" t="s">
        <v>66</v>
      </c>
      <c r="B25" s="545" t="s">
        <v>713</v>
      </c>
      <c r="C25" s="546">
        <v>292000</v>
      </c>
      <c r="D25" s="546">
        <v>7000000</v>
      </c>
      <c r="E25" s="546">
        <v>7000000</v>
      </c>
      <c r="F25" s="546">
        <v>7000000</v>
      </c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  <c r="AJ25" s="547"/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7"/>
      <c r="AV25" s="547"/>
      <c r="AW25" s="547"/>
      <c r="AX25" s="547"/>
      <c r="AY25" s="547"/>
      <c r="AZ25" s="547"/>
      <c r="BA25" s="547"/>
      <c r="BB25" s="547"/>
      <c r="BC25" s="547"/>
      <c r="BD25" s="547"/>
      <c r="BE25" s="547"/>
      <c r="BF25" s="547"/>
      <c r="BG25" s="547"/>
      <c r="BH25" s="547"/>
      <c r="BI25" s="547"/>
      <c r="BJ25" s="547"/>
      <c r="BK25" s="547"/>
      <c r="BL25" s="547"/>
      <c r="BM25" s="547"/>
      <c r="BN25" s="547"/>
      <c r="BO25" s="547"/>
      <c r="BP25" s="547"/>
      <c r="BQ25" s="547"/>
      <c r="BR25" s="547"/>
      <c r="BS25" s="547"/>
      <c r="BT25" s="547"/>
      <c r="BU25" s="547"/>
      <c r="BV25" s="547"/>
      <c r="BW25" s="547"/>
      <c r="BX25" s="547"/>
      <c r="BY25" s="547"/>
      <c r="BZ25" s="547"/>
      <c r="CA25" s="547"/>
      <c r="CB25" s="547"/>
      <c r="CC25" s="547"/>
      <c r="CD25" s="547"/>
      <c r="CE25" s="547"/>
      <c r="CF25" s="547"/>
      <c r="CG25" s="547"/>
      <c r="CH25" s="547"/>
      <c r="CI25" s="547"/>
      <c r="CJ25" s="547"/>
      <c r="CK25" s="547"/>
      <c r="CL25" s="547"/>
      <c r="CM25" s="547"/>
      <c r="CN25" s="547"/>
      <c r="CO25" s="547"/>
      <c r="CP25" s="547"/>
      <c r="CQ25" s="547"/>
      <c r="CR25" s="547"/>
      <c r="CS25" s="547"/>
      <c r="CT25" s="547"/>
      <c r="CU25" s="547"/>
      <c r="CV25" s="547"/>
      <c r="CW25" s="547"/>
      <c r="CX25" s="547"/>
      <c r="CY25" s="547"/>
      <c r="CZ25" s="547"/>
      <c r="DA25" s="547"/>
      <c r="DB25" s="547"/>
      <c r="DC25" s="547"/>
      <c r="DD25" s="547"/>
      <c r="DE25" s="547"/>
      <c r="DF25" s="547"/>
      <c r="DG25" s="547"/>
      <c r="DH25" s="547"/>
      <c r="DI25" s="547"/>
      <c r="DJ25" s="547"/>
      <c r="DK25" s="547"/>
      <c r="DL25" s="547"/>
      <c r="DM25" s="547"/>
      <c r="DN25" s="547"/>
      <c r="DO25" s="547"/>
      <c r="DP25" s="547"/>
      <c r="DQ25" s="547"/>
      <c r="DR25" s="547"/>
      <c r="DS25" s="547"/>
      <c r="DT25" s="547"/>
      <c r="DU25" s="547"/>
      <c r="DV25" s="547"/>
      <c r="DW25" s="547"/>
      <c r="DX25" s="547"/>
      <c r="DY25" s="547"/>
      <c r="DZ25" s="547"/>
      <c r="EA25" s="547"/>
      <c r="EB25" s="547"/>
      <c r="EC25" s="547"/>
      <c r="ED25" s="547"/>
      <c r="EE25" s="547"/>
      <c r="EF25" s="547"/>
      <c r="EG25" s="547"/>
      <c r="EH25" s="547"/>
      <c r="EI25" s="547"/>
      <c r="EJ25" s="547"/>
      <c r="EK25" s="547"/>
      <c r="EL25" s="547"/>
      <c r="EM25" s="547"/>
      <c r="EN25" s="547"/>
      <c r="EO25" s="547"/>
      <c r="EP25" s="547"/>
      <c r="EQ25" s="547"/>
      <c r="ER25" s="547"/>
      <c r="ES25" s="547"/>
      <c r="ET25" s="547"/>
      <c r="EU25" s="547"/>
      <c r="EV25" s="547"/>
      <c r="EW25" s="547"/>
      <c r="EX25" s="547"/>
      <c r="EY25" s="547"/>
      <c r="EZ25" s="547"/>
      <c r="FA25" s="547"/>
      <c r="FB25" s="547"/>
      <c r="FC25" s="547"/>
      <c r="FD25" s="547"/>
      <c r="FE25" s="547"/>
      <c r="FF25" s="547"/>
      <c r="FG25" s="547"/>
      <c r="FH25" s="547"/>
      <c r="FI25" s="547"/>
      <c r="FJ25" s="547"/>
      <c r="FK25" s="547"/>
      <c r="FL25" s="547"/>
      <c r="FM25" s="547"/>
      <c r="FN25" s="547"/>
      <c r="FO25" s="547"/>
      <c r="FP25" s="547"/>
      <c r="FQ25" s="547"/>
      <c r="FR25" s="547"/>
      <c r="FS25" s="547"/>
      <c r="FT25" s="547"/>
      <c r="FU25" s="547"/>
      <c r="FV25" s="547"/>
      <c r="FW25" s="547"/>
      <c r="FX25" s="547"/>
      <c r="FY25" s="547"/>
      <c r="FZ25" s="547"/>
      <c r="GA25" s="547"/>
      <c r="GB25" s="547"/>
      <c r="GC25" s="547"/>
      <c r="GD25" s="547"/>
      <c r="GE25" s="547"/>
      <c r="GF25" s="547"/>
      <c r="GG25" s="547"/>
      <c r="GH25" s="547"/>
      <c r="GI25" s="547"/>
      <c r="GJ25" s="547"/>
      <c r="GK25" s="547"/>
      <c r="GL25" s="547"/>
      <c r="GM25" s="547"/>
      <c r="GN25" s="547"/>
      <c r="GO25" s="547"/>
      <c r="GP25" s="547"/>
      <c r="GQ25" s="547"/>
      <c r="GR25" s="547"/>
      <c r="GS25" s="547"/>
      <c r="GT25" s="547"/>
      <c r="GU25" s="547"/>
      <c r="GV25" s="547"/>
      <c r="GW25" s="547"/>
      <c r="GX25" s="547"/>
      <c r="GY25" s="547"/>
      <c r="GZ25" s="547"/>
      <c r="HA25" s="547"/>
      <c r="HB25" s="547"/>
      <c r="HC25" s="547"/>
      <c r="HD25" s="547"/>
      <c r="HE25" s="547"/>
      <c r="HF25" s="547"/>
      <c r="HG25" s="547"/>
      <c r="HH25" s="547"/>
      <c r="HI25" s="547"/>
      <c r="HJ25" s="547"/>
      <c r="HK25" s="547"/>
      <c r="HL25" s="547"/>
      <c r="HM25" s="547"/>
      <c r="HN25" s="547"/>
      <c r="HO25" s="547"/>
      <c r="HP25" s="547"/>
      <c r="HQ25" s="547"/>
      <c r="HR25" s="547"/>
      <c r="HS25" s="547"/>
      <c r="HT25" s="547"/>
      <c r="HU25" s="547"/>
      <c r="HV25" s="547"/>
      <c r="HW25" s="547"/>
      <c r="HX25" s="547"/>
      <c r="HY25" s="547"/>
      <c r="HZ25" s="547"/>
      <c r="IA25" s="547"/>
      <c r="IB25" s="547"/>
      <c r="IC25" s="547"/>
      <c r="ID25" s="547"/>
      <c r="IE25" s="547"/>
      <c r="IF25" s="547"/>
      <c r="IG25" s="547"/>
      <c r="IH25" s="547"/>
      <c r="II25" s="547"/>
      <c r="IJ25" s="547"/>
      <c r="IK25" s="547"/>
      <c r="IL25" s="547"/>
      <c r="IM25" s="547"/>
      <c r="IN25" s="547"/>
      <c r="IO25" s="547"/>
      <c r="IP25" s="547"/>
      <c r="IQ25" s="547"/>
      <c r="IR25" s="547"/>
      <c r="IS25" s="547"/>
      <c r="IT25" s="547"/>
      <c r="IU25" s="547"/>
      <c r="IV25" s="547"/>
    </row>
    <row r="26" spans="1:256" s="548" customFormat="1" ht="12.75" customHeight="1">
      <c r="A26" s="544" t="s">
        <v>67</v>
      </c>
      <c r="B26" s="545" t="s">
        <v>681</v>
      </c>
      <c r="C26" s="546">
        <v>5</v>
      </c>
      <c r="D26" s="546"/>
      <c r="E26" s="546"/>
      <c r="F26" s="546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547"/>
      <c r="AF26" s="547"/>
      <c r="AG26" s="547"/>
      <c r="AH26" s="547"/>
      <c r="AI26" s="547"/>
      <c r="AJ26" s="547"/>
      <c r="AK26" s="547"/>
      <c r="AL26" s="547"/>
      <c r="AM26" s="547"/>
      <c r="AN26" s="547"/>
      <c r="AO26" s="547"/>
      <c r="AP26" s="547"/>
      <c r="AQ26" s="547"/>
      <c r="AR26" s="547"/>
      <c r="AS26" s="547"/>
      <c r="AT26" s="547"/>
      <c r="AU26" s="547"/>
      <c r="AV26" s="547"/>
      <c r="AW26" s="547"/>
      <c r="AX26" s="547"/>
      <c r="AY26" s="547"/>
      <c r="AZ26" s="547"/>
      <c r="BA26" s="547"/>
      <c r="BB26" s="547"/>
      <c r="BC26" s="547"/>
      <c r="BD26" s="547"/>
      <c r="BE26" s="547"/>
      <c r="BF26" s="547"/>
      <c r="BG26" s="547"/>
      <c r="BH26" s="547"/>
      <c r="BI26" s="547"/>
      <c r="BJ26" s="547"/>
      <c r="BK26" s="547"/>
      <c r="BL26" s="547"/>
      <c r="BM26" s="547"/>
      <c r="BN26" s="547"/>
      <c r="BO26" s="547"/>
      <c r="BP26" s="547"/>
      <c r="BQ26" s="547"/>
      <c r="BR26" s="547"/>
      <c r="BS26" s="547"/>
      <c r="BT26" s="547"/>
      <c r="BU26" s="547"/>
      <c r="BV26" s="547"/>
      <c r="BW26" s="547"/>
      <c r="BX26" s="547"/>
      <c r="BY26" s="547"/>
      <c r="BZ26" s="547"/>
      <c r="CA26" s="547"/>
      <c r="CB26" s="547"/>
      <c r="CC26" s="547"/>
      <c r="CD26" s="547"/>
      <c r="CE26" s="547"/>
      <c r="CF26" s="547"/>
      <c r="CG26" s="547"/>
      <c r="CH26" s="547"/>
      <c r="CI26" s="547"/>
      <c r="CJ26" s="547"/>
      <c r="CK26" s="547"/>
      <c r="CL26" s="547"/>
      <c r="CM26" s="547"/>
      <c r="CN26" s="547"/>
      <c r="CO26" s="547"/>
      <c r="CP26" s="547"/>
      <c r="CQ26" s="547"/>
      <c r="CR26" s="547"/>
      <c r="CS26" s="547"/>
      <c r="CT26" s="547"/>
      <c r="CU26" s="547"/>
      <c r="CV26" s="547"/>
      <c r="CW26" s="547"/>
      <c r="CX26" s="547"/>
      <c r="CY26" s="547"/>
      <c r="CZ26" s="547"/>
      <c r="DA26" s="547"/>
      <c r="DB26" s="547"/>
      <c r="DC26" s="547"/>
      <c r="DD26" s="547"/>
      <c r="DE26" s="547"/>
      <c r="DF26" s="547"/>
      <c r="DG26" s="547"/>
      <c r="DH26" s="547"/>
      <c r="DI26" s="547"/>
      <c r="DJ26" s="547"/>
      <c r="DK26" s="547"/>
      <c r="DL26" s="547"/>
      <c r="DM26" s="547"/>
      <c r="DN26" s="547"/>
      <c r="DO26" s="547"/>
      <c r="DP26" s="547"/>
      <c r="DQ26" s="547"/>
      <c r="DR26" s="547"/>
      <c r="DS26" s="547"/>
      <c r="DT26" s="547"/>
      <c r="DU26" s="547"/>
      <c r="DV26" s="547"/>
      <c r="DW26" s="547"/>
      <c r="DX26" s="547"/>
      <c r="DY26" s="547"/>
      <c r="DZ26" s="547"/>
      <c r="EA26" s="547"/>
      <c r="EB26" s="547"/>
      <c r="EC26" s="547"/>
      <c r="ED26" s="547"/>
      <c r="EE26" s="547"/>
      <c r="EF26" s="547"/>
      <c r="EG26" s="547"/>
      <c r="EH26" s="547"/>
      <c r="EI26" s="547"/>
      <c r="EJ26" s="547"/>
      <c r="EK26" s="547"/>
      <c r="EL26" s="547"/>
      <c r="EM26" s="547"/>
      <c r="EN26" s="547"/>
      <c r="EO26" s="547"/>
      <c r="EP26" s="547"/>
      <c r="EQ26" s="547"/>
      <c r="ER26" s="547"/>
      <c r="ES26" s="547"/>
      <c r="ET26" s="547"/>
      <c r="EU26" s="547"/>
      <c r="EV26" s="547"/>
      <c r="EW26" s="547"/>
      <c r="EX26" s="547"/>
      <c r="EY26" s="547"/>
      <c r="EZ26" s="547"/>
      <c r="FA26" s="547"/>
      <c r="FB26" s="547"/>
      <c r="FC26" s="547"/>
      <c r="FD26" s="547"/>
      <c r="FE26" s="547"/>
      <c r="FF26" s="547"/>
      <c r="FG26" s="547"/>
      <c r="FH26" s="547"/>
      <c r="FI26" s="547"/>
      <c r="FJ26" s="547"/>
      <c r="FK26" s="547"/>
      <c r="FL26" s="547"/>
      <c r="FM26" s="547"/>
      <c r="FN26" s="547"/>
      <c r="FO26" s="547"/>
      <c r="FP26" s="547"/>
      <c r="FQ26" s="547"/>
      <c r="FR26" s="547"/>
      <c r="FS26" s="547"/>
      <c r="FT26" s="547"/>
      <c r="FU26" s="547"/>
      <c r="FV26" s="547"/>
      <c r="FW26" s="547"/>
      <c r="FX26" s="547"/>
      <c r="FY26" s="547"/>
      <c r="FZ26" s="547"/>
      <c r="GA26" s="547"/>
      <c r="GB26" s="547"/>
      <c r="GC26" s="547"/>
      <c r="GD26" s="547"/>
      <c r="GE26" s="547"/>
      <c r="GF26" s="547"/>
      <c r="GG26" s="547"/>
      <c r="GH26" s="547"/>
      <c r="GI26" s="547"/>
      <c r="GJ26" s="547"/>
      <c r="GK26" s="547"/>
      <c r="GL26" s="547"/>
      <c r="GM26" s="547"/>
      <c r="GN26" s="547"/>
      <c r="GO26" s="547"/>
      <c r="GP26" s="547"/>
      <c r="GQ26" s="547"/>
      <c r="GR26" s="547"/>
      <c r="GS26" s="547"/>
      <c r="GT26" s="547"/>
      <c r="GU26" s="547"/>
      <c r="GV26" s="547"/>
      <c r="GW26" s="547"/>
      <c r="GX26" s="547"/>
      <c r="GY26" s="547"/>
      <c r="GZ26" s="547"/>
      <c r="HA26" s="547"/>
      <c r="HB26" s="547"/>
      <c r="HC26" s="547"/>
      <c r="HD26" s="547"/>
      <c r="HE26" s="547"/>
      <c r="HF26" s="547"/>
      <c r="HG26" s="547"/>
      <c r="HH26" s="547"/>
      <c r="HI26" s="547"/>
      <c r="HJ26" s="547"/>
      <c r="HK26" s="547"/>
      <c r="HL26" s="547"/>
      <c r="HM26" s="547"/>
      <c r="HN26" s="547"/>
      <c r="HO26" s="547"/>
      <c r="HP26" s="547"/>
      <c r="HQ26" s="547"/>
      <c r="HR26" s="547"/>
      <c r="HS26" s="547"/>
      <c r="HT26" s="547"/>
      <c r="HU26" s="547"/>
      <c r="HV26" s="547"/>
      <c r="HW26" s="547"/>
      <c r="HX26" s="547"/>
      <c r="HY26" s="547"/>
      <c r="HZ26" s="547"/>
      <c r="IA26" s="547"/>
      <c r="IB26" s="547"/>
      <c r="IC26" s="547"/>
      <c r="ID26" s="547"/>
      <c r="IE26" s="547"/>
      <c r="IF26" s="547"/>
      <c r="IG26" s="547"/>
      <c r="IH26" s="547"/>
      <c r="II26" s="547"/>
      <c r="IJ26" s="547"/>
      <c r="IK26" s="547"/>
      <c r="IL26" s="547"/>
      <c r="IM26" s="547"/>
      <c r="IN26" s="547"/>
      <c r="IO26" s="547"/>
      <c r="IP26" s="547"/>
      <c r="IQ26" s="547"/>
      <c r="IR26" s="547"/>
      <c r="IS26" s="547"/>
      <c r="IT26" s="547"/>
      <c r="IU26" s="547"/>
      <c r="IV26" s="547"/>
    </row>
    <row r="27" spans="1:256" s="548" customFormat="1" ht="12.75" customHeight="1">
      <c r="A27" s="549" t="s">
        <v>68</v>
      </c>
      <c r="B27" s="545" t="s">
        <v>1174</v>
      </c>
      <c r="C27" s="546">
        <v>113750</v>
      </c>
      <c r="D27" s="546"/>
      <c r="E27" s="546"/>
      <c r="F27" s="546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7"/>
      <c r="AO27" s="547"/>
      <c r="AP27" s="547"/>
      <c r="AQ27" s="547"/>
      <c r="AR27" s="547"/>
      <c r="AS27" s="547"/>
      <c r="AT27" s="547"/>
      <c r="AU27" s="547"/>
      <c r="AV27" s="547"/>
      <c r="AW27" s="547"/>
      <c r="AX27" s="547"/>
      <c r="AY27" s="547"/>
      <c r="AZ27" s="547"/>
      <c r="BA27" s="547"/>
      <c r="BB27" s="547"/>
      <c r="BC27" s="547"/>
      <c r="BD27" s="547"/>
      <c r="BE27" s="547"/>
      <c r="BF27" s="547"/>
      <c r="BG27" s="547"/>
      <c r="BH27" s="547"/>
      <c r="BI27" s="547"/>
      <c r="BJ27" s="547"/>
      <c r="BK27" s="547"/>
      <c r="BL27" s="547"/>
      <c r="BM27" s="547"/>
      <c r="BN27" s="547"/>
      <c r="BO27" s="547"/>
      <c r="BP27" s="547"/>
      <c r="BQ27" s="547"/>
      <c r="BR27" s="547"/>
      <c r="BS27" s="547"/>
      <c r="BT27" s="547"/>
      <c r="BU27" s="547"/>
      <c r="BV27" s="547"/>
      <c r="BW27" s="547"/>
      <c r="BX27" s="547"/>
      <c r="BY27" s="547"/>
      <c r="BZ27" s="547"/>
      <c r="CA27" s="547"/>
      <c r="CB27" s="547"/>
      <c r="CC27" s="547"/>
      <c r="CD27" s="547"/>
      <c r="CE27" s="547"/>
      <c r="CF27" s="547"/>
      <c r="CG27" s="547"/>
      <c r="CH27" s="547"/>
      <c r="CI27" s="547"/>
      <c r="CJ27" s="547"/>
      <c r="CK27" s="547"/>
      <c r="CL27" s="547"/>
      <c r="CM27" s="547"/>
      <c r="CN27" s="547"/>
      <c r="CO27" s="547"/>
      <c r="CP27" s="547"/>
      <c r="CQ27" s="547"/>
      <c r="CR27" s="547"/>
      <c r="CS27" s="547"/>
      <c r="CT27" s="547"/>
      <c r="CU27" s="547"/>
      <c r="CV27" s="547"/>
      <c r="CW27" s="547"/>
      <c r="CX27" s="547"/>
      <c r="CY27" s="547"/>
      <c r="CZ27" s="547"/>
      <c r="DA27" s="547"/>
      <c r="DB27" s="547"/>
      <c r="DC27" s="547"/>
      <c r="DD27" s="547"/>
      <c r="DE27" s="547"/>
      <c r="DF27" s="547"/>
      <c r="DG27" s="547"/>
      <c r="DH27" s="547"/>
      <c r="DI27" s="547"/>
      <c r="DJ27" s="547"/>
      <c r="DK27" s="547"/>
      <c r="DL27" s="547"/>
      <c r="DM27" s="547"/>
      <c r="DN27" s="547"/>
      <c r="DO27" s="547"/>
      <c r="DP27" s="547"/>
      <c r="DQ27" s="547"/>
      <c r="DR27" s="547"/>
      <c r="DS27" s="547"/>
      <c r="DT27" s="547"/>
      <c r="DU27" s="547"/>
      <c r="DV27" s="547"/>
      <c r="DW27" s="547"/>
      <c r="DX27" s="547"/>
      <c r="DY27" s="547"/>
      <c r="DZ27" s="547"/>
      <c r="EA27" s="547"/>
      <c r="EB27" s="547"/>
      <c r="EC27" s="547"/>
      <c r="ED27" s="547"/>
      <c r="EE27" s="547"/>
      <c r="EF27" s="547"/>
      <c r="EG27" s="547"/>
      <c r="EH27" s="547"/>
      <c r="EI27" s="547"/>
      <c r="EJ27" s="547"/>
      <c r="EK27" s="547"/>
      <c r="EL27" s="547"/>
      <c r="EM27" s="547"/>
      <c r="EN27" s="547"/>
      <c r="EO27" s="547"/>
      <c r="EP27" s="547"/>
      <c r="EQ27" s="547"/>
      <c r="ER27" s="547"/>
      <c r="ES27" s="547"/>
      <c r="ET27" s="547"/>
      <c r="EU27" s="547"/>
      <c r="EV27" s="547"/>
      <c r="EW27" s="547"/>
      <c r="EX27" s="547"/>
      <c r="EY27" s="547"/>
      <c r="EZ27" s="547"/>
      <c r="FA27" s="547"/>
      <c r="FB27" s="547"/>
      <c r="FC27" s="547"/>
      <c r="FD27" s="547"/>
      <c r="FE27" s="547"/>
      <c r="FF27" s="547"/>
      <c r="FG27" s="547"/>
      <c r="FH27" s="547"/>
      <c r="FI27" s="547"/>
      <c r="FJ27" s="547"/>
      <c r="FK27" s="547"/>
      <c r="FL27" s="547"/>
      <c r="FM27" s="547"/>
      <c r="FN27" s="547"/>
      <c r="FO27" s="547"/>
      <c r="FP27" s="547"/>
      <c r="FQ27" s="547"/>
      <c r="FR27" s="547"/>
      <c r="FS27" s="547"/>
      <c r="FT27" s="547"/>
      <c r="FU27" s="547"/>
      <c r="FV27" s="547"/>
      <c r="FW27" s="547"/>
      <c r="FX27" s="547"/>
      <c r="FY27" s="547"/>
      <c r="FZ27" s="547"/>
      <c r="GA27" s="547"/>
      <c r="GB27" s="547"/>
      <c r="GC27" s="547"/>
      <c r="GD27" s="547"/>
      <c r="GE27" s="547"/>
      <c r="GF27" s="547"/>
      <c r="GG27" s="547"/>
      <c r="GH27" s="547"/>
      <c r="GI27" s="547"/>
      <c r="GJ27" s="547"/>
      <c r="GK27" s="547"/>
      <c r="GL27" s="547"/>
      <c r="GM27" s="547"/>
      <c r="GN27" s="547"/>
      <c r="GO27" s="547"/>
      <c r="GP27" s="547"/>
      <c r="GQ27" s="547"/>
      <c r="GR27" s="547"/>
      <c r="GS27" s="547"/>
      <c r="GT27" s="547"/>
      <c r="GU27" s="547"/>
      <c r="GV27" s="547"/>
      <c r="GW27" s="547"/>
      <c r="GX27" s="547"/>
      <c r="GY27" s="547"/>
      <c r="GZ27" s="547"/>
      <c r="HA27" s="547"/>
      <c r="HB27" s="547"/>
      <c r="HC27" s="547"/>
      <c r="HD27" s="547"/>
      <c r="HE27" s="547"/>
      <c r="HF27" s="547"/>
      <c r="HG27" s="547"/>
      <c r="HH27" s="547"/>
      <c r="HI27" s="547"/>
      <c r="HJ27" s="547"/>
      <c r="HK27" s="547"/>
      <c r="HL27" s="547"/>
      <c r="HM27" s="547"/>
      <c r="HN27" s="547"/>
      <c r="HO27" s="547"/>
      <c r="HP27" s="547"/>
      <c r="HQ27" s="547"/>
      <c r="HR27" s="547"/>
      <c r="HS27" s="547"/>
      <c r="HT27" s="547"/>
      <c r="HU27" s="547"/>
      <c r="HV27" s="547"/>
      <c r="HW27" s="547"/>
      <c r="HX27" s="547"/>
      <c r="HY27" s="547"/>
      <c r="HZ27" s="547"/>
      <c r="IA27" s="547"/>
      <c r="IB27" s="547"/>
      <c r="IC27" s="547"/>
      <c r="ID27" s="547"/>
      <c r="IE27" s="547"/>
      <c r="IF27" s="547"/>
      <c r="IG27" s="547"/>
      <c r="IH27" s="547"/>
      <c r="II27" s="547"/>
      <c r="IJ27" s="547"/>
      <c r="IK27" s="547"/>
      <c r="IL27" s="547"/>
      <c r="IM27" s="547"/>
      <c r="IN27" s="547"/>
      <c r="IO27" s="547"/>
      <c r="IP27" s="547"/>
      <c r="IQ27" s="547"/>
      <c r="IR27" s="547"/>
      <c r="IS27" s="547"/>
      <c r="IT27" s="547"/>
      <c r="IU27" s="547"/>
      <c r="IV27" s="547"/>
    </row>
    <row r="28" spans="1:256" s="548" customFormat="1" ht="12.75" customHeight="1">
      <c r="A28" s="549" t="s">
        <v>70</v>
      </c>
      <c r="B28" s="545" t="s">
        <v>682</v>
      </c>
      <c r="C28" s="546">
        <v>2442797</v>
      </c>
      <c r="D28" s="546"/>
      <c r="E28" s="546"/>
      <c r="F28" s="546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547"/>
      <c r="AB28" s="547"/>
      <c r="AC28" s="547"/>
      <c r="AD28" s="547"/>
      <c r="AE28" s="547"/>
      <c r="AF28" s="547"/>
      <c r="AG28" s="547"/>
      <c r="AH28" s="547"/>
      <c r="AI28" s="547"/>
      <c r="AJ28" s="547"/>
      <c r="AK28" s="547"/>
      <c r="AL28" s="547"/>
      <c r="AM28" s="547"/>
      <c r="AN28" s="547"/>
      <c r="AO28" s="547"/>
      <c r="AP28" s="547"/>
      <c r="AQ28" s="547"/>
      <c r="AR28" s="547"/>
      <c r="AS28" s="547"/>
      <c r="AT28" s="547"/>
      <c r="AU28" s="547"/>
      <c r="AV28" s="547"/>
      <c r="AW28" s="547"/>
      <c r="AX28" s="547"/>
      <c r="AY28" s="547"/>
      <c r="AZ28" s="547"/>
      <c r="BA28" s="547"/>
      <c r="BB28" s="547"/>
      <c r="BC28" s="547"/>
      <c r="BD28" s="547"/>
      <c r="BE28" s="547"/>
      <c r="BF28" s="547"/>
      <c r="BG28" s="547"/>
      <c r="BH28" s="547"/>
      <c r="BI28" s="547"/>
      <c r="BJ28" s="547"/>
      <c r="BK28" s="547"/>
      <c r="BL28" s="547"/>
      <c r="BM28" s="547"/>
      <c r="BN28" s="547"/>
      <c r="BO28" s="547"/>
      <c r="BP28" s="547"/>
      <c r="BQ28" s="547"/>
      <c r="BR28" s="547"/>
      <c r="BS28" s="547"/>
      <c r="BT28" s="547"/>
      <c r="BU28" s="547"/>
      <c r="BV28" s="547"/>
      <c r="BW28" s="547"/>
      <c r="BX28" s="547"/>
      <c r="BY28" s="547"/>
      <c r="BZ28" s="547"/>
      <c r="CA28" s="547"/>
      <c r="CB28" s="547"/>
      <c r="CC28" s="547"/>
      <c r="CD28" s="547"/>
      <c r="CE28" s="547"/>
      <c r="CF28" s="547"/>
      <c r="CG28" s="547"/>
      <c r="CH28" s="547"/>
      <c r="CI28" s="547"/>
      <c r="CJ28" s="547"/>
      <c r="CK28" s="547"/>
      <c r="CL28" s="547"/>
      <c r="CM28" s="547"/>
      <c r="CN28" s="547"/>
      <c r="CO28" s="547"/>
      <c r="CP28" s="547"/>
      <c r="CQ28" s="547"/>
      <c r="CR28" s="547"/>
      <c r="CS28" s="547"/>
      <c r="CT28" s="547"/>
      <c r="CU28" s="547"/>
      <c r="CV28" s="547"/>
      <c r="CW28" s="547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47"/>
      <c r="DI28" s="547"/>
      <c r="DJ28" s="547"/>
      <c r="DK28" s="547"/>
      <c r="DL28" s="547"/>
      <c r="DM28" s="547"/>
      <c r="DN28" s="547"/>
      <c r="DO28" s="547"/>
      <c r="DP28" s="547"/>
      <c r="DQ28" s="547"/>
      <c r="DR28" s="547"/>
      <c r="DS28" s="547"/>
      <c r="DT28" s="547"/>
      <c r="DU28" s="547"/>
      <c r="DV28" s="547"/>
      <c r="DW28" s="547"/>
      <c r="DX28" s="547"/>
      <c r="DY28" s="547"/>
      <c r="DZ28" s="547"/>
      <c r="EA28" s="547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47"/>
      <c r="EM28" s="547"/>
      <c r="EN28" s="547"/>
      <c r="EO28" s="547"/>
      <c r="EP28" s="547"/>
      <c r="EQ28" s="547"/>
      <c r="ER28" s="547"/>
      <c r="ES28" s="547"/>
      <c r="ET28" s="547"/>
      <c r="EU28" s="547"/>
      <c r="EV28" s="547"/>
      <c r="EW28" s="547"/>
      <c r="EX28" s="547"/>
      <c r="EY28" s="547"/>
      <c r="EZ28" s="547"/>
      <c r="FA28" s="547"/>
      <c r="FB28" s="547"/>
      <c r="FC28" s="547"/>
      <c r="FD28" s="547"/>
      <c r="FE28" s="547"/>
      <c r="FF28" s="547"/>
      <c r="FG28" s="547"/>
      <c r="FH28" s="547"/>
      <c r="FI28" s="547"/>
      <c r="FJ28" s="547"/>
      <c r="FK28" s="547"/>
      <c r="FL28" s="547"/>
      <c r="FM28" s="547"/>
      <c r="FN28" s="547"/>
      <c r="FO28" s="547"/>
      <c r="FP28" s="547"/>
      <c r="FQ28" s="547"/>
      <c r="FR28" s="547"/>
      <c r="FS28" s="547"/>
      <c r="FT28" s="547"/>
      <c r="FU28" s="547"/>
      <c r="FV28" s="547"/>
      <c r="FW28" s="547"/>
      <c r="FX28" s="547"/>
      <c r="FY28" s="547"/>
      <c r="FZ28" s="547"/>
      <c r="GA28" s="547"/>
      <c r="GB28" s="547"/>
      <c r="GC28" s="547"/>
      <c r="GD28" s="547"/>
      <c r="GE28" s="547"/>
      <c r="GF28" s="547"/>
      <c r="GG28" s="547"/>
      <c r="GH28" s="547"/>
      <c r="GI28" s="547"/>
      <c r="GJ28" s="547"/>
      <c r="GK28" s="547"/>
      <c r="GL28" s="547"/>
      <c r="GM28" s="547"/>
      <c r="GN28" s="547"/>
      <c r="GO28" s="547"/>
      <c r="GP28" s="547"/>
      <c r="GQ28" s="547"/>
      <c r="GR28" s="547"/>
      <c r="GS28" s="547"/>
      <c r="GT28" s="547"/>
      <c r="GU28" s="547"/>
      <c r="GV28" s="547"/>
      <c r="GW28" s="547"/>
      <c r="GX28" s="547"/>
      <c r="GY28" s="547"/>
      <c r="GZ28" s="547"/>
      <c r="HA28" s="547"/>
      <c r="HB28" s="547"/>
      <c r="HC28" s="547"/>
      <c r="HD28" s="547"/>
      <c r="HE28" s="547"/>
      <c r="HF28" s="547"/>
      <c r="HG28" s="547"/>
      <c r="HH28" s="547"/>
      <c r="HI28" s="547"/>
      <c r="HJ28" s="547"/>
      <c r="HK28" s="547"/>
      <c r="HL28" s="547"/>
      <c r="HM28" s="547"/>
      <c r="HN28" s="547"/>
      <c r="HO28" s="547"/>
      <c r="HP28" s="547"/>
      <c r="HQ28" s="547"/>
      <c r="HR28" s="547"/>
      <c r="HS28" s="547"/>
      <c r="HT28" s="547"/>
      <c r="HU28" s="547"/>
      <c r="HV28" s="547"/>
      <c r="HW28" s="547"/>
      <c r="HX28" s="547"/>
      <c r="HY28" s="547"/>
      <c r="HZ28" s="547"/>
      <c r="IA28" s="547"/>
      <c r="IB28" s="547"/>
      <c r="IC28" s="547"/>
      <c r="ID28" s="547"/>
      <c r="IE28" s="547"/>
      <c r="IF28" s="547"/>
      <c r="IG28" s="547"/>
      <c r="IH28" s="547"/>
      <c r="II28" s="547"/>
      <c r="IJ28" s="547"/>
      <c r="IK28" s="547"/>
      <c r="IL28" s="547"/>
      <c r="IM28" s="547"/>
      <c r="IN28" s="547"/>
      <c r="IO28" s="547"/>
      <c r="IP28" s="547"/>
      <c r="IQ28" s="547"/>
      <c r="IR28" s="547"/>
      <c r="IS28" s="547"/>
      <c r="IT28" s="547"/>
      <c r="IU28" s="547"/>
      <c r="IV28" s="547"/>
    </row>
    <row r="29" spans="1:256" s="68" customFormat="1" ht="12.75" customHeight="1">
      <c r="A29" s="174" t="s">
        <v>97</v>
      </c>
      <c r="B29" s="173" t="s">
        <v>13</v>
      </c>
      <c r="C29" s="170">
        <v>38152932</v>
      </c>
      <c r="D29" s="170">
        <v>0</v>
      </c>
      <c r="E29" s="170">
        <v>0</v>
      </c>
      <c r="F29" s="170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2.75" customHeight="1">
      <c r="A30" s="169" t="s">
        <v>99</v>
      </c>
      <c r="B30" s="173" t="s">
        <v>185</v>
      </c>
      <c r="C30" s="170">
        <v>307305</v>
      </c>
      <c r="D30" s="170">
        <v>78000</v>
      </c>
      <c r="E30" s="170">
        <v>78000</v>
      </c>
      <c r="F30" s="170">
        <v>78000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169" t="s">
        <v>101</v>
      </c>
      <c r="B31" s="173" t="s">
        <v>714</v>
      </c>
      <c r="C31" s="170">
        <v>435505</v>
      </c>
      <c r="D31" s="170"/>
      <c r="E31" s="170"/>
      <c r="F31" s="17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3" customFormat="1" ht="12.75" customHeight="1">
      <c r="A32" s="551" t="s">
        <v>103</v>
      </c>
      <c r="B32" s="552" t="s">
        <v>684</v>
      </c>
      <c r="C32" s="553">
        <f>SUM(C11+C12+C13+C19+C29+C30)+C31</f>
        <v>480525688</v>
      </c>
      <c r="D32" s="553">
        <f>SUM(D11+D12+D13+D19+D29+D30)</f>
        <v>403078000</v>
      </c>
      <c r="E32" s="553">
        <f>SUM(E11+E12+E13+E19+E29+E30)</f>
        <v>403078000</v>
      </c>
      <c r="F32" s="553">
        <f>SUM(F11+F12+F13+F19+F29+F30)</f>
        <v>403078000</v>
      </c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4"/>
      <c r="AV32" s="554"/>
      <c r="AW32" s="554"/>
      <c r="AX32" s="554"/>
      <c r="AY32" s="554"/>
      <c r="AZ32" s="554"/>
      <c r="BA32" s="554"/>
      <c r="BB32" s="554"/>
      <c r="BC32" s="554"/>
      <c r="BD32" s="554"/>
      <c r="BE32" s="554"/>
      <c r="BF32" s="554"/>
      <c r="BG32" s="554"/>
      <c r="BH32" s="554"/>
      <c r="BI32" s="554"/>
      <c r="BJ32" s="554"/>
      <c r="BK32" s="554"/>
      <c r="BL32" s="554"/>
      <c r="BM32" s="554"/>
      <c r="BN32" s="554"/>
      <c r="BO32" s="554"/>
      <c r="BP32" s="554"/>
      <c r="BQ32" s="554"/>
      <c r="BR32" s="554"/>
      <c r="BS32" s="554"/>
      <c r="BT32" s="554"/>
      <c r="BU32" s="554"/>
      <c r="BV32" s="554"/>
      <c r="BW32" s="554"/>
      <c r="BX32" s="554"/>
      <c r="BY32" s="554"/>
      <c r="BZ32" s="554"/>
      <c r="CA32" s="554"/>
      <c r="CB32" s="554"/>
      <c r="CC32" s="554"/>
      <c r="CD32" s="554"/>
      <c r="CE32" s="554"/>
      <c r="CF32" s="554"/>
      <c r="CG32" s="554"/>
      <c r="CH32" s="554"/>
      <c r="CI32" s="554"/>
      <c r="CJ32" s="554"/>
      <c r="CK32" s="554"/>
      <c r="CL32" s="554"/>
      <c r="CM32" s="554"/>
      <c r="CN32" s="554"/>
      <c r="CO32" s="554"/>
      <c r="CP32" s="554"/>
      <c r="CQ32" s="554"/>
      <c r="CR32" s="554"/>
      <c r="CS32" s="554"/>
      <c r="CT32" s="554"/>
      <c r="CU32" s="554"/>
      <c r="CV32" s="554"/>
      <c r="CW32" s="554"/>
      <c r="CX32" s="554"/>
      <c r="CY32" s="554"/>
      <c r="CZ32" s="554"/>
      <c r="DA32" s="554"/>
      <c r="DB32" s="554"/>
      <c r="DC32" s="554"/>
      <c r="DD32" s="554"/>
      <c r="DE32" s="554"/>
      <c r="DF32" s="554"/>
      <c r="DG32" s="554"/>
      <c r="DH32" s="554"/>
      <c r="DI32" s="554"/>
      <c r="DJ32" s="554"/>
      <c r="DK32" s="554"/>
      <c r="DL32" s="554"/>
      <c r="DM32" s="554"/>
      <c r="DN32" s="554"/>
      <c r="DO32" s="554"/>
      <c r="DP32" s="554"/>
      <c r="DQ32" s="554"/>
      <c r="DR32" s="554"/>
      <c r="DS32" s="554"/>
      <c r="DT32" s="554"/>
      <c r="DU32" s="554"/>
      <c r="DV32" s="554"/>
      <c r="DW32" s="554"/>
      <c r="DX32" s="554"/>
      <c r="DY32" s="554"/>
      <c r="DZ32" s="554"/>
      <c r="EA32" s="554"/>
      <c r="EB32" s="554"/>
      <c r="EC32" s="554"/>
      <c r="ED32" s="554"/>
      <c r="EE32" s="554"/>
      <c r="EF32" s="554"/>
      <c r="EG32" s="554"/>
      <c r="EH32" s="554"/>
      <c r="EI32" s="554"/>
      <c r="EJ32" s="554"/>
      <c r="EK32" s="554"/>
      <c r="EL32" s="554"/>
      <c r="EM32" s="554"/>
      <c r="EN32" s="554"/>
      <c r="EO32" s="554"/>
      <c r="EP32" s="554"/>
      <c r="EQ32" s="554"/>
      <c r="ER32" s="554"/>
      <c r="ES32" s="554"/>
      <c r="ET32" s="554"/>
      <c r="EU32" s="554"/>
      <c r="EV32" s="554"/>
      <c r="EW32" s="554"/>
      <c r="EX32" s="554"/>
      <c r="EY32" s="554"/>
      <c r="EZ32" s="554"/>
      <c r="FA32" s="554"/>
      <c r="FB32" s="554"/>
      <c r="FC32" s="554"/>
      <c r="FD32" s="554"/>
      <c r="FE32" s="554"/>
      <c r="FF32" s="554"/>
      <c r="FG32" s="554"/>
      <c r="FH32" s="554"/>
      <c r="FI32" s="554"/>
      <c r="FJ32" s="554"/>
      <c r="FK32" s="554"/>
      <c r="FL32" s="554"/>
      <c r="FM32" s="554"/>
      <c r="FN32" s="554"/>
      <c r="FO32" s="554"/>
      <c r="FP32" s="554"/>
      <c r="FQ32" s="554"/>
      <c r="FR32" s="554"/>
      <c r="FS32" s="554"/>
      <c r="FT32" s="554"/>
      <c r="FU32" s="554"/>
      <c r="FV32" s="554"/>
      <c r="FW32" s="554"/>
      <c r="FX32" s="554"/>
      <c r="FY32" s="554"/>
      <c r="FZ32" s="554"/>
      <c r="GA32" s="554"/>
      <c r="GB32" s="554"/>
      <c r="GC32" s="554"/>
      <c r="GD32" s="554"/>
      <c r="GE32" s="554"/>
      <c r="GF32" s="554"/>
      <c r="GG32" s="554"/>
      <c r="GH32" s="554"/>
      <c r="GI32" s="554"/>
      <c r="GJ32" s="554"/>
      <c r="GK32" s="554"/>
      <c r="GL32" s="554"/>
      <c r="GM32" s="554"/>
      <c r="GN32" s="554"/>
      <c r="GO32" s="554"/>
      <c r="GP32" s="554"/>
      <c r="GQ32" s="554"/>
      <c r="GR32" s="554"/>
      <c r="GS32" s="554"/>
      <c r="GT32" s="554"/>
      <c r="GU32" s="554"/>
      <c r="GV32" s="554"/>
      <c r="GW32" s="554"/>
      <c r="GX32" s="554"/>
      <c r="GY32" s="554"/>
      <c r="GZ32" s="554"/>
      <c r="HA32" s="554"/>
      <c r="HB32" s="554"/>
      <c r="HC32" s="554"/>
      <c r="HD32" s="554"/>
      <c r="HE32" s="554"/>
      <c r="HF32" s="554"/>
      <c r="HG32" s="554"/>
      <c r="HH32" s="554"/>
      <c r="HI32" s="554"/>
      <c r="HJ32" s="554"/>
      <c r="HK32" s="554"/>
      <c r="HL32" s="554"/>
      <c r="HM32" s="554"/>
      <c r="HN32" s="554"/>
      <c r="HO32" s="554"/>
      <c r="HP32" s="554"/>
      <c r="HQ32" s="554"/>
      <c r="HR32" s="554"/>
      <c r="HS32" s="554"/>
      <c r="HT32" s="554"/>
      <c r="HU32" s="554"/>
      <c r="HV32" s="554"/>
      <c r="HW32" s="554"/>
      <c r="HX32" s="554"/>
      <c r="HY32" s="554"/>
      <c r="HZ32" s="554"/>
      <c r="IA32" s="554"/>
      <c r="IB32" s="554"/>
      <c r="IC32" s="554"/>
      <c r="ID32" s="554"/>
      <c r="IE32" s="554"/>
      <c r="IF32" s="554"/>
      <c r="IG32" s="554"/>
      <c r="IH32" s="554"/>
      <c r="II32" s="554"/>
      <c r="IJ32" s="554"/>
      <c r="IK32" s="554"/>
      <c r="IL32" s="554"/>
      <c r="IM32" s="554"/>
      <c r="IN32" s="554"/>
      <c r="IO32" s="554"/>
      <c r="IP32" s="554"/>
      <c r="IQ32" s="554"/>
      <c r="IR32" s="554"/>
      <c r="IS32" s="554"/>
      <c r="IT32" s="554"/>
      <c r="IU32" s="554"/>
      <c r="IV32" s="554"/>
    </row>
    <row r="33" spans="1:256" ht="12.75" customHeight="1">
      <c r="A33" s="172" t="s">
        <v>105</v>
      </c>
      <c r="B33" s="171" t="s">
        <v>219</v>
      </c>
      <c r="C33" s="154">
        <v>0</v>
      </c>
      <c r="D33" s="154">
        <v>0</v>
      </c>
      <c r="E33" s="154">
        <v>0</v>
      </c>
      <c r="F33" s="154"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165" t="s">
        <v>107</v>
      </c>
      <c r="B34" s="171" t="s">
        <v>220</v>
      </c>
      <c r="C34" s="154">
        <f>SUM('1. melléklet'!F36)</f>
        <v>653538092</v>
      </c>
      <c r="D34" s="154">
        <v>0</v>
      </c>
      <c r="E34" s="154">
        <v>0</v>
      </c>
      <c r="F34" s="154"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6" ht="12.75" customHeight="1">
      <c r="A35" s="558" t="s">
        <v>109</v>
      </c>
      <c r="B35" s="171" t="s">
        <v>221</v>
      </c>
      <c r="C35" s="154">
        <f>SUM('1. melléklet'!E39)</f>
        <v>7035063</v>
      </c>
      <c r="D35" s="154">
        <v>0</v>
      </c>
      <c r="E35" s="154">
        <v>0</v>
      </c>
      <c r="F35" s="154">
        <v>0</v>
      </c>
    </row>
    <row r="36" spans="1:6" s="554" customFormat="1" ht="12.75" customHeight="1">
      <c r="A36" s="1046" t="s">
        <v>111</v>
      </c>
      <c r="B36" s="1045" t="s">
        <v>499</v>
      </c>
      <c r="C36" s="553">
        <f>SUM(C33:C35)</f>
        <v>660573155</v>
      </c>
      <c r="D36" s="553">
        <f>SUM(D33:D35)</f>
        <v>0</v>
      </c>
      <c r="E36" s="553">
        <f>SUM(E33:E35)</f>
        <v>0</v>
      </c>
      <c r="F36" s="553">
        <v>0</v>
      </c>
    </row>
    <row r="37" spans="1:256" s="137" customFormat="1" ht="15.75">
      <c r="A37" s="561" t="s">
        <v>113</v>
      </c>
      <c r="B37" s="555" t="s">
        <v>116</v>
      </c>
      <c r="C37" s="556">
        <f>SUM(C32+C36)</f>
        <v>1141098843</v>
      </c>
      <c r="D37" s="556">
        <f>SUM(D32+D36)</f>
        <v>403078000</v>
      </c>
      <c r="E37" s="556">
        <f>SUM(E32+E36)</f>
        <v>403078000</v>
      </c>
      <c r="F37" s="556">
        <f>SUM(F32+F36)</f>
        <v>403078000</v>
      </c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66"/>
      <c r="BZ37" s="366"/>
      <c r="CA37" s="366"/>
      <c r="CB37" s="366"/>
      <c r="CC37" s="366"/>
      <c r="CD37" s="366"/>
      <c r="CE37" s="366"/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/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/>
      <c r="DH37" s="366"/>
      <c r="DI37" s="366"/>
      <c r="DJ37" s="366"/>
      <c r="DK37" s="366"/>
      <c r="DL37" s="366"/>
      <c r="DM37" s="366"/>
      <c r="DN37" s="366"/>
      <c r="DO37" s="366"/>
      <c r="DP37" s="366"/>
      <c r="DQ37" s="366"/>
      <c r="DR37" s="366"/>
      <c r="DS37" s="366"/>
      <c r="DT37" s="366"/>
      <c r="DU37" s="366"/>
      <c r="DV37" s="366"/>
      <c r="DW37" s="366"/>
      <c r="DX37" s="366"/>
      <c r="DY37" s="366"/>
      <c r="DZ37" s="366"/>
      <c r="EA37" s="366"/>
      <c r="EB37" s="366"/>
      <c r="EC37" s="366"/>
      <c r="ED37" s="366"/>
      <c r="EE37" s="366"/>
      <c r="EF37" s="366"/>
      <c r="EG37" s="366"/>
      <c r="EH37" s="366"/>
      <c r="EI37" s="366"/>
      <c r="EJ37" s="366"/>
      <c r="EK37" s="366"/>
      <c r="EL37" s="366"/>
      <c r="EM37" s="366"/>
      <c r="EN37" s="366"/>
      <c r="EO37" s="366"/>
      <c r="EP37" s="366"/>
      <c r="EQ37" s="366"/>
      <c r="ER37" s="366"/>
      <c r="ES37" s="366"/>
      <c r="ET37" s="366"/>
      <c r="EU37" s="366"/>
      <c r="EV37" s="366"/>
      <c r="EW37" s="366"/>
      <c r="EX37" s="366"/>
      <c r="EY37" s="366"/>
      <c r="EZ37" s="366"/>
      <c r="FA37" s="366"/>
      <c r="FB37" s="366"/>
      <c r="FC37" s="366"/>
      <c r="FD37" s="366"/>
      <c r="FE37" s="366"/>
      <c r="FF37" s="366"/>
      <c r="FG37" s="366"/>
      <c r="FH37" s="366"/>
      <c r="FI37" s="366"/>
      <c r="FJ37" s="366"/>
      <c r="FK37" s="366"/>
      <c r="FL37" s="366"/>
      <c r="FM37" s="366"/>
      <c r="FN37" s="366"/>
      <c r="FO37" s="366"/>
      <c r="FP37" s="366"/>
      <c r="FQ37" s="366"/>
      <c r="FR37" s="366"/>
      <c r="FS37" s="366"/>
      <c r="FT37" s="366"/>
      <c r="FU37" s="366"/>
      <c r="FV37" s="366"/>
      <c r="FW37" s="366"/>
      <c r="FX37" s="366"/>
      <c r="FY37" s="366"/>
      <c r="FZ37" s="366"/>
      <c r="GA37" s="366"/>
      <c r="GB37" s="366"/>
      <c r="GC37" s="366"/>
      <c r="GD37" s="366"/>
      <c r="GE37" s="366"/>
      <c r="GF37" s="366"/>
      <c r="GG37" s="366"/>
      <c r="GH37" s="366"/>
      <c r="GI37" s="366"/>
      <c r="GJ37" s="366"/>
      <c r="GK37" s="366"/>
      <c r="GL37" s="366"/>
      <c r="GM37" s="366"/>
      <c r="GN37" s="366"/>
      <c r="GO37" s="366"/>
      <c r="GP37" s="366"/>
      <c r="GQ37" s="366"/>
      <c r="GR37" s="366"/>
      <c r="GS37" s="366"/>
      <c r="GT37" s="366"/>
      <c r="GU37" s="366"/>
      <c r="GV37" s="366"/>
      <c r="GW37" s="366"/>
      <c r="GX37" s="366"/>
      <c r="GY37" s="366"/>
      <c r="GZ37" s="366"/>
      <c r="HA37" s="366"/>
      <c r="HB37" s="366"/>
      <c r="HC37" s="366"/>
      <c r="HD37" s="366"/>
      <c r="HE37" s="366"/>
      <c r="HF37" s="366"/>
      <c r="HG37" s="366"/>
      <c r="HH37" s="366"/>
      <c r="HI37" s="366"/>
      <c r="HJ37" s="366"/>
      <c r="HK37" s="366"/>
      <c r="HL37" s="366"/>
      <c r="HM37" s="366"/>
      <c r="HN37" s="366"/>
      <c r="HO37" s="366"/>
      <c r="HP37" s="366"/>
      <c r="HQ37" s="366"/>
      <c r="HR37" s="366"/>
      <c r="HS37" s="366"/>
      <c r="HT37" s="366"/>
      <c r="HU37" s="366"/>
      <c r="HV37" s="366"/>
      <c r="HW37" s="366"/>
      <c r="HX37" s="366"/>
      <c r="HY37" s="366"/>
      <c r="HZ37" s="366"/>
      <c r="IA37" s="366"/>
      <c r="IB37" s="366"/>
      <c r="IC37" s="366"/>
      <c r="ID37" s="366"/>
      <c r="IE37" s="366"/>
      <c r="IF37" s="366"/>
      <c r="IG37" s="366"/>
      <c r="IH37" s="366"/>
      <c r="II37" s="366"/>
      <c r="IJ37" s="366"/>
      <c r="IK37" s="366"/>
      <c r="IL37" s="366"/>
      <c r="IM37" s="366"/>
      <c r="IN37" s="366"/>
      <c r="IO37" s="366"/>
      <c r="IP37" s="366"/>
      <c r="IQ37" s="366"/>
      <c r="IR37" s="366"/>
      <c r="IS37" s="366"/>
      <c r="IT37" s="366"/>
      <c r="IU37" s="366"/>
      <c r="IV37" s="366"/>
    </row>
    <row r="38" spans="1:256" ht="12.75" customHeight="1">
      <c r="A38" s="165" t="s">
        <v>115</v>
      </c>
      <c r="B38" s="171" t="s">
        <v>121</v>
      </c>
      <c r="C38" s="154">
        <v>237134758</v>
      </c>
      <c r="D38" s="154">
        <v>220000000</v>
      </c>
      <c r="E38" s="154">
        <v>220000000</v>
      </c>
      <c r="F38" s="154">
        <v>220000000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65" t="s">
        <v>117</v>
      </c>
      <c r="B39" s="171" t="s">
        <v>123</v>
      </c>
      <c r="C39" s="154">
        <v>47470843</v>
      </c>
      <c r="D39" s="154">
        <v>48000000</v>
      </c>
      <c r="E39" s="154">
        <v>48000000</v>
      </c>
      <c r="F39" s="154">
        <v>48000000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165" t="s">
        <v>118</v>
      </c>
      <c r="B40" s="171" t="s">
        <v>125</v>
      </c>
      <c r="C40" s="154">
        <v>136085833</v>
      </c>
      <c r="D40" s="154">
        <v>93078000</v>
      </c>
      <c r="E40" s="154">
        <v>93078000</v>
      </c>
      <c r="F40" s="154">
        <v>93078000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165" t="s">
        <v>120</v>
      </c>
      <c r="B41" s="171" t="s">
        <v>202</v>
      </c>
      <c r="C41" s="154">
        <v>38917253</v>
      </c>
      <c r="D41" s="154">
        <v>32000000</v>
      </c>
      <c r="E41" s="154">
        <v>32000000</v>
      </c>
      <c r="F41" s="154">
        <v>32000000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165" t="s">
        <v>122</v>
      </c>
      <c r="B42" s="171" t="s">
        <v>201</v>
      </c>
      <c r="C42" s="154">
        <f>SUM('1. melléklet'!E50)</f>
        <v>4162000</v>
      </c>
      <c r="D42" s="154">
        <v>4000000</v>
      </c>
      <c r="E42" s="154">
        <v>4000000</v>
      </c>
      <c r="F42" s="154">
        <v>4000000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165" t="s">
        <v>124</v>
      </c>
      <c r="B43" s="171" t="s">
        <v>150</v>
      </c>
      <c r="C43" s="154">
        <v>642488982</v>
      </c>
      <c r="D43" s="154"/>
      <c r="E43" s="154"/>
      <c r="F43" s="154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165" t="s">
        <v>126</v>
      </c>
      <c r="B44" s="171" t="s">
        <v>478</v>
      </c>
      <c r="C44" s="154">
        <v>2482037</v>
      </c>
      <c r="D44" s="154"/>
      <c r="E44" s="154"/>
      <c r="F44" s="15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165" t="s">
        <v>128</v>
      </c>
      <c r="B45" s="171" t="s">
        <v>15</v>
      </c>
      <c r="C45" s="154">
        <v>24271678</v>
      </c>
      <c r="D45" s="154">
        <v>6000000</v>
      </c>
      <c r="E45" s="154">
        <v>6000000</v>
      </c>
      <c r="F45" s="154">
        <v>6000000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71" customFormat="1" ht="12.75" customHeight="1">
      <c r="A46" s="557" t="s">
        <v>130</v>
      </c>
      <c r="B46" s="552" t="s">
        <v>685</v>
      </c>
      <c r="C46" s="553">
        <f>SUM(C38:C45)</f>
        <v>1133013384</v>
      </c>
      <c r="D46" s="553">
        <f>SUM(D38:D45)</f>
        <v>403078000</v>
      </c>
      <c r="E46" s="553">
        <f>SUM(E38,E39,E40,E41,E42,)</f>
        <v>397078000</v>
      </c>
      <c r="F46" s="553">
        <f>SUM(F38,F39,F40,F41,F42,)</f>
        <v>397078000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6" ht="28.5" customHeight="1">
      <c r="A47" s="558" t="s">
        <v>131</v>
      </c>
      <c r="B47" s="559" t="s">
        <v>270</v>
      </c>
      <c r="C47" s="560">
        <v>8085459</v>
      </c>
      <c r="D47" s="560">
        <v>0</v>
      </c>
      <c r="E47" s="560">
        <v>0</v>
      </c>
      <c r="F47" s="560">
        <v>0</v>
      </c>
    </row>
    <row r="48" spans="1:6" s="93" customFormat="1" ht="15">
      <c r="A48" s="564" t="s">
        <v>133</v>
      </c>
      <c r="B48" s="565" t="s">
        <v>209</v>
      </c>
      <c r="C48" s="565">
        <f>SUM(C47)</f>
        <v>8085459</v>
      </c>
      <c r="D48" s="565">
        <f>SUM(D47)</f>
        <v>0</v>
      </c>
      <c r="E48" s="565">
        <f>SUM(E47)</f>
        <v>0</v>
      </c>
      <c r="F48" s="565">
        <f>SUM(F47)</f>
        <v>0</v>
      </c>
    </row>
    <row r="49" spans="1:256" s="137" customFormat="1" ht="15.75">
      <c r="A49" s="561" t="s">
        <v>135</v>
      </c>
      <c r="B49" s="562" t="s">
        <v>704</v>
      </c>
      <c r="C49" s="563">
        <f>SUM(C46+C48)</f>
        <v>1141098843</v>
      </c>
      <c r="D49" s="563">
        <f>SUM(D46+D48)</f>
        <v>403078000</v>
      </c>
      <c r="E49" s="563">
        <f>SUM(E46+E48)</f>
        <v>397078000</v>
      </c>
      <c r="F49" s="563">
        <f>SUM(F46+F48)</f>
        <v>397078000</v>
      </c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6"/>
      <c r="CG49" s="366"/>
      <c r="CH49" s="366"/>
      <c r="CI49" s="366"/>
      <c r="CJ49" s="366"/>
      <c r="CK49" s="366"/>
      <c r="CL49" s="366"/>
      <c r="CM49" s="366"/>
      <c r="CN49" s="366"/>
      <c r="CO49" s="366"/>
      <c r="CP49" s="366"/>
      <c r="CQ49" s="366"/>
      <c r="CR49" s="366"/>
      <c r="CS49" s="366"/>
      <c r="CT49" s="366"/>
      <c r="CU49" s="366"/>
      <c r="CV49" s="366"/>
      <c r="CW49" s="366"/>
      <c r="CX49" s="366"/>
      <c r="CY49" s="366"/>
      <c r="CZ49" s="366"/>
      <c r="DA49" s="366"/>
      <c r="DB49" s="366"/>
      <c r="DC49" s="366"/>
      <c r="DD49" s="366"/>
      <c r="DE49" s="366"/>
      <c r="DF49" s="366"/>
      <c r="DG49" s="366"/>
      <c r="DH49" s="366"/>
      <c r="DI49" s="366"/>
      <c r="DJ49" s="366"/>
      <c r="DK49" s="366"/>
      <c r="DL49" s="366"/>
      <c r="DM49" s="366"/>
      <c r="DN49" s="366"/>
      <c r="DO49" s="366"/>
      <c r="DP49" s="366"/>
      <c r="DQ49" s="366"/>
      <c r="DR49" s="366"/>
      <c r="DS49" s="366"/>
      <c r="DT49" s="366"/>
      <c r="DU49" s="366"/>
      <c r="DV49" s="366"/>
      <c r="DW49" s="366"/>
      <c r="DX49" s="366"/>
      <c r="DY49" s="366"/>
      <c r="DZ49" s="366"/>
      <c r="EA49" s="366"/>
      <c r="EB49" s="366"/>
      <c r="EC49" s="366"/>
      <c r="ED49" s="366"/>
      <c r="EE49" s="366"/>
      <c r="EF49" s="366"/>
      <c r="EG49" s="366"/>
      <c r="EH49" s="366"/>
      <c r="EI49" s="366"/>
      <c r="EJ49" s="366"/>
      <c r="EK49" s="366"/>
      <c r="EL49" s="366"/>
      <c r="EM49" s="366"/>
      <c r="EN49" s="366"/>
      <c r="EO49" s="366"/>
      <c r="EP49" s="366"/>
      <c r="EQ49" s="366"/>
      <c r="ER49" s="366"/>
      <c r="ES49" s="366"/>
      <c r="ET49" s="366"/>
      <c r="EU49" s="366"/>
      <c r="EV49" s="366"/>
      <c r="EW49" s="366"/>
      <c r="EX49" s="366"/>
      <c r="EY49" s="366"/>
      <c r="EZ49" s="366"/>
      <c r="FA49" s="366"/>
      <c r="FB49" s="366"/>
      <c r="FC49" s="366"/>
      <c r="FD49" s="366"/>
      <c r="FE49" s="366"/>
      <c r="FF49" s="366"/>
      <c r="FG49" s="366"/>
      <c r="FH49" s="366"/>
      <c r="FI49" s="366"/>
      <c r="FJ49" s="366"/>
      <c r="FK49" s="366"/>
      <c r="FL49" s="366"/>
      <c r="FM49" s="366"/>
      <c r="FN49" s="366"/>
      <c r="FO49" s="366"/>
      <c r="FP49" s="366"/>
      <c r="FQ49" s="366"/>
      <c r="FR49" s="366"/>
      <c r="FS49" s="366"/>
      <c r="FT49" s="366"/>
      <c r="FU49" s="366"/>
      <c r="FV49" s="366"/>
      <c r="FW49" s="366"/>
      <c r="FX49" s="366"/>
      <c r="FY49" s="366"/>
      <c r="FZ49" s="366"/>
      <c r="GA49" s="366"/>
      <c r="GB49" s="366"/>
      <c r="GC49" s="366"/>
      <c r="GD49" s="366"/>
      <c r="GE49" s="366"/>
      <c r="GF49" s="366"/>
      <c r="GG49" s="366"/>
      <c r="GH49" s="366"/>
      <c r="GI49" s="366"/>
      <c r="GJ49" s="366"/>
      <c r="GK49" s="366"/>
      <c r="GL49" s="366"/>
      <c r="GM49" s="366"/>
      <c r="GN49" s="366"/>
      <c r="GO49" s="366"/>
      <c r="GP49" s="366"/>
      <c r="GQ49" s="366"/>
      <c r="GR49" s="366"/>
      <c r="GS49" s="366"/>
      <c r="GT49" s="366"/>
      <c r="GU49" s="366"/>
      <c r="GV49" s="366"/>
      <c r="GW49" s="366"/>
      <c r="GX49" s="366"/>
      <c r="GY49" s="366"/>
      <c r="GZ49" s="366"/>
      <c r="HA49" s="366"/>
      <c r="HB49" s="366"/>
      <c r="HC49" s="366"/>
      <c r="HD49" s="366"/>
      <c r="HE49" s="366"/>
      <c r="HF49" s="366"/>
      <c r="HG49" s="366"/>
      <c r="HH49" s="366"/>
      <c r="HI49" s="366"/>
      <c r="HJ49" s="366"/>
      <c r="HK49" s="366"/>
      <c r="HL49" s="366"/>
      <c r="HM49" s="366"/>
      <c r="HN49" s="366"/>
      <c r="HO49" s="366"/>
      <c r="HP49" s="366"/>
      <c r="HQ49" s="366"/>
      <c r="HR49" s="366"/>
      <c r="HS49" s="366"/>
      <c r="HT49" s="366"/>
      <c r="HU49" s="366"/>
      <c r="HV49" s="366"/>
      <c r="HW49" s="366"/>
      <c r="HX49" s="366"/>
      <c r="HY49" s="366"/>
      <c r="HZ49" s="366"/>
      <c r="IA49" s="366"/>
      <c r="IB49" s="366"/>
      <c r="IC49" s="366"/>
      <c r="ID49" s="366"/>
      <c r="IE49" s="366"/>
      <c r="IF49" s="366"/>
      <c r="IG49" s="366"/>
      <c r="IH49" s="366"/>
      <c r="II49" s="366"/>
      <c r="IJ49" s="366"/>
      <c r="IK49" s="366"/>
      <c r="IL49" s="366"/>
      <c r="IM49" s="366"/>
      <c r="IN49" s="366"/>
      <c r="IO49" s="366"/>
      <c r="IP49" s="366"/>
      <c r="IQ49" s="366"/>
      <c r="IR49" s="366"/>
      <c r="IS49" s="366"/>
      <c r="IT49" s="366"/>
      <c r="IU49" s="366"/>
      <c r="IV49" s="366"/>
    </row>
  </sheetData>
  <sheetProtection selectLockedCells="1" selectUnlockedCells="1"/>
  <mergeCells count="7">
    <mergeCell ref="A9:A10"/>
    <mergeCell ref="A1:F1"/>
    <mergeCell ref="A2:F2"/>
    <mergeCell ref="A3:E4"/>
    <mergeCell ref="A5:F5"/>
    <mergeCell ref="A6:F6"/>
    <mergeCell ref="D8:F8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8" r:id="rId1"/>
  <headerFooter alignWithMargins="0"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I73"/>
  <sheetViews>
    <sheetView view="pageBreakPreview" zoomScaleSheetLayoutView="100" zoomScalePageLayoutView="0" workbookViewId="0" topLeftCell="A1">
      <selection activeCell="H16" sqref="H16"/>
    </sheetView>
  </sheetViews>
  <sheetFormatPr defaultColWidth="11.57421875" defaultRowHeight="12.75" customHeight="1"/>
  <cols>
    <col min="1" max="1" width="3.7109375" style="0" customWidth="1"/>
    <col min="2" max="2" width="4.140625" style="0" customWidth="1"/>
    <col min="3" max="3" width="27.8515625" style="0" customWidth="1"/>
    <col min="4" max="4" width="6.00390625" style="0" customWidth="1"/>
    <col min="5" max="9" width="18.140625" style="52" customWidth="1"/>
  </cols>
  <sheetData>
    <row r="1" spans="1:8" s="177" customFormat="1" ht="18" customHeight="1">
      <c r="A1" s="1793" t="s">
        <v>484</v>
      </c>
      <c r="B1" s="1793"/>
      <c r="C1" s="1793"/>
      <c r="D1" s="1793"/>
      <c r="E1" s="1793"/>
      <c r="F1" s="1793"/>
      <c r="G1" s="1793"/>
      <c r="H1" s="1793"/>
    </row>
    <row r="2" spans="1:9" ht="12.75" customHeight="1">
      <c r="A2" s="1702" t="s">
        <v>1181</v>
      </c>
      <c r="B2" s="1702"/>
      <c r="C2" s="1702"/>
      <c r="D2" s="1702"/>
      <c r="E2" s="1702"/>
      <c r="F2" s="1702"/>
      <c r="G2" s="1702"/>
      <c r="H2" s="1702"/>
      <c r="I2" s="1702"/>
    </row>
    <row r="3" spans="3:8" ht="12.75" customHeight="1">
      <c r="C3" s="1"/>
      <c r="D3" s="1765" t="s">
        <v>1183</v>
      </c>
      <c r="E3" s="1765"/>
      <c r="F3" s="1765"/>
      <c r="G3" s="1765"/>
      <c r="H3" s="135" t="s">
        <v>837</v>
      </c>
    </row>
    <row r="4" spans="1:9" ht="41.25" customHeight="1">
      <c r="A4" s="1777" t="s">
        <v>1019</v>
      </c>
      <c r="B4" s="1777"/>
      <c r="C4" s="1777"/>
      <c r="D4" s="1777"/>
      <c r="E4" s="1777"/>
      <c r="F4" s="1777"/>
      <c r="G4" s="1777"/>
      <c r="H4" s="1777"/>
      <c r="I4" s="1777"/>
    </row>
    <row r="5" spans="1:9" ht="19.5">
      <c r="A5" s="930"/>
      <c r="B5" s="930"/>
      <c r="C5" s="930"/>
      <c r="D5" s="930"/>
      <c r="E5" s="930"/>
      <c r="F5" s="930"/>
      <c r="G5" s="930"/>
      <c r="H5" s="930"/>
      <c r="I5" s="930"/>
    </row>
    <row r="6" spans="5:9" ht="12.75" customHeight="1" thickBot="1">
      <c r="E6" s="929"/>
      <c r="F6" s="929"/>
      <c r="G6" s="929"/>
      <c r="H6" s="929"/>
      <c r="I6" s="929" t="s">
        <v>214</v>
      </c>
    </row>
    <row r="7" spans="1:9" ht="49.5" customHeight="1" thickBot="1">
      <c r="A7" s="1787" t="s">
        <v>156</v>
      </c>
      <c r="B7" s="1788"/>
      <c r="C7" s="439" t="s">
        <v>157</v>
      </c>
      <c r="D7" s="440"/>
      <c r="E7" s="441" t="s">
        <v>1078</v>
      </c>
      <c r="F7" s="441" t="s">
        <v>997</v>
      </c>
      <c r="G7" s="441" t="s">
        <v>1139</v>
      </c>
      <c r="H7" s="441" t="s">
        <v>1141</v>
      </c>
      <c r="I7" s="441" t="s">
        <v>1164</v>
      </c>
    </row>
    <row r="8" spans="1:9" ht="12.75" customHeight="1" thickBot="1">
      <c r="A8" s="1789"/>
      <c r="B8" s="1790"/>
      <c r="C8" s="442" t="s">
        <v>158</v>
      </c>
      <c r="D8" s="312"/>
      <c r="E8" s="443" t="s">
        <v>159</v>
      </c>
      <c r="F8" s="443" t="s">
        <v>160</v>
      </c>
      <c r="G8" s="443" t="s">
        <v>161</v>
      </c>
      <c r="H8" s="443" t="s">
        <v>462</v>
      </c>
      <c r="I8" s="443" t="s">
        <v>482</v>
      </c>
    </row>
    <row r="9" spans="1:9" s="10" customFormat="1" ht="39" customHeight="1">
      <c r="A9" s="1791" t="s">
        <v>38</v>
      </c>
      <c r="B9" s="1792"/>
      <c r="C9" s="1803" t="s">
        <v>636</v>
      </c>
      <c r="D9" s="1804"/>
      <c r="E9" s="462">
        <v>130000</v>
      </c>
      <c r="F9" s="462">
        <v>0</v>
      </c>
      <c r="G9" s="462">
        <v>0</v>
      </c>
      <c r="H9" s="462">
        <v>0</v>
      </c>
      <c r="I9" s="462">
        <v>90000</v>
      </c>
    </row>
    <row r="10" spans="1:9" s="10" customFormat="1" ht="12.75" customHeight="1">
      <c r="A10" s="1782" t="s">
        <v>40</v>
      </c>
      <c r="B10" s="1783"/>
      <c r="C10" s="1796" t="s">
        <v>78</v>
      </c>
      <c r="D10" s="1796"/>
      <c r="E10" s="444">
        <f>SUM(E11:E16)</f>
        <v>1869838</v>
      </c>
      <c r="F10" s="444">
        <f>SUM(F11:F15)</f>
        <v>1589555</v>
      </c>
      <c r="G10" s="444">
        <f>SUM(G11:G15)</f>
        <v>1589555</v>
      </c>
      <c r="H10" s="444">
        <f>SUM(H11:H15)</f>
        <v>1589605</v>
      </c>
      <c r="I10" s="444">
        <f>SUM(I11:I16)</f>
        <v>1881655</v>
      </c>
    </row>
    <row r="11" spans="1:9" s="297" customFormat="1" ht="12.75" customHeight="1">
      <c r="A11" s="1778" t="s">
        <v>47</v>
      </c>
      <c r="B11" s="1779"/>
      <c r="C11" s="1809" t="s">
        <v>637</v>
      </c>
      <c r="D11" s="1809"/>
      <c r="E11" s="445">
        <v>1129555</v>
      </c>
      <c r="F11" s="445">
        <v>1129555</v>
      </c>
      <c r="G11" s="445">
        <v>1129555</v>
      </c>
      <c r="H11" s="445">
        <v>1129555</v>
      </c>
      <c r="I11" s="445">
        <v>1129555</v>
      </c>
    </row>
    <row r="12" spans="1:9" s="297" customFormat="1" ht="12.75" customHeight="1">
      <c r="A12" s="1778" t="s">
        <v>49</v>
      </c>
      <c r="B12" s="1779"/>
      <c r="C12" s="1786" t="s">
        <v>638</v>
      </c>
      <c r="D12" s="1786"/>
      <c r="E12" s="445">
        <v>100000</v>
      </c>
      <c r="F12" s="445">
        <v>120000</v>
      </c>
      <c r="G12" s="445">
        <v>120000</v>
      </c>
      <c r="H12" s="445">
        <v>120000</v>
      </c>
      <c r="I12" s="445">
        <v>120000</v>
      </c>
    </row>
    <row r="13" spans="1:9" s="297" customFormat="1" ht="12.75" customHeight="1">
      <c r="A13" s="1778" t="s">
        <v>51</v>
      </c>
      <c r="B13" s="1779"/>
      <c r="C13" s="1786" t="s">
        <v>639</v>
      </c>
      <c r="D13" s="1786"/>
      <c r="E13" s="445">
        <v>332008</v>
      </c>
      <c r="F13" s="445">
        <v>340000</v>
      </c>
      <c r="G13" s="445">
        <v>340000</v>
      </c>
      <c r="H13" s="445">
        <v>340000</v>
      </c>
      <c r="I13" s="445">
        <v>340000</v>
      </c>
    </row>
    <row r="14" spans="1:9" s="297" customFormat="1" ht="12.75" customHeight="1">
      <c r="A14" s="1778" t="s">
        <v>53</v>
      </c>
      <c r="B14" s="1779"/>
      <c r="C14" s="1786" t="s">
        <v>640</v>
      </c>
      <c r="D14" s="1786"/>
      <c r="E14" s="445"/>
      <c r="F14" s="445">
        <v>0</v>
      </c>
      <c r="G14" s="445">
        <v>0</v>
      </c>
      <c r="H14" s="445">
        <v>0</v>
      </c>
      <c r="I14" s="445">
        <v>0</v>
      </c>
    </row>
    <row r="15" spans="1:9" s="297" customFormat="1" ht="12.75" customHeight="1">
      <c r="A15" s="1799" t="s">
        <v>55</v>
      </c>
      <c r="B15" s="1800"/>
      <c r="C15" s="1030" t="s">
        <v>988</v>
      </c>
      <c r="D15" s="1031"/>
      <c r="E15" s="445">
        <v>23275</v>
      </c>
      <c r="F15" s="445">
        <v>0</v>
      </c>
      <c r="G15" s="445">
        <v>0</v>
      </c>
      <c r="H15" s="445">
        <v>50</v>
      </c>
      <c r="I15" s="445">
        <v>100</v>
      </c>
    </row>
    <row r="16" spans="1:9" s="297" customFormat="1" ht="12.75" customHeight="1">
      <c r="A16" s="1799" t="s">
        <v>57</v>
      </c>
      <c r="B16" s="1800"/>
      <c r="C16" s="1030" t="s">
        <v>1028</v>
      </c>
      <c r="D16" s="1031"/>
      <c r="E16" s="445">
        <v>285000</v>
      </c>
      <c r="F16" s="445"/>
      <c r="G16" s="445"/>
      <c r="H16" s="445"/>
      <c r="I16" s="445">
        <v>292000</v>
      </c>
    </row>
    <row r="17" spans="1:9" s="10" customFormat="1" ht="12.75" customHeight="1">
      <c r="A17" s="1813" t="s">
        <v>86</v>
      </c>
      <c r="B17" s="1814"/>
      <c r="C17" s="1797" t="s">
        <v>185</v>
      </c>
      <c r="D17" s="1798"/>
      <c r="E17" s="444">
        <v>0</v>
      </c>
      <c r="F17" s="444">
        <v>0</v>
      </c>
      <c r="G17" s="444">
        <v>0</v>
      </c>
      <c r="H17" s="444">
        <v>210000</v>
      </c>
      <c r="I17" s="444">
        <v>229305</v>
      </c>
    </row>
    <row r="18" spans="1:9" s="10" customFormat="1" ht="12.75" customHeight="1">
      <c r="A18" s="1782" t="s">
        <v>59</v>
      </c>
      <c r="B18" s="1783"/>
      <c r="C18" s="1796" t="s">
        <v>225</v>
      </c>
      <c r="D18" s="1796"/>
      <c r="E18" s="444">
        <v>0</v>
      </c>
      <c r="F18" s="444">
        <v>0</v>
      </c>
      <c r="G18" s="444">
        <v>0</v>
      </c>
      <c r="H18" s="444">
        <v>242955</v>
      </c>
      <c r="I18" s="444">
        <v>435505</v>
      </c>
    </row>
    <row r="19" spans="1:9" s="297" customFormat="1" ht="12.75" customHeight="1" thickBot="1">
      <c r="A19" s="1779" t="s">
        <v>61</v>
      </c>
      <c r="B19" s="1779"/>
      <c r="C19" s="1812" t="s">
        <v>641</v>
      </c>
      <c r="D19" s="1812"/>
      <c r="E19" s="437">
        <v>0</v>
      </c>
      <c r="F19" s="437">
        <v>0</v>
      </c>
      <c r="G19" s="437">
        <v>0</v>
      </c>
      <c r="H19" s="437">
        <v>242955</v>
      </c>
      <c r="I19" s="437">
        <v>435505</v>
      </c>
    </row>
    <row r="20" spans="1:9" s="447" customFormat="1" ht="18.75" customHeight="1" thickBot="1">
      <c r="A20" s="1784" t="s">
        <v>63</v>
      </c>
      <c r="B20" s="1785"/>
      <c r="C20" s="1780" t="s">
        <v>485</v>
      </c>
      <c r="D20" s="1781"/>
      <c r="E20" s="466">
        <f>SUM(E9+E10+E18)+E17</f>
        <v>1999838</v>
      </c>
      <c r="F20" s="466">
        <f>SUM(F9+F10+F18)</f>
        <v>1589555</v>
      </c>
      <c r="G20" s="466">
        <f>SUM(G9+G10+G18)</f>
        <v>1589555</v>
      </c>
      <c r="H20" s="466">
        <f>SUM(H9+H10+H18)+H17</f>
        <v>2042560</v>
      </c>
      <c r="I20" s="466">
        <f>SUM(I9+I10+I18)+I17</f>
        <v>2636465</v>
      </c>
    </row>
    <row r="21" spans="1:9" s="10" customFormat="1" ht="12.75" customHeight="1">
      <c r="A21" s="1810" t="s">
        <v>65</v>
      </c>
      <c r="B21" s="1811"/>
      <c r="C21" s="1801" t="s">
        <v>486</v>
      </c>
      <c r="D21" s="1802"/>
      <c r="E21" s="465">
        <f>SUM(E22:E23)</f>
        <v>114660023</v>
      </c>
      <c r="F21" s="465">
        <f>SUM(F22:F23)</f>
        <v>127566849</v>
      </c>
      <c r="G21" s="465">
        <f>SUM(G22:G23)</f>
        <v>127566849</v>
      </c>
      <c r="H21" s="465">
        <f>SUM(H22:H23)</f>
        <v>127620492</v>
      </c>
      <c r="I21" s="465">
        <f>SUM(I22:I23)</f>
        <v>127659570</v>
      </c>
    </row>
    <row r="22" spans="1:9" s="122" customFormat="1" ht="12.75" customHeight="1">
      <c r="A22" s="1817" t="s">
        <v>92</v>
      </c>
      <c r="B22" s="1818"/>
      <c r="C22" s="1794" t="s">
        <v>487</v>
      </c>
      <c r="D22" s="1795"/>
      <c r="E22" s="463">
        <v>86358177</v>
      </c>
      <c r="F22" s="463">
        <v>90435630</v>
      </c>
      <c r="G22" s="463">
        <v>90435630</v>
      </c>
      <c r="H22" s="463">
        <v>90489273</v>
      </c>
      <c r="I22" s="463">
        <v>90528351</v>
      </c>
    </row>
    <row r="23" spans="1:9" ht="12.75" customHeight="1">
      <c r="A23" s="1819" t="s">
        <v>66</v>
      </c>
      <c r="B23" s="1820"/>
      <c r="C23" s="1794" t="s">
        <v>488</v>
      </c>
      <c r="D23" s="1795"/>
      <c r="E23" s="591">
        <v>28301846</v>
      </c>
      <c r="F23" s="591">
        <v>37131219</v>
      </c>
      <c r="G23" s="591">
        <v>37131219</v>
      </c>
      <c r="H23" s="591">
        <v>37131219</v>
      </c>
      <c r="I23" s="591">
        <v>37131219</v>
      </c>
    </row>
    <row r="24" spans="1:9" s="122" customFormat="1" ht="12.75" customHeight="1" thickBot="1">
      <c r="A24" s="1821" t="s">
        <v>67</v>
      </c>
      <c r="B24" s="1822"/>
      <c r="C24" s="1805" t="s">
        <v>489</v>
      </c>
      <c r="D24" s="1805"/>
      <c r="E24" s="467">
        <v>522344</v>
      </c>
      <c r="F24" s="1032">
        <v>238417</v>
      </c>
      <c r="G24" s="1032">
        <v>238417</v>
      </c>
      <c r="H24" s="1032">
        <v>238417</v>
      </c>
      <c r="I24" s="1032">
        <v>238417</v>
      </c>
    </row>
    <row r="25" spans="1:9" s="10" customFormat="1" ht="17.25" customHeight="1" thickBot="1">
      <c r="A25" s="1823" t="s">
        <v>68</v>
      </c>
      <c r="B25" s="1824"/>
      <c r="C25" s="1806" t="s">
        <v>499</v>
      </c>
      <c r="D25" s="1806"/>
      <c r="E25" s="469">
        <f>SUM(E21+E24)</f>
        <v>115182367</v>
      </c>
      <c r="F25" s="469">
        <f>SUM(F21+F24)</f>
        <v>127805266</v>
      </c>
      <c r="G25" s="469">
        <f>SUM(G21+G24)</f>
        <v>127805266</v>
      </c>
      <c r="H25" s="469">
        <f>SUM(H21+H24)</f>
        <v>127858909</v>
      </c>
      <c r="I25" s="469">
        <f>SUM(I21+I24)</f>
        <v>127897987</v>
      </c>
    </row>
    <row r="26" spans="1:9" ht="27" customHeight="1" thickBot="1">
      <c r="A26" s="1807" t="s">
        <v>70</v>
      </c>
      <c r="B26" s="1808"/>
      <c r="C26" s="1825" t="s">
        <v>240</v>
      </c>
      <c r="D26" s="1825"/>
      <c r="E26" s="468">
        <f>SUM(E20+E25)</f>
        <v>117182205</v>
      </c>
      <c r="F26" s="468">
        <f>SUM(F20+F25)</f>
        <v>129394821</v>
      </c>
      <c r="G26" s="468">
        <f>SUM(G20+G25)</f>
        <v>129394821</v>
      </c>
      <c r="H26" s="468">
        <f>SUM(H20+H25)</f>
        <v>129901469</v>
      </c>
      <c r="I26" s="468">
        <f>SUM(I20+I25)</f>
        <v>130534452</v>
      </c>
    </row>
    <row r="27" spans="3:4" ht="12.75" customHeight="1" thickBot="1">
      <c r="C27" s="68"/>
      <c r="D27" s="68"/>
    </row>
    <row r="28" spans="1:9" ht="49.5" customHeight="1" thickBot="1">
      <c r="A28" s="1787" t="s">
        <v>156</v>
      </c>
      <c r="B28" s="1788"/>
      <c r="C28" s="451" t="s">
        <v>119</v>
      </c>
      <c r="D28" s="1545" t="s">
        <v>490</v>
      </c>
      <c r="E28" s="1552" t="s">
        <v>1078</v>
      </c>
      <c r="F28" s="1562" t="s">
        <v>997</v>
      </c>
      <c r="G28" s="1552" t="s">
        <v>1139</v>
      </c>
      <c r="H28" s="1562" t="s">
        <v>1141</v>
      </c>
      <c r="I28" s="1552" t="s">
        <v>1164</v>
      </c>
    </row>
    <row r="29" spans="1:9" ht="12.75" customHeight="1">
      <c r="A29" s="1815"/>
      <c r="B29" s="1816"/>
      <c r="C29" s="183" t="s">
        <v>158</v>
      </c>
      <c r="D29" s="1546" t="s">
        <v>159</v>
      </c>
      <c r="E29" s="1553" t="s">
        <v>160</v>
      </c>
      <c r="F29" s="1563" t="s">
        <v>161</v>
      </c>
      <c r="G29" s="1553" t="s">
        <v>462</v>
      </c>
      <c r="H29" s="1563" t="s">
        <v>482</v>
      </c>
      <c r="I29" s="1553" t="s">
        <v>715</v>
      </c>
    </row>
    <row r="30" spans="1:9" ht="12.75" customHeight="1">
      <c r="A30" s="452" t="s">
        <v>38</v>
      </c>
      <c r="B30" s="184" t="s">
        <v>164</v>
      </c>
      <c r="C30" s="185" t="s">
        <v>320</v>
      </c>
      <c r="D30" s="1504">
        <v>1</v>
      </c>
      <c r="E30" s="1554">
        <f>SUM(E31:E33)</f>
        <v>18699204</v>
      </c>
      <c r="F30" s="1564">
        <f>SUM(F31:F33)</f>
        <v>18885094</v>
      </c>
      <c r="G30" s="1554">
        <f>SUM(G31:G33)</f>
        <v>18885094</v>
      </c>
      <c r="H30" s="1564">
        <f>SUM(H31:H33)</f>
        <v>18885094</v>
      </c>
      <c r="I30" s="1554">
        <f>SUM(I31:I33)</f>
        <v>18885094</v>
      </c>
    </row>
    <row r="31" spans="1:9" ht="12.75" customHeight="1">
      <c r="A31" s="454" t="s">
        <v>40</v>
      </c>
      <c r="B31" s="141"/>
      <c r="C31" s="17" t="s">
        <v>250</v>
      </c>
      <c r="D31" s="1505"/>
      <c r="E31" s="1555">
        <v>2239195</v>
      </c>
      <c r="F31" s="1565">
        <v>2397618</v>
      </c>
      <c r="G31" s="1555">
        <v>2397618</v>
      </c>
      <c r="H31" s="1565">
        <v>2397618</v>
      </c>
      <c r="I31" s="1555">
        <v>2397618</v>
      </c>
    </row>
    <row r="32" spans="1:9" ht="12.75" customHeight="1">
      <c r="A32" s="454" t="s">
        <v>47</v>
      </c>
      <c r="B32" s="141"/>
      <c r="C32" s="17" t="s">
        <v>251</v>
      </c>
      <c r="D32" s="1505"/>
      <c r="E32" s="1555">
        <v>460009</v>
      </c>
      <c r="F32" s="1565">
        <v>487476</v>
      </c>
      <c r="G32" s="1555">
        <v>487476</v>
      </c>
      <c r="H32" s="1565">
        <v>487476</v>
      </c>
      <c r="I32" s="1555">
        <v>487476</v>
      </c>
    </row>
    <row r="33" spans="1:9" ht="12.75" customHeight="1">
      <c r="A33" s="454" t="s">
        <v>49</v>
      </c>
      <c r="B33" s="141"/>
      <c r="C33" s="17" t="s">
        <v>252</v>
      </c>
      <c r="D33" s="1505"/>
      <c r="E33" s="1023">
        <v>16000000</v>
      </c>
      <c r="F33" s="1566">
        <v>16000000</v>
      </c>
      <c r="G33" s="1023">
        <v>16000000</v>
      </c>
      <c r="H33" s="1566">
        <v>16000000</v>
      </c>
      <c r="I33" s="1023">
        <v>16000000</v>
      </c>
    </row>
    <row r="34" spans="1:9" ht="12.75" customHeight="1">
      <c r="A34" s="452" t="s">
        <v>51</v>
      </c>
      <c r="B34" s="138" t="s">
        <v>166</v>
      </c>
      <c r="C34" s="9" t="s">
        <v>491</v>
      </c>
      <c r="D34" s="1506"/>
      <c r="E34" s="1554">
        <f>SUM(E35:E37)</f>
        <v>2820040</v>
      </c>
      <c r="F34" s="1564">
        <f>SUM(F35:F37)</f>
        <v>4842080</v>
      </c>
      <c r="G34" s="1554">
        <f>SUM(G35:G37)</f>
        <v>4842080</v>
      </c>
      <c r="H34" s="1564">
        <f>SUM(H35:H37)</f>
        <v>4842080</v>
      </c>
      <c r="I34" s="1554">
        <f>SUM(I35:I37)</f>
        <v>4842080</v>
      </c>
    </row>
    <row r="35" spans="1:9" ht="12.75" customHeight="1">
      <c r="A35" s="454" t="s">
        <v>53</v>
      </c>
      <c r="B35" s="141"/>
      <c r="C35" s="17" t="s">
        <v>250</v>
      </c>
      <c r="D35" s="1505"/>
      <c r="E35" s="1555">
        <v>265497</v>
      </c>
      <c r="F35" s="1565">
        <v>284281</v>
      </c>
      <c r="G35" s="1555">
        <v>284281</v>
      </c>
      <c r="H35" s="1565">
        <v>284281</v>
      </c>
      <c r="I35" s="1555">
        <v>284281</v>
      </c>
    </row>
    <row r="36" spans="1:9" ht="12.75" customHeight="1">
      <c r="A36" s="454" t="s">
        <v>55</v>
      </c>
      <c r="B36" s="141"/>
      <c r="C36" s="144" t="s">
        <v>251</v>
      </c>
      <c r="D36" s="1507"/>
      <c r="E36" s="1556">
        <v>54543</v>
      </c>
      <c r="F36" s="1567">
        <v>57799</v>
      </c>
      <c r="G36" s="1556">
        <v>57799</v>
      </c>
      <c r="H36" s="1567">
        <v>57799</v>
      </c>
      <c r="I36" s="1556">
        <v>57799</v>
      </c>
    </row>
    <row r="37" spans="1:9" ht="12.75" customHeight="1">
      <c r="A37" s="454" t="s">
        <v>57</v>
      </c>
      <c r="B37" s="141"/>
      <c r="C37" s="316" t="s">
        <v>252</v>
      </c>
      <c r="D37" s="1391"/>
      <c r="E37" s="1557">
        <v>2500000</v>
      </c>
      <c r="F37" s="1568">
        <v>4500000</v>
      </c>
      <c r="G37" s="1557">
        <v>4500000</v>
      </c>
      <c r="H37" s="1568">
        <v>4500000</v>
      </c>
      <c r="I37" s="1557">
        <v>4500000</v>
      </c>
    </row>
    <row r="38" spans="1:9" s="10" customFormat="1" ht="12.75" customHeight="1">
      <c r="A38" s="452" t="s">
        <v>86</v>
      </c>
      <c r="B38" s="138" t="s">
        <v>173</v>
      </c>
      <c r="C38" s="421" t="s">
        <v>492</v>
      </c>
      <c r="D38" s="1391"/>
      <c r="E38" s="1396">
        <f>SUM(E39:E41)</f>
        <v>0</v>
      </c>
      <c r="F38" s="1401">
        <f>SUM(F39:F41)</f>
        <v>0</v>
      </c>
      <c r="G38" s="1396">
        <f>SUM(G39:G41)</f>
        <v>0</v>
      </c>
      <c r="H38" s="1401">
        <f>SUM(H39:H41)</f>
        <v>0</v>
      </c>
      <c r="I38" s="1396">
        <f>SUM(I39:I41)</f>
        <v>0</v>
      </c>
    </row>
    <row r="39" spans="1:9" ht="12.75" customHeight="1">
      <c r="A39" s="454" t="s">
        <v>59</v>
      </c>
      <c r="B39" s="141"/>
      <c r="C39" s="316" t="s">
        <v>250</v>
      </c>
      <c r="D39" s="1391"/>
      <c r="E39" s="1557"/>
      <c r="F39" s="1568">
        <v>0</v>
      </c>
      <c r="G39" s="1557">
        <v>0</v>
      </c>
      <c r="H39" s="1568">
        <v>0</v>
      </c>
      <c r="I39" s="1557">
        <v>0</v>
      </c>
    </row>
    <row r="40" spans="1:9" ht="12.75" customHeight="1">
      <c r="A40" s="454" t="s">
        <v>61</v>
      </c>
      <c r="B40" s="141"/>
      <c r="C40" s="128" t="s">
        <v>251</v>
      </c>
      <c r="D40" s="1504"/>
      <c r="E40" s="1558"/>
      <c r="F40" s="1569">
        <v>0</v>
      </c>
      <c r="G40" s="1558">
        <v>0</v>
      </c>
      <c r="H40" s="1569">
        <v>0</v>
      </c>
      <c r="I40" s="1558">
        <v>0</v>
      </c>
    </row>
    <row r="41" spans="1:9" ht="12.75" customHeight="1">
      <c r="A41" s="454" t="s">
        <v>63</v>
      </c>
      <c r="B41" s="141"/>
      <c r="C41" s="17" t="s">
        <v>252</v>
      </c>
      <c r="D41" s="1506"/>
      <c r="E41" s="1555"/>
      <c r="F41" s="1565">
        <v>0</v>
      </c>
      <c r="G41" s="1555">
        <v>0</v>
      </c>
      <c r="H41" s="1565">
        <v>0</v>
      </c>
      <c r="I41" s="1555">
        <v>0</v>
      </c>
    </row>
    <row r="42" spans="1:9" ht="12.75" customHeight="1">
      <c r="A42" s="452" t="s">
        <v>65</v>
      </c>
      <c r="B42" s="138" t="s">
        <v>182</v>
      </c>
      <c r="C42" s="9" t="s">
        <v>329</v>
      </c>
      <c r="D42" s="1506">
        <v>20</v>
      </c>
      <c r="E42" s="1554">
        <f>SUM(E43:E47)</f>
        <v>69300411</v>
      </c>
      <c r="F42" s="1564">
        <f>SUM(F43:F45)</f>
        <v>67471811</v>
      </c>
      <c r="G42" s="1554">
        <f>SUM(G43:G45)</f>
        <v>67471811</v>
      </c>
      <c r="H42" s="1564">
        <f>SUM(H43:H45)</f>
        <v>67681861</v>
      </c>
      <c r="I42" s="1554">
        <f>SUM(I43:I45)</f>
        <v>67993216</v>
      </c>
    </row>
    <row r="43" spans="1:9" ht="12.75" customHeight="1">
      <c r="A43" s="454" t="s">
        <v>92</v>
      </c>
      <c r="B43" s="141"/>
      <c r="C43" s="17" t="s">
        <v>250</v>
      </c>
      <c r="D43" s="1506"/>
      <c r="E43" s="1555">
        <v>52019117</v>
      </c>
      <c r="F43" s="1565">
        <v>55379163</v>
      </c>
      <c r="G43" s="1555">
        <v>55379163</v>
      </c>
      <c r="H43" s="1565">
        <v>55379163</v>
      </c>
      <c r="I43" s="1555">
        <v>55379163</v>
      </c>
    </row>
    <row r="44" spans="1:9" ht="12.75" customHeight="1">
      <c r="A44" s="454" t="s">
        <v>66</v>
      </c>
      <c r="B44" s="141"/>
      <c r="C44" s="17" t="s">
        <v>251</v>
      </c>
      <c r="D44" s="1506"/>
      <c r="E44" s="1555">
        <v>16661294</v>
      </c>
      <c r="F44" s="1565">
        <v>11172648</v>
      </c>
      <c r="G44" s="1555">
        <v>11172648</v>
      </c>
      <c r="H44" s="1565">
        <v>11172648</v>
      </c>
      <c r="I44" s="1555">
        <v>11172648</v>
      </c>
    </row>
    <row r="45" spans="1:9" ht="12.75" customHeight="1">
      <c r="A45" s="454" t="s">
        <v>67</v>
      </c>
      <c r="B45" s="141"/>
      <c r="C45" s="17" t="s">
        <v>252</v>
      </c>
      <c r="D45" s="1506"/>
      <c r="E45" s="1555">
        <v>620000</v>
      </c>
      <c r="F45" s="1565">
        <v>920000</v>
      </c>
      <c r="G45" s="1555">
        <v>920000</v>
      </c>
      <c r="H45" s="1565">
        <v>1130050</v>
      </c>
      <c r="I45" s="1555">
        <v>1441405</v>
      </c>
    </row>
    <row r="46" spans="1:9" s="122" customFormat="1" ht="12.75" customHeight="1">
      <c r="A46" s="1225" t="s">
        <v>68</v>
      </c>
      <c r="B46" s="1226"/>
      <c r="C46" s="60" t="s">
        <v>1080</v>
      </c>
      <c r="D46" s="1547"/>
      <c r="E46" s="1559"/>
      <c r="F46" s="1570">
        <v>300000</v>
      </c>
      <c r="G46" s="1559">
        <v>300000</v>
      </c>
      <c r="H46" s="1570">
        <v>300000</v>
      </c>
      <c r="I46" s="1559">
        <v>300000</v>
      </c>
    </row>
    <row r="47" spans="1:9" ht="12.75" customHeight="1">
      <c r="A47" s="454" t="s">
        <v>70</v>
      </c>
      <c r="B47" s="141"/>
      <c r="C47" s="17" t="s">
        <v>15</v>
      </c>
      <c r="D47" s="1506"/>
      <c r="E47" s="1555">
        <v>0</v>
      </c>
      <c r="F47" s="1565">
        <v>0</v>
      </c>
      <c r="G47" s="1555">
        <v>0</v>
      </c>
      <c r="H47" s="1565">
        <v>0</v>
      </c>
      <c r="I47" s="1555">
        <v>0</v>
      </c>
    </row>
    <row r="48" spans="1:9" s="10" customFormat="1" ht="12.75" customHeight="1">
      <c r="A48" s="452" t="s">
        <v>97</v>
      </c>
      <c r="B48" s="138" t="s">
        <v>183</v>
      </c>
      <c r="C48" s="9" t="s">
        <v>493</v>
      </c>
      <c r="D48" s="1506"/>
      <c r="E48" s="1554">
        <f>SUM(E49:E51)</f>
        <v>394000</v>
      </c>
      <c r="F48" s="1564">
        <f>SUM(F49:F51)</f>
        <v>394000</v>
      </c>
      <c r="G48" s="1554">
        <f>SUM(G49:G51)</f>
        <v>394000</v>
      </c>
      <c r="H48" s="1564">
        <f>SUM(H49:H51)</f>
        <v>394000</v>
      </c>
      <c r="I48" s="1554">
        <f>SUM(I49:I51)</f>
        <v>394000</v>
      </c>
    </row>
    <row r="49" spans="1:9" ht="12.75" customHeight="1">
      <c r="A49" s="454" t="s">
        <v>99</v>
      </c>
      <c r="B49" s="141"/>
      <c r="C49" s="17" t="s">
        <v>250</v>
      </c>
      <c r="D49" s="1506"/>
      <c r="E49" s="1555">
        <v>330000</v>
      </c>
      <c r="F49" s="1565">
        <v>330000</v>
      </c>
      <c r="G49" s="1555">
        <v>330000</v>
      </c>
      <c r="H49" s="1565">
        <v>330000</v>
      </c>
      <c r="I49" s="1555">
        <v>330000</v>
      </c>
    </row>
    <row r="50" spans="1:9" ht="12.75" customHeight="1">
      <c r="A50" s="454" t="s">
        <v>101</v>
      </c>
      <c r="B50" s="141"/>
      <c r="C50" s="17" t="s">
        <v>251</v>
      </c>
      <c r="D50" s="1506"/>
      <c r="E50" s="1555">
        <v>64000</v>
      </c>
      <c r="F50" s="1565">
        <v>64000</v>
      </c>
      <c r="G50" s="1555">
        <v>64000</v>
      </c>
      <c r="H50" s="1565">
        <v>64000</v>
      </c>
      <c r="I50" s="1555">
        <v>64000</v>
      </c>
    </row>
    <row r="51" spans="1:9" ht="12.75" customHeight="1">
      <c r="A51" s="454" t="s">
        <v>103</v>
      </c>
      <c r="B51" s="141"/>
      <c r="C51" s="17" t="s">
        <v>252</v>
      </c>
      <c r="D51" s="1506"/>
      <c r="E51" s="1555">
        <v>0</v>
      </c>
      <c r="F51" s="1565">
        <v>0</v>
      </c>
      <c r="G51" s="1555">
        <v>0</v>
      </c>
      <c r="H51" s="1565">
        <v>0</v>
      </c>
      <c r="I51" s="1555">
        <v>0</v>
      </c>
    </row>
    <row r="52" spans="1:9" ht="12.75" customHeight="1">
      <c r="A52" s="452" t="s">
        <v>105</v>
      </c>
      <c r="B52" s="138" t="s">
        <v>184</v>
      </c>
      <c r="C52" s="9" t="s">
        <v>335</v>
      </c>
      <c r="D52" s="1506"/>
      <c r="E52" s="1554">
        <f>SUM(E53:E55)</f>
        <v>10689826</v>
      </c>
      <c r="F52" s="1564">
        <f>SUM(F53:F55)</f>
        <v>13116458</v>
      </c>
      <c r="G52" s="1554">
        <f>SUM(G53:G55)</f>
        <v>13116458</v>
      </c>
      <c r="H52" s="1564">
        <f>SUM(H53:H55)</f>
        <v>13116458</v>
      </c>
      <c r="I52" s="1554">
        <f>SUM(I53:I55)</f>
        <v>13206458</v>
      </c>
    </row>
    <row r="53" spans="1:9" ht="12.75" customHeight="1">
      <c r="A53" s="454" t="s">
        <v>107</v>
      </c>
      <c r="B53" s="141"/>
      <c r="C53" s="17" t="s">
        <v>250</v>
      </c>
      <c r="D53" s="1506">
        <v>3</v>
      </c>
      <c r="E53" s="1555">
        <v>8402972</v>
      </c>
      <c r="F53" s="1565">
        <v>10350140</v>
      </c>
      <c r="G53" s="1555">
        <v>10350140</v>
      </c>
      <c r="H53" s="1565">
        <v>10350140</v>
      </c>
      <c r="I53" s="1555">
        <v>10350140</v>
      </c>
    </row>
    <row r="54" spans="1:9" ht="12.75" customHeight="1">
      <c r="A54" s="454" t="s">
        <v>109</v>
      </c>
      <c r="B54" s="141"/>
      <c r="C54" s="17" t="s">
        <v>251</v>
      </c>
      <c r="D54" s="1506"/>
      <c r="E54" s="1555">
        <v>1690854</v>
      </c>
      <c r="F54" s="1565">
        <v>2170318</v>
      </c>
      <c r="G54" s="1555">
        <v>2170318</v>
      </c>
      <c r="H54" s="1565">
        <v>2170318</v>
      </c>
      <c r="I54" s="1555">
        <v>2170318</v>
      </c>
    </row>
    <row r="55" spans="1:9" ht="12.75" customHeight="1">
      <c r="A55" s="454" t="s">
        <v>111</v>
      </c>
      <c r="B55" s="141"/>
      <c r="C55" s="17" t="s">
        <v>252</v>
      </c>
      <c r="D55" s="1506"/>
      <c r="E55" s="1555">
        <v>596000</v>
      </c>
      <c r="F55" s="1565">
        <v>596000</v>
      </c>
      <c r="G55" s="1555">
        <v>596000</v>
      </c>
      <c r="H55" s="1565">
        <v>596000</v>
      </c>
      <c r="I55" s="1555">
        <v>686000</v>
      </c>
    </row>
    <row r="56" spans="1:9" ht="12.75" customHeight="1">
      <c r="A56" s="452" t="s">
        <v>113</v>
      </c>
      <c r="B56" s="138" t="s">
        <v>186</v>
      </c>
      <c r="C56" s="9" t="s">
        <v>340</v>
      </c>
      <c r="D56" s="1506">
        <v>6</v>
      </c>
      <c r="E56" s="1554">
        <f>SUM(E57:E61)</f>
        <v>10474523</v>
      </c>
      <c r="F56" s="1564">
        <f>SUM(F57:F59)</f>
        <v>19987878</v>
      </c>
      <c r="G56" s="1554">
        <f>SUM(G57:G59)</f>
        <v>19987878</v>
      </c>
      <c r="H56" s="1564">
        <f>SUM(H57:H59)</f>
        <v>20041521</v>
      </c>
      <c r="I56" s="1554">
        <f>SUM(I57:I59)</f>
        <v>20080599</v>
      </c>
    </row>
    <row r="57" spans="1:9" ht="12.75" customHeight="1">
      <c r="A57" s="454" t="s">
        <v>115</v>
      </c>
      <c r="B57" s="141"/>
      <c r="C57" s="17" t="s">
        <v>250</v>
      </c>
      <c r="D57" s="1506"/>
      <c r="E57" s="1555">
        <v>8317727</v>
      </c>
      <c r="F57" s="1565">
        <v>15522194</v>
      </c>
      <c r="G57" s="1555">
        <v>15522194</v>
      </c>
      <c r="H57" s="1565">
        <v>15567083</v>
      </c>
      <c r="I57" s="1555">
        <v>15599784</v>
      </c>
    </row>
    <row r="58" spans="1:9" ht="12.75" customHeight="1">
      <c r="A58" s="454" t="s">
        <v>117</v>
      </c>
      <c r="B58" s="141"/>
      <c r="C58" s="17" t="s">
        <v>251</v>
      </c>
      <c r="D58" s="1505"/>
      <c r="E58" s="1555">
        <v>1618796</v>
      </c>
      <c r="F58" s="1565">
        <v>3165684</v>
      </c>
      <c r="G58" s="1555">
        <v>3165684</v>
      </c>
      <c r="H58" s="1565">
        <v>3174438</v>
      </c>
      <c r="I58" s="1555">
        <v>3180815</v>
      </c>
    </row>
    <row r="59" spans="1:9" ht="12.75" customHeight="1">
      <c r="A59" s="454" t="s">
        <v>118</v>
      </c>
      <c r="B59" s="141"/>
      <c r="C59" s="17" t="s">
        <v>635</v>
      </c>
      <c r="D59" s="1505"/>
      <c r="E59" s="1555">
        <v>538000</v>
      </c>
      <c r="F59" s="1565">
        <v>1300000</v>
      </c>
      <c r="G59" s="1555">
        <v>1300000</v>
      </c>
      <c r="H59" s="1565">
        <v>1300000</v>
      </c>
      <c r="I59" s="1555">
        <v>1300000</v>
      </c>
    </row>
    <row r="60" spans="1:9" s="122" customFormat="1" ht="12.75" customHeight="1">
      <c r="A60" s="1225" t="s">
        <v>120</v>
      </c>
      <c r="B60" s="1226"/>
      <c r="C60" s="60" t="s">
        <v>1079</v>
      </c>
      <c r="D60" s="1548"/>
      <c r="E60" s="1559"/>
      <c r="F60" s="1570">
        <v>240000</v>
      </c>
      <c r="G60" s="1559">
        <v>240000</v>
      </c>
      <c r="H60" s="1570">
        <v>240000</v>
      </c>
      <c r="I60" s="1559">
        <v>240000</v>
      </c>
    </row>
    <row r="61" spans="1:9" ht="12.75" customHeight="1">
      <c r="A61" s="454" t="s">
        <v>122</v>
      </c>
      <c r="B61" s="141"/>
      <c r="C61" s="17" t="s">
        <v>15</v>
      </c>
      <c r="D61" s="1505"/>
      <c r="E61" s="1555">
        <v>0</v>
      </c>
      <c r="F61" s="1565">
        <v>0</v>
      </c>
      <c r="G61" s="1555">
        <v>0</v>
      </c>
      <c r="H61" s="1565">
        <v>0</v>
      </c>
      <c r="I61" s="1555">
        <v>0</v>
      </c>
    </row>
    <row r="62" spans="1:9" ht="12.75" customHeight="1">
      <c r="A62" s="452" t="s">
        <v>124</v>
      </c>
      <c r="B62" s="138" t="s">
        <v>189</v>
      </c>
      <c r="C62" s="9" t="s">
        <v>346</v>
      </c>
      <c r="D62" s="1506">
        <v>0</v>
      </c>
      <c r="E62" s="1554">
        <f>SUM(E63:E66)</f>
        <v>4804201</v>
      </c>
      <c r="F62" s="1564">
        <f>SUM(F63:F66)</f>
        <v>4697500</v>
      </c>
      <c r="G62" s="1554">
        <f>SUM(G63:G66)</f>
        <v>4697500</v>
      </c>
      <c r="H62" s="1564">
        <f>SUM(H63:H66)</f>
        <v>4940455</v>
      </c>
      <c r="I62" s="1554">
        <f>SUM(I63:I66)</f>
        <v>5133005</v>
      </c>
    </row>
    <row r="63" spans="1:9" ht="12.75" customHeight="1">
      <c r="A63" s="454" t="s">
        <v>126</v>
      </c>
      <c r="B63" s="141"/>
      <c r="C63" s="17" t="s">
        <v>494</v>
      </c>
      <c r="D63" s="1505"/>
      <c r="E63" s="1555">
        <v>295863</v>
      </c>
      <c r="F63" s="1565">
        <v>500000</v>
      </c>
      <c r="G63" s="1555">
        <v>500000</v>
      </c>
      <c r="H63" s="1565">
        <v>500000</v>
      </c>
      <c r="I63" s="1555">
        <v>500000</v>
      </c>
    </row>
    <row r="64" spans="1:9" ht="12.75" customHeight="1">
      <c r="A64" s="454" t="s">
        <v>128</v>
      </c>
      <c r="B64" s="141"/>
      <c r="C64" s="17" t="s">
        <v>495</v>
      </c>
      <c r="D64" s="1505"/>
      <c r="E64" s="1555">
        <v>57693</v>
      </c>
      <c r="F64" s="1565">
        <v>97500</v>
      </c>
      <c r="G64" s="1555">
        <v>97500</v>
      </c>
      <c r="H64" s="1565">
        <v>97500</v>
      </c>
      <c r="I64" s="1555">
        <v>97500</v>
      </c>
    </row>
    <row r="65" spans="1:9" ht="12.75" customHeight="1">
      <c r="A65" s="454" t="s">
        <v>130</v>
      </c>
      <c r="B65" s="141"/>
      <c r="C65" s="17" t="s">
        <v>453</v>
      </c>
      <c r="D65" s="1505"/>
      <c r="E65" s="1555">
        <v>3633384</v>
      </c>
      <c r="F65" s="1565">
        <v>3600000</v>
      </c>
      <c r="G65" s="1555">
        <v>3600000</v>
      </c>
      <c r="H65" s="1565">
        <v>3600000</v>
      </c>
      <c r="I65" s="1555">
        <v>3600000</v>
      </c>
    </row>
    <row r="66" spans="1:9" ht="12.75" customHeight="1" thickBot="1">
      <c r="A66" s="454" t="s">
        <v>131</v>
      </c>
      <c r="B66" s="187"/>
      <c r="C66" s="144" t="s">
        <v>15</v>
      </c>
      <c r="D66" s="1508"/>
      <c r="E66" s="1556">
        <v>817261</v>
      </c>
      <c r="F66" s="1567">
        <v>500000</v>
      </c>
      <c r="G66" s="1556">
        <v>500000</v>
      </c>
      <c r="H66" s="1567">
        <v>742955</v>
      </c>
      <c r="I66" s="1556">
        <v>935505</v>
      </c>
    </row>
    <row r="67" spans="1:61" s="450" customFormat="1" ht="24" customHeight="1" thickBot="1">
      <c r="A67" s="460" t="s">
        <v>133</v>
      </c>
      <c r="B67" s="76" t="s">
        <v>191</v>
      </c>
      <c r="C67" s="77" t="s">
        <v>496</v>
      </c>
      <c r="D67" s="1549">
        <v>30</v>
      </c>
      <c r="E67" s="1560">
        <f>SUM(E30+E34+E42+E52+E56+E62)+E48+E38</f>
        <v>117182205</v>
      </c>
      <c r="F67" s="1571">
        <f>SUM(F30+F34+F42+F52+F56+F62)+F48+F38</f>
        <v>129394821</v>
      </c>
      <c r="G67" s="1560">
        <f>SUM(G30+G34+G42+G52+G56+G62)+G48+G38</f>
        <v>129394821</v>
      </c>
      <c r="H67" s="1571">
        <f>SUM(H30+H34+H42+H52+H56+H62)+H48+H38</f>
        <v>129901469</v>
      </c>
      <c r="I67" s="1560">
        <f>SUM(I30+I34+I42+I52+I56+I62)+I48+I38</f>
        <v>130534452</v>
      </c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449"/>
      <c r="AI67" s="449"/>
      <c r="AJ67" s="449"/>
      <c r="AK67" s="449"/>
      <c r="AL67" s="449"/>
      <c r="AM67" s="449"/>
      <c r="AN67" s="449"/>
      <c r="AO67" s="449"/>
      <c r="AP67" s="449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49"/>
      <c r="BH67" s="449"/>
      <c r="BI67" s="449"/>
    </row>
    <row r="68" spans="1:61" s="6" customFormat="1" ht="12.75" customHeight="1">
      <c r="A68" s="454" t="s">
        <v>135</v>
      </c>
      <c r="B68" s="188"/>
      <c r="C68" s="189" t="s">
        <v>250</v>
      </c>
      <c r="D68" s="1550"/>
      <c r="E68" s="1561">
        <v>71870371</v>
      </c>
      <c r="F68" s="1572">
        <f>SUM(F31+F35+F43+F53+F57)+F49+F63</f>
        <v>84763396</v>
      </c>
      <c r="G68" s="1561">
        <f>SUM(G31+G35+G43+G53+G57)+G49+G63</f>
        <v>84763396</v>
      </c>
      <c r="H68" s="1572">
        <f>SUM(H31+H35+H43+H53+H57)+H49+H63</f>
        <v>84808285</v>
      </c>
      <c r="I68" s="1561">
        <f>SUM(I31+I35+I43+I53+I57)+I49+I63</f>
        <v>84840986</v>
      </c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</row>
    <row r="69" spans="1:61" s="6" customFormat="1" ht="12.75" customHeight="1">
      <c r="A69" s="454" t="s">
        <v>137</v>
      </c>
      <c r="B69" s="153"/>
      <c r="C69" s="155" t="s">
        <v>251</v>
      </c>
      <c r="D69" s="1382"/>
      <c r="E69" s="1023">
        <v>20607189</v>
      </c>
      <c r="F69" s="1566">
        <f>SUM(F32+F44+F54+F58)+F36+F50+F64</f>
        <v>17215425</v>
      </c>
      <c r="G69" s="1023">
        <f>SUM(G32+G44+G54+G58)+G36+G50+G64</f>
        <v>17215425</v>
      </c>
      <c r="H69" s="1566">
        <f>SUM(H32+H44+H54+H58)+H36+H50+H64</f>
        <v>17224179</v>
      </c>
      <c r="I69" s="1023">
        <f>SUM(I32+I44+I54+I58)+I36+I50+I64</f>
        <v>17230556</v>
      </c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</row>
    <row r="70" spans="1:61" s="6" customFormat="1" ht="12.75" customHeight="1">
      <c r="A70" s="454" t="s">
        <v>139</v>
      </c>
      <c r="B70" s="153"/>
      <c r="C70" s="155" t="s">
        <v>252</v>
      </c>
      <c r="D70" s="1382"/>
      <c r="E70" s="1023">
        <f>SUM(E33+E37+E45+E55+E59+E65)</f>
        <v>23887384</v>
      </c>
      <c r="F70" s="1566">
        <f>SUM(F33+F37+F45+F55+F59+F65)</f>
        <v>26916000</v>
      </c>
      <c r="G70" s="1023">
        <f>SUM(G33+G37+G45+G55+G59+G65)</f>
        <v>26916000</v>
      </c>
      <c r="H70" s="1566">
        <f>SUM(H33+H37+H45+H55+H59+H65)</f>
        <v>27126050</v>
      </c>
      <c r="I70" s="1023">
        <f>SUM(I33+I37+I45+I55+I59+I65)</f>
        <v>27527405</v>
      </c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</row>
    <row r="71" spans="1:61" s="6" customFormat="1" ht="18.75" customHeight="1">
      <c r="A71" s="841" t="s">
        <v>141</v>
      </c>
      <c r="B71" s="842"/>
      <c r="C71" s="843" t="s">
        <v>15</v>
      </c>
      <c r="D71" s="1383"/>
      <c r="E71" s="1378">
        <f>SUM(E61+E66)+E47</f>
        <v>817261</v>
      </c>
      <c r="F71" s="1573">
        <f>SUM(F61+F66)+F47</f>
        <v>500000</v>
      </c>
      <c r="G71" s="1378">
        <f>SUM(G61+G66)+G47</f>
        <v>500000</v>
      </c>
      <c r="H71" s="1573">
        <f>SUM(H61+H66)+H47</f>
        <v>742955</v>
      </c>
      <c r="I71" s="1378">
        <f>SUM(I61+I66)+I47</f>
        <v>935505</v>
      </c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</row>
    <row r="72" spans="1:9" s="849" customFormat="1" ht="12.75" customHeight="1">
      <c r="A72" s="847" t="s">
        <v>143</v>
      </c>
      <c r="B72" s="847"/>
      <c r="C72" s="848" t="s">
        <v>792</v>
      </c>
      <c r="D72" s="1384"/>
      <c r="E72" s="1379">
        <v>817261</v>
      </c>
      <c r="F72" s="1574">
        <v>500000</v>
      </c>
      <c r="G72" s="1379">
        <v>500000</v>
      </c>
      <c r="H72" s="1574">
        <v>742955</v>
      </c>
      <c r="I72" s="1379">
        <v>935505</v>
      </c>
    </row>
    <row r="73" spans="1:9" s="547" customFormat="1" ht="12.75" customHeight="1" thickBot="1">
      <c r="A73" s="808" t="s">
        <v>145</v>
      </c>
      <c r="B73" s="808"/>
      <c r="C73" s="808" t="s">
        <v>793</v>
      </c>
      <c r="D73" s="1551"/>
      <c r="E73" s="1380"/>
      <c r="F73" s="1575"/>
      <c r="G73" s="1380"/>
      <c r="H73" s="1575"/>
      <c r="I73" s="1380"/>
    </row>
  </sheetData>
  <sheetProtection selectLockedCells="1" selectUnlockedCells="1"/>
  <mergeCells count="40">
    <mergeCell ref="D3:G3"/>
    <mergeCell ref="A10:B10"/>
    <mergeCell ref="C13:D13"/>
    <mergeCell ref="A13:B13"/>
    <mergeCell ref="A28:B29"/>
    <mergeCell ref="A22:B22"/>
    <mergeCell ref="A23:B23"/>
    <mergeCell ref="A24:B24"/>
    <mergeCell ref="A25:B25"/>
    <mergeCell ref="C22:D22"/>
    <mergeCell ref="C26:D26"/>
    <mergeCell ref="C24:D24"/>
    <mergeCell ref="C25:D25"/>
    <mergeCell ref="A26:B26"/>
    <mergeCell ref="C11:D11"/>
    <mergeCell ref="A21:B21"/>
    <mergeCell ref="C14:D14"/>
    <mergeCell ref="A14:B14"/>
    <mergeCell ref="C19:D19"/>
    <mergeCell ref="A17:B17"/>
    <mergeCell ref="A9:B9"/>
    <mergeCell ref="A1:H1"/>
    <mergeCell ref="C23:D23"/>
    <mergeCell ref="C18:D18"/>
    <mergeCell ref="C17:D17"/>
    <mergeCell ref="A15:B15"/>
    <mergeCell ref="A16:B16"/>
    <mergeCell ref="C21:D21"/>
    <mergeCell ref="C9:D9"/>
    <mergeCell ref="C10:D10"/>
    <mergeCell ref="A4:I4"/>
    <mergeCell ref="A2:I2"/>
    <mergeCell ref="A11:B11"/>
    <mergeCell ref="A12:B12"/>
    <mergeCell ref="C20:D20"/>
    <mergeCell ref="A18:B18"/>
    <mergeCell ref="A20:B20"/>
    <mergeCell ref="A19:B19"/>
    <mergeCell ref="C12:D12"/>
    <mergeCell ref="A7:B8"/>
  </mergeCells>
  <printOptions horizontalCentered="1"/>
  <pageMargins left="0.2362204724409449" right="0.11811023622047245" top="0.984251968503937" bottom="0.984251968503937" header="0.5118110236220472" footer="0.5118110236220472"/>
  <pageSetup fitToWidth="0" fitToHeight="1" horizontalDpi="600" verticalDpi="6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view="pageBreakPreview" zoomScaleSheetLayoutView="100" zoomScalePageLayoutView="0" workbookViewId="0" topLeftCell="A1">
      <selection activeCell="I3" sqref="I3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5" width="17.7109375" style="52" customWidth="1"/>
    <col min="6" max="9" width="17.421875" style="52" customWidth="1"/>
  </cols>
  <sheetData>
    <row r="1" spans="1:9" s="177" customFormat="1" ht="18" customHeight="1">
      <c r="A1" s="1827" t="s">
        <v>497</v>
      </c>
      <c r="B1" s="1827"/>
      <c r="C1" s="1827"/>
      <c r="D1" s="1827"/>
      <c r="E1" s="1827"/>
      <c r="F1" s="1827"/>
      <c r="G1" s="1827"/>
      <c r="H1" s="1827"/>
      <c r="I1" s="1827"/>
    </row>
    <row r="2" spans="1:9" ht="15" customHeight="1">
      <c r="A2" s="1828" t="s">
        <v>1181</v>
      </c>
      <c r="B2" s="1828"/>
      <c r="C2" s="1828"/>
      <c r="D2" s="1828"/>
      <c r="E2" s="1828"/>
      <c r="F2" s="1828"/>
      <c r="G2" s="1828"/>
      <c r="H2" s="1828"/>
      <c r="I2" s="1828"/>
    </row>
    <row r="3" spans="3:9" ht="12.75" customHeight="1">
      <c r="C3" s="1"/>
      <c r="D3" s="1765" t="s">
        <v>1183</v>
      </c>
      <c r="E3" s="1765"/>
      <c r="F3" s="1765"/>
      <c r="G3" s="1765"/>
      <c r="H3" s="191"/>
      <c r="I3" s="1647" t="s">
        <v>1186</v>
      </c>
    </row>
    <row r="4" spans="1:9" ht="21" customHeight="1">
      <c r="A4" s="1826" t="s">
        <v>1147</v>
      </c>
      <c r="B4" s="1826"/>
      <c r="C4" s="1826"/>
      <c r="D4" s="1826"/>
      <c r="E4" s="1826"/>
      <c r="F4" s="1826"/>
      <c r="G4" s="1826"/>
      <c r="H4" s="1826"/>
      <c r="I4" s="1826"/>
    </row>
    <row r="5" spans="3:4" ht="21" customHeight="1">
      <c r="C5" s="192"/>
      <c r="D5" s="192"/>
    </row>
    <row r="6" spans="5:9" ht="12.75" customHeight="1" thickBot="1">
      <c r="E6" s="926"/>
      <c r="F6" s="926"/>
      <c r="G6" s="926"/>
      <c r="H6" s="926"/>
      <c r="I6" s="926" t="s">
        <v>214</v>
      </c>
    </row>
    <row r="7" spans="1:9" ht="38.25" customHeight="1" thickBot="1">
      <c r="A7" s="1663" t="s">
        <v>156</v>
      </c>
      <c r="B7" s="1664"/>
      <c r="C7" s="1835" t="s">
        <v>157</v>
      </c>
      <c r="D7" s="1835"/>
      <c r="E7" s="470" t="s">
        <v>1076</v>
      </c>
      <c r="F7" s="470" t="s">
        <v>997</v>
      </c>
      <c r="G7" s="470" t="s">
        <v>1139</v>
      </c>
      <c r="H7" s="470" t="s">
        <v>1141</v>
      </c>
      <c r="I7" s="470" t="s">
        <v>1164</v>
      </c>
    </row>
    <row r="8" spans="1:9" ht="12.75" customHeight="1">
      <c r="A8" s="1843" t="s">
        <v>158</v>
      </c>
      <c r="B8" s="1667"/>
      <c r="C8" s="193" t="s">
        <v>159</v>
      </c>
      <c r="D8" s="194"/>
      <c r="E8" s="471" t="s">
        <v>160</v>
      </c>
      <c r="F8" s="471" t="s">
        <v>161</v>
      </c>
      <c r="G8" s="471" t="s">
        <v>462</v>
      </c>
      <c r="H8" s="471" t="s">
        <v>482</v>
      </c>
      <c r="I8" s="471" t="s">
        <v>715</v>
      </c>
    </row>
    <row r="9" spans="1:9" s="10" customFormat="1" ht="12.75" customHeight="1">
      <c r="A9" s="1844" t="s">
        <v>38</v>
      </c>
      <c r="B9" s="1845"/>
      <c r="C9" s="500" t="s">
        <v>78</v>
      </c>
      <c r="D9" s="292"/>
      <c r="E9" s="887">
        <f>SUM(E10:E12)</f>
        <v>617003</v>
      </c>
      <c r="F9" s="887">
        <f>SUM(F10:F12)</f>
        <v>1217000</v>
      </c>
      <c r="G9" s="887">
        <f>SUM(G10:G12)</f>
        <v>1217000</v>
      </c>
      <c r="H9" s="887">
        <f>SUM(H10:H12)</f>
        <v>1217050</v>
      </c>
      <c r="I9" s="887">
        <f>SUM(I10:I12)</f>
        <v>1217050</v>
      </c>
    </row>
    <row r="10" spans="1:9" s="297" customFormat="1" ht="12.75" customHeight="1">
      <c r="A10" s="1779" t="s">
        <v>40</v>
      </c>
      <c r="B10" s="1779"/>
      <c r="C10" s="891" t="s">
        <v>642</v>
      </c>
      <c r="D10" s="671"/>
      <c r="E10" s="437">
        <v>617000</v>
      </c>
      <c r="F10" s="437">
        <v>1217000</v>
      </c>
      <c r="G10" s="437">
        <v>1217000</v>
      </c>
      <c r="H10" s="437">
        <v>1217000</v>
      </c>
      <c r="I10" s="437">
        <v>1217000</v>
      </c>
    </row>
    <row r="11" spans="1:9" s="297" customFormat="1" ht="12.75" customHeight="1">
      <c r="A11" s="1836" t="s">
        <v>47</v>
      </c>
      <c r="B11" s="1800"/>
      <c r="C11" s="891" t="s">
        <v>797</v>
      </c>
      <c r="D11" s="671"/>
      <c r="E11" s="437">
        <v>3</v>
      </c>
      <c r="F11" s="437">
        <v>0</v>
      </c>
      <c r="G11" s="437">
        <v>0</v>
      </c>
      <c r="H11" s="437">
        <v>0</v>
      </c>
      <c r="I11" s="437">
        <v>0</v>
      </c>
    </row>
    <row r="12" spans="1:9" s="297" customFormat="1" ht="12.75" customHeight="1">
      <c r="A12" s="1836" t="s">
        <v>49</v>
      </c>
      <c r="B12" s="1800"/>
      <c r="C12" s="891" t="s">
        <v>798</v>
      </c>
      <c r="D12" s="671"/>
      <c r="E12" s="437">
        <v>0</v>
      </c>
      <c r="F12" s="437">
        <v>0</v>
      </c>
      <c r="G12" s="437">
        <v>0</v>
      </c>
      <c r="H12" s="437">
        <v>50</v>
      </c>
      <c r="I12" s="437">
        <v>50</v>
      </c>
    </row>
    <row r="13" spans="1:9" ht="19.5" customHeight="1" thickBot="1">
      <c r="A13" s="1846" t="s">
        <v>51</v>
      </c>
      <c r="B13" s="1847"/>
      <c r="C13" s="888" t="s">
        <v>485</v>
      </c>
      <c r="D13" s="889"/>
      <c r="E13" s="890">
        <f>SUM(E9)</f>
        <v>617003</v>
      </c>
      <c r="F13" s="890">
        <f>SUM(F9)</f>
        <v>1217000</v>
      </c>
      <c r="G13" s="890">
        <f>SUM(G9)</f>
        <v>1217000</v>
      </c>
      <c r="H13" s="890">
        <f>SUM(H9)</f>
        <v>1217050</v>
      </c>
      <c r="I13" s="890">
        <f>SUM(I9)</f>
        <v>1217050</v>
      </c>
    </row>
    <row r="14" spans="1:9" ht="12.75" customHeight="1">
      <c r="A14" s="1848" t="s">
        <v>53</v>
      </c>
      <c r="B14" s="1849"/>
      <c r="C14" s="180" t="s">
        <v>498</v>
      </c>
      <c r="D14" s="474"/>
      <c r="E14" s="475">
        <f>SUM(E15:E16)</f>
        <v>13534469</v>
      </c>
      <c r="F14" s="475">
        <f>SUM(F15:F16)</f>
        <v>20492627</v>
      </c>
      <c r="G14" s="475">
        <f>SUM(G15:G16)</f>
        <v>20492627</v>
      </c>
      <c r="H14" s="475">
        <f>SUM(H15:H16)</f>
        <v>20667944</v>
      </c>
      <c r="I14" s="475">
        <f>SUM(I15:I16)</f>
        <v>22985771</v>
      </c>
    </row>
    <row r="15" spans="1:9" ht="12.75" customHeight="1">
      <c r="A15" s="1850" t="s">
        <v>55</v>
      </c>
      <c r="B15" s="1851"/>
      <c r="C15" s="195" t="s">
        <v>487</v>
      </c>
      <c r="D15" s="196"/>
      <c r="E15" s="472">
        <v>4723912</v>
      </c>
      <c r="F15" s="472">
        <f>SUM('12. melléklet'!G59)</f>
        <v>4227740</v>
      </c>
      <c r="G15" s="472">
        <v>4227740</v>
      </c>
      <c r="H15" s="472">
        <v>4403057</v>
      </c>
      <c r="I15" s="472">
        <v>4520884</v>
      </c>
    </row>
    <row r="16" spans="1:9" ht="12.75" customHeight="1">
      <c r="A16" s="1829" t="s">
        <v>57</v>
      </c>
      <c r="B16" s="1830"/>
      <c r="C16" s="197" t="s">
        <v>488</v>
      </c>
      <c r="D16" s="182"/>
      <c r="E16" s="473">
        <v>8810557</v>
      </c>
      <c r="F16" s="473">
        <v>16264887</v>
      </c>
      <c r="G16" s="473">
        <v>16264887</v>
      </c>
      <c r="H16" s="473">
        <v>16264887</v>
      </c>
      <c r="I16" s="473">
        <v>18464887</v>
      </c>
    </row>
    <row r="17" spans="1:9" ht="12.75" customHeight="1" thickBot="1">
      <c r="A17" s="1829" t="s">
        <v>86</v>
      </c>
      <c r="B17" s="1830"/>
      <c r="C17" s="1831" t="s">
        <v>235</v>
      </c>
      <c r="D17" s="1831"/>
      <c r="E17" s="630">
        <v>174226</v>
      </c>
      <c r="F17" s="630">
        <v>321658</v>
      </c>
      <c r="G17" s="630">
        <v>321658</v>
      </c>
      <c r="H17" s="630">
        <v>321658</v>
      </c>
      <c r="I17" s="630">
        <v>321658</v>
      </c>
    </row>
    <row r="18" spans="1:9" ht="18" customHeight="1" thickBot="1">
      <c r="A18" s="1832" t="s">
        <v>59</v>
      </c>
      <c r="B18" s="1833"/>
      <c r="C18" s="1834" t="s">
        <v>499</v>
      </c>
      <c r="D18" s="1834"/>
      <c r="E18" s="476">
        <f>SUM(E14+E17)</f>
        <v>13708695</v>
      </c>
      <c r="F18" s="476">
        <f>SUM(F14+F17)</f>
        <v>20814285</v>
      </c>
      <c r="G18" s="476">
        <f>SUM(G14+G17)</f>
        <v>20814285</v>
      </c>
      <c r="H18" s="476">
        <f>SUM(H14+H17)</f>
        <v>20989602</v>
      </c>
      <c r="I18" s="476">
        <f>SUM(I14+I17)</f>
        <v>23307429</v>
      </c>
    </row>
    <row r="19" spans="1:9" s="366" customFormat="1" ht="16.5" thickBot="1">
      <c r="A19" s="1837" t="s">
        <v>61</v>
      </c>
      <c r="B19" s="1838"/>
      <c r="C19" s="477" t="s">
        <v>116</v>
      </c>
      <c r="D19" s="478"/>
      <c r="E19" s="479">
        <f>SUM(E9+E14+E17)</f>
        <v>14325698</v>
      </c>
      <c r="F19" s="479">
        <f>SUM(F9+F14+F17)</f>
        <v>22031285</v>
      </c>
      <c r="G19" s="479">
        <f>SUM(G9+G14+G17)</f>
        <v>22031285</v>
      </c>
      <c r="H19" s="479">
        <f>SUM(H9+H14+H17)</f>
        <v>22206652</v>
      </c>
      <c r="I19" s="479">
        <f>SUM(I9+I14+I17)</f>
        <v>24524479</v>
      </c>
    </row>
    <row r="20" spans="3:9" ht="12.75" customHeight="1" thickBot="1">
      <c r="C20" s="68"/>
      <c r="D20" s="68"/>
      <c r="E20" s="135"/>
      <c r="F20" s="135"/>
      <c r="G20" s="135"/>
      <c r="H20" s="135"/>
      <c r="I20" s="135"/>
    </row>
    <row r="21" spans="1:9" ht="49.5" customHeight="1" thickBot="1">
      <c r="A21" s="1839" t="s">
        <v>156</v>
      </c>
      <c r="B21" s="1840"/>
      <c r="C21" s="380" t="s">
        <v>119</v>
      </c>
      <c r="D21" s="484" t="s">
        <v>500</v>
      </c>
      <c r="E21" s="470" t="s">
        <v>1077</v>
      </c>
      <c r="F21" s="470" t="s">
        <v>997</v>
      </c>
      <c r="G21" s="470" t="s">
        <v>1139</v>
      </c>
      <c r="H21" s="470" t="s">
        <v>1141</v>
      </c>
      <c r="I21" s="470" t="s">
        <v>1141</v>
      </c>
    </row>
    <row r="22" spans="1:9" ht="12.75" customHeight="1" thickBot="1">
      <c r="A22" s="1841"/>
      <c r="B22" s="1842"/>
      <c r="C22" s="495" t="s">
        <v>158</v>
      </c>
      <c r="D22" s="350" t="s">
        <v>159</v>
      </c>
      <c r="E22" s="383" t="s">
        <v>160</v>
      </c>
      <c r="F22" s="383" t="s">
        <v>161</v>
      </c>
      <c r="G22" s="383" t="s">
        <v>462</v>
      </c>
      <c r="H22" s="383" t="s">
        <v>482</v>
      </c>
      <c r="I22" s="383" t="s">
        <v>715</v>
      </c>
    </row>
    <row r="23" spans="1:9" ht="12.75" customHeight="1">
      <c r="A23" s="491" t="s">
        <v>38</v>
      </c>
      <c r="B23" s="492" t="s">
        <v>164</v>
      </c>
      <c r="C23" s="493" t="s">
        <v>360</v>
      </c>
      <c r="D23" s="494">
        <v>5</v>
      </c>
      <c r="E23" s="465">
        <f>SUM(E24+E25+E26+E29)</f>
        <v>14325698</v>
      </c>
      <c r="F23" s="465">
        <f>SUM(F24+F25+F26+F29)</f>
        <v>21231285</v>
      </c>
      <c r="G23" s="465">
        <f>SUM(G24+G25+G26+G29)</f>
        <v>21231285</v>
      </c>
      <c r="H23" s="465">
        <f>SUM(H24+H25+H26+H29)</f>
        <v>21406652</v>
      </c>
      <c r="I23" s="465">
        <f>SUM(I24+I25+I26+I29)</f>
        <v>23724479</v>
      </c>
    </row>
    <row r="24" spans="1:9" ht="12.75" customHeight="1">
      <c r="A24" s="486" t="s">
        <v>40</v>
      </c>
      <c r="B24" s="315"/>
      <c r="C24" s="316" t="s">
        <v>250</v>
      </c>
      <c r="D24" s="481"/>
      <c r="E24" s="487">
        <v>7693140</v>
      </c>
      <c r="F24" s="487">
        <v>11352064</v>
      </c>
      <c r="G24" s="487">
        <v>11352064</v>
      </c>
      <c r="H24" s="487">
        <v>11498773</v>
      </c>
      <c r="I24" s="487">
        <v>11597373</v>
      </c>
    </row>
    <row r="25" spans="1:9" ht="12.75" customHeight="1">
      <c r="A25" s="486" t="s">
        <v>47</v>
      </c>
      <c r="B25" s="315"/>
      <c r="C25" s="316" t="s">
        <v>251</v>
      </c>
      <c r="D25" s="481"/>
      <c r="E25" s="487">
        <v>1553272</v>
      </c>
      <c r="F25" s="487">
        <v>2290286</v>
      </c>
      <c r="G25" s="487">
        <v>2290286</v>
      </c>
      <c r="H25" s="487">
        <v>2318894</v>
      </c>
      <c r="I25" s="487">
        <v>2338121</v>
      </c>
    </row>
    <row r="26" spans="1:9" ht="12.75" customHeight="1">
      <c r="A26" s="486" t="s">
        <v>49</v>
      </c>
      <c r="B26" s="315"/>
      <c r="C26" s="316" t="s">
        <v>252</v>
      </c>
      <c r="D26" s="481"/>
      <c r="E26" s="487">
        <v>5015296</v>
      </c>
      <c r="F26" s="487">
        <v>7088935</v>
      </c>
      <c r="G26" s="487">
        <v>7088935</v>
      </c>
      <c r="H26" s="487">
        <v>7088985</v>
      </c>
      <c r="I26" s="487">
        <v>9288985</v>
      </c>
    </row>
    <row r="27" spans="1:9" s="210" customFormat="1" ht="12.75" customHeight="1">
      <c r="A27" s="488" t="s">
        <v>51</v>
      </c>
      <c r="B27" s="482"/>
      <c r="C27" s="339" t="s">
        <v>644</v>
      </c>
      <c r="D27" s="483"/>
      <c r="E27" s="489">
        <v>1424000</v>
      </c>
      <c r="F27" s="489">
        <v>3000000</v>
      </c>
      <c r="G27" s="489">
        <v>3000000</v>
      </c>
      <c r="H27" s="489">
        <v>3000000</v>
      </c>
      <c r="I27" s="489">
        <v>5200000</v>
      </c>
    </row>
    <row r="28" spans="1:9" s="210" customFormat="1" ht="12.75" customHeight="1">
      <c r="A28" s="488" t="s">
        <v>53</v>
      </c>
      <c r="B28" s="482"/>
      <c r="C28" s="339" t="s">
        <v>1030</v>
      </c>
      <c r="D28" s="483"/>
      <c r="E28" s="489"/>
      <c r="F28" s="489">
        <v>300000</v>
      </c>
      <c r="G28" s="489">
        <v>300000</v>
      </c>
      <c r="H28" s="489">
        <v>300000</v>
      </c>
      <c r="I28" s="489">
        <v>300000</v>
      </c>
    </row>
    <row r="29" spans="1:9" ht="12.75" customHeight="1">
      <c r="A29" s="486" t="s">
        <v>55</v>
      </c>
      <c r="B29" s="315"/>
      <c r="C29" s="316" t="s">
        <v>249</v>
      </c>
      <c r="D29" s="481"/>
      <c r="E29" s="487">
        <v>63990</v>
      </c>
      <c r="F29" s="487">
        <v>500000</v>
      </c>
      <c r="G29" s="487">
        <v>500000</v>
      </c>
      <c r="H29" s="487">
        <v>500000</v>
      </c>
      <c r="I29" s="487">
        <v>500000</v>
      </c>
    </row>
    <row r="30" spans="1:9" s="10" customFormat="1" ht="12.75" customHeight="1">
      <c r="A30" s="490" t="s">
        <v>57</v>
      </c>
      <c r="B30" s="420" t="s">
        <v>166</v>
      </c>
      <c r="C30" s="421" t="s">
        <v>501</v>
      </c>
      <c r="D30" s="448"/>
      <c r="E30" s="444">
        <f>SUM(E31:E33)</f>
        <v>0</v>
      </c>
      <c r="F30" s="444">
        <f>SUM(F31:F33)</f>
        <v>500000</v>
      </c>
      <c r="G30" s="444">
        <f>SUM(G31:G33)</f>
        <v>500000</v>
      </c>
      <c r="H30" s="444">
        <f>SUM(H31:H33)</f>
        <v>500000</v>
      </c>
      <c r="I30" s="444">
        <f>SUM(I31:I33)</f>
        <v>500000</v>
      </c>
    </row>
    <row r="31" spans="1:9" ht="12.75" customHeight="1">
      <c r="A31" s="486" t="s">
        <v>86</v>
      </c>
      <c r="B31" s="315"/>
      <c r="C31" s="316" t="s">
        <v>250</v>
      </c>
      <c r="D31" s="481"/>
      <c r="E31" s="487">
        <v>0</v>
      </c>
      <c r="F31" s="487">
        <v>0</v>
      </c>
      <c r="G31" s="487">
        <v>0</v>
      </c>
      <c r="H31" s="487">
        <v>0</v>
      </c>
      <c r="I31" s="487">
        <v>0</v>
      </c>
    </row>
    <row r="32" spans="1:9" ht="12.75" customHeight="1">
      <c r="A32" s="486" t="s">
        <v>59</v>
      </c>
      <c r="B32" s="315"/>
      <c r="C32" s="316" t="s">
        <v>251</v>
      </c>
      <c r="D32" s="481"/>
      <c r="E32" s="487">
        <v>0</v>
      </c>
      <c r="F32" s="487">
        <v>0</v>
      </c>
      <c r="G32" s="487">
        <v>0</v>
      </c>
      <c r="H32" s="487">
        <v>0</v>
      </c>
      <c r="I32" s="487">
        <v>0</v>
      </c>
    </row>
    <row r="33" spans="1:9" ht="12.75" customHeight="1">
      <c r="A33" s="486" t="s">
        <v>61</v>
      </c>
      <c r="B33" s="315"/>
      <c r="C33" s="316" t="s">
        <v>252</v>
      </c>
      <c r="D33" s="481"/>
      <c r="E33" s="487">
        <v>0</v>
      </c>
      <c r="F33" s="487">
        <v>500000</v>
      </c>
      <c r="G33" s="487">
        <v>500000</v>
      </c>
      <c r="H33" s="487">
        <v>500000</v>
      </c>
      <c r="I33" s="487">
        <v>500000</v>
      </c>
    </row>
    <row r="34" spans="1:9" ht="33" customHeight="1">
      <c r="A34" s="485" t="s">
        <v>63</v>
      </c>
      <c r="B34" s="420" t="s">
        <v>173</v>
      </c>
      <c r="C34" s="480" t="s">
        <v>502</v>
      </c>
      <c r="D34" s="448"/>
      <c r="E34" s="444">
        <f>SUM(E35:E37)</f>
        <v>0</v>
      </c>
      <c r="F34" s="444">
        <f>SUM(F35:F37)</f>
        <v>300000</v>
      </c>
      <c r="G34" s="444">
        <f>SUM(G35:G37)</f>
        <v>300000</v>
      </c>
      <c r="H34" s="444">
        <f>SUM(H35:H37)</f>
        <v>300000</v>
      </c>
      <c r="I34" s="444">
        <f>SUM(I35:I37)</f>
        <v>300000</v>
      </c>
    </row>
    <row r="35" spans="1:9" ht="12.75" customHeight="1">
      <c r="A35" s="486" t="s">
        <v>65</v>
      </c>
      <c r="B35" s="315"/>
      <c r="C35" s="316" t="s">
        <v>250</v>
      </c>
      <c r="D35" s="481"/>
      <c r="E35" s="487">
        <v>0</v>
      </c>
      <c r="F35" s="487">
        <v>0</v>
      </c>
      <c r="G35" s="487">
        <v>0</v>
      </c>
      <c r="H35" s="487">
        <v>0</v>
      </c>
      <c r="I35" s="487">
        <v>0</v>
      </c>
    </row>
    <row r="36" spans="1:9" ht="12.75" customHeight="1">
      <c r="A36" s="486" t="s">
        <v>92</v>
      </c>
      <c r="B36" s="315"/>
      <c r="C36" s="316" t="s">
        <v>251</v>
      </c>
      <c r="D36" s="481"/>
      <c r="E36" s="487">
        <v>0</v>
      </c>
      <c r="F36" s="487">
        <v>0</v>
      </c>
      <c r="G36" s="487">
        <v>0</v>
      </c>
      <c r="H36" s="487">
        <v>0</v>
      </c>
      <c r="I36" s="487">
        <v>0</v>
      </c>
    </row>
    <row r="37" spans="1:9" ht="12.75" customHeight="1" thickBot="1">
      <c r="A37" s="496" t="s">
        <v>66</v>
      </c>
      <c r="B37" s="497"/>
      <c r="C37" s="341" t="s">
        <v>252</v>
      </c>
      <c r="D37" s="498"/>
      <c r="E37" s="499"/>
      <c r="F37" s="499">
        <v>300000</v>
      </c>
      <c r="G37" s="499">
        <v>300000</v>
      </c>
      <c r="H37" s="499">
        <v>300000</v>
      </c>
      <c r="I37" s="499">
        <v>300000</v>
      </c>
    </row>
    <row r="38" spans="1:9" s="366" customFormat="1" ht="32.25" thickBot="1">
      <c r="A38" s="850" t="s">
        <v>67</v>
      </c>
      <c r="B38" s="851" t="s">
        <v>183</v>
      </c>
      <c r="C38" s="852" t="s">
        <v>1148</v>
      </c>
      <c r="D38" s="853">
        <f>SUM(D22:D29)</f>
        <v>5</v>
      </c>
      <c r="E38" s="854">
        <f>SUM(E39:E42)</f>
        <v>14325698</v>
      </c>
      <c r="F38" s="854">
        <f>SUM(F39:F42)</f>
        <v>22031285</v>
      </c>
      <c r="G38" s="854">
        <f>SUM(G39:G42)</f>
        <v>22031285</v>
      </c>
      <c r="H38" s="854">
        <f>SUM(H39:H42)</f>
        <v>22206652</v>
      </c>
      <c r="I38" s="854">
        <f>SUM(I39:I42)</f>
        <v>24524479</v>
      </c>
    </row>
    <row r="39" spans="1:9" ht="12.75" customHeight="1">
      <c r="A39" s="855" t="s">
        <v>68</v>
      </c>
      <c r="B39" s="856"/>
      <c r="C39" s="857" t="s">
        <v>250</v>
      </c>
      <c r="D39" s="858"/>
      <c r="E39" s="859">
        <f aca="true" t="shared" si="0" ref="E39:F41">E24+E31+E35</f>
        <v>7693140</v>
      </c>
      <c r="F39" s="859">
        <f t="shared" si="0"/>
        <v>11352064</v>
      </c>
      <c r="G39" s="859">
        <f aca="true" t="shared" si="1" ref="G39:H41">G24+G31+G35</f>
        <v>11352064</v>
      </c>
      <c r="H39" s="859">
        <f t="shared" si="1"/>
        <v>11498773</v>
      </c>
      <c r="I39" s="859">
        <f>I24+I31+I35</f>
        <v>11597373</v>
      </c>
    </row>
    <row r="40" spans="1:9" ht="12.75" customHeight="1">
      <c r="A40" s="486" t="s">
        <v>70</v>
      </c>
      <c r="B40" s="845"/>
      <c r="C40" s="424" t="s">
        <v>251</v>
      </c>
      <c r="D40" s="846"/>
      <c r="E40" s="860">
        <f t="shared" si="0"/>
        <v>1553272</v>
      </c>
      <c r="F40" s="860">
        <f t="shared" si="0"/>
        <v>2290286</v>
      </c>
      <c r="G40" s="860">
        <f t="shared" si="1"/>
        <v>2290286</v>
      </c>
      <c r="H40" s="860">
        <f t="shared" si="1"/>
        <v>2318894</v>
      </c>
      <c r="I40" s="860">
        <f>I25+I32+I36</f>
        <v>2338121</v>
      </c>
    </row>
    <row r="41" spans="1:9" ht="12.75" customHeight="1">
      <c r="A41" s="486" t="s">
        <v>97</v>
      </c>
      <c r="B41" s="845"/>
      <c r="C41" s="424" t="s">
        <v>252</v>
      </c>
      <c r="D41" s="846"/>
      <c r="E41" s="860">
        <f t="shared" si="0"/>
        <v>5015296</v>
      </c>
      <c r="F41" s="860">
        <f t="shared" si="0"/>
        <v>7888935</v>
      </c>
      <c r="G41" s="860">
        <f t="shared" si="1"/>
        <v>7888935</v>
      </c>
      <c r="H41" s="860">
        <f t="shared" si="1"/>
        <v>7888985</v>
      </c>
      <c r="I41" s="860">
        <f>I26+I33+I37</f>
        <v>10088985</v>
      </c>
    </row>
    <row r="42" spans="1:9" ht="12.75" customHeight="1">
      <c r="A42" s="486" t="s">
        <v>99</v>
      </c>
      <c r="B42" s="845"/>
      <c r="C42" s="424" t="s">
        <v>249</v>
      </c>
      <c r="D42" s="846"/>
      <c r="E42" s="861">
        <f>SUM(E29)</f>
        <v>63990</v>
      </c>
      <c r="F42" s="861">
        <f>SUM(F29)</f>
        <v>500000</v>
      </c>
      <c r="G42" s="861">
        <f>SUM(G29)</f>
        <v>500000</v>
      </c>
      <c r="H42" s="861">
        <f>SUM(H29)</f>
        <v>500000</v>
      </c>
      <c r="I42" s="861">
        <f>SUM(I29)</f>
        <v>500000</v>
      </c>
    </row>
    <row r="43" spans="1:9" s="849" customFormat="1" ht="12.75" customHeight="1">
      <c r="A43" s="862" t="s">
        <v>101</v>
      </c>
      <c r="B43" s="848"/>
      <c r="C43" s="848" t="s">
        <v>792</v>
      </c>
      <c r="D43" s="848"/>
      <c r="E43" s="863">
        <v>63990</v>
      </c>
      <c r="F43" s="863">
        <v>500000</v>
      </c>
      <c r="G43" s="863">
        <v>500000</v>
      </c>
      <c r="H43" s="863">
        <v>500000</v>
      </c>
      <c r="I43" s="863">
        <v>500000</v>
      </c>
    </row>
    <row r="44" spans="1:9" s="547" customFormat="1" ht="12.75" customHeight="1" thickBot="1">
      <c r="A44" s="864" t="s">
        <v>103</v>
      </c>
      <c r="B44" s="865"/>
      <c r="C44" s="865" t="s">
        <v>793</v>
      </c>
      <c r="D44" s="865"/>
      <c r="E44" s="866">
        <v>0</v>
      </c>
      <c r="F44" s="866"/>
      <c r="G44" s="866"/>
      <c r="H44" s="866"/>
      <c r="I44" s="866"/>
    </row>
  </sheetData>
  <sheetProtection selectLockedCells="1" selectUnlockedCells="1"/>
  <mergeCells count="21">
    <mergeCell ref="D3:G3"/>
    <mergeCell ref="A19:B19"/>
    <mergeCell ref="A21:B22"/>
    <mergeCell ref="A8:B8"/>
    <mergeCell ref="A9:B9"/>
    <mergeCell ref="A13:B13"/>
    <mergeCell ref="A14:B14"/>
    <mergeCell ref="A15:B15"/>
    <mergeCell ref="A16:B16"/>
    <mergeCell ref="A10:B10"/>
    <mergeCell ref="A11:B11"/>
    <mergeCell ref="A4:I4"/>
    <mergeCell ref="A1:I1"/>
    <mergeCell ref="A2:I2"/>
    <mergeCell ref="A17:B17"/>
    <mergeCell ref="C17:D17"/>
    <mergeCell ref="A18:B18"/>
    <mergeCell ref="C18:D18"/>
    <mergeCell ref="A7:B7"/>
    <mergeCell ref="C7:D7"/>
    <mergeCell ref="A12:B12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view="pageBreakPreview" zoomScaleSheetLayoutView="100" zoomScalePageLayoutView="0" workbookViewId="0" topLeftCell="A1">
      <selection activeCell="H17" sqref="H17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9.140625" style="0" customWidth="1"/>
    <col min="4" max="4" width="7.00390625" style="0" customWidth="1"/>
    <col min="5" max="9" width="20.00390625" style="162" customWidth="1"/>
  </cols>
  <sheetData>
    <row r="1" spans="1:9" s="177" customFormat="1" ht="18" customHeight="1">
      <c r="A1" s="1764" t="s">
        <v>503</v>
      </c>
      <c r="B1" s="1764"/>
      <c r="C1" s="1764"/>
      <c r="D1" s="1764"/>
      <c r="E1" s="1764"/>
      <c r="F1" s="1764"/>
      <c r="G1" s="1764"/>
      <c r="H1" s="1764"/>
      <c r="I1" s="1764"/>
    </row>
    <row r="2" spans="1:9" ht="12.75" customHeight="1">
      <c r="A2" s="1828" t="s">
        <v>1181</v>
      </c>
      <c r="B2" s="1828"/>
      <c r="C2" s="1828"/>
      <c r="D2" s="1828"/>
      <c r="E2" s="1828"/>
      <c r="F2" s="1828"/>
      <c r="G2" s="1828"/>
      <c r="H2" s="1828"/>
      <c r="I2" s="1828"/>
    </row>
    <row r="3" spans="1:9" ht="12.75" customHeight="1">
      <c r="A3" s="78"/>
      <c r="B3" s="78"/>
      <c r="C3" s="78"/>
      <c r="D3" s="78"/>
      <c r="E3" s="1765" t="s">
        <v>1183</v>
      </c>
      <c r="F3" s="1765"/>
      <c r="G3" s="1765"/>
      <c r="H3"/>
      <c r="I3" s="1" t="s">
        <v>1187</v>
      </c>
    </row>
    <row r="4" spans="1:9" ht="12.75" customHeight="1">
      <c r="A4" s="78"/>
      <c r="B4" s="78"/>
      <c r="C4" s="78"/>
      <c r="D4" s="78"/>
      <c r="E4"/>
      <c r="F4"/>
      <c r="G4"/>
      <c r="H4"/>
      <c r="I4"/>
    </row>
    <row r="5" spans="1:9" ht="42.75" customHeight="1">
      <c r="A5" s="1777" t="s">
        <v>1020</v>
      </c>
      <c r="B5" s="1777"/>
      <c r="C5" s="1777"/>
      <c r="D5" s="1777"/>
      <c r="E5" s="1777"/>
      <c r="F5" s="1777"/>
      <c r="G5" s="1777"/>
      <c r="H5" s="1777"/>
      <c r="I5" s="1777"/>
    </row>
    <row r="6" spans="3:4" ht="18.75" customHeight="1">
      <c r="C6" s="192"/>
      <c r="D6" s="192"/>
    </row>
    <row r="7" spans="5:9" ht="12.75" customHeight="1" thickBot="1">
      <c r="E7" s="931"/>
      <c r="F7" s="931"/>
      <c r="G7" s="931"/>
      <c r="H7" s="931"/>
      <c r="I7" s="931" t="s">
        <v>214</v>
      </c>
    </row>
    <row r="8" spans="1:9" ht="56.25" customHeight="1" thickBot="1">
      <c r="A8" s="1860" t="s">
        <v>156</v>
      </c>
      <c r="B8" s="1860"/>
      <c r="C8" s="1861" t="s">
        <v>157</v>
      </c>
      <c r="D8" s="1861"/>
      <c r="E8" s="198" t="s">
        <v>1078</v>
      </c>
      <c r="F8" s="198" t="s">
        <v>997</v>
      </c>
      <c r="G8" s="198" t="s">
        <v>1139</v>
      </c>
      <c r="H8" s="198" t="s">
        <v>1141</v>
      </c>
      <c r="I8" s="198" t="s">
        <v>1164</v>
      </c>
    </row>
    <row r="9" spans="1:9" ht="12.75" customHeight="1">
      <c r="A9" s="1862" t="s">
        <v>158</v>
      </c>
      <c r="B9" s="1862"/>
      <c r="C9" s="1852" t="s">
        <v>159</v>
      </c>
      <c r="D9" s="1852"/>
      <c r="E9" s="199" t="s">
        <v>160</v>
      </c>
      <c r="F9" s="199" t="s">
        <v>161</v>
      </c>
      <c r="G9" s="199" t="s">
        <v>462</v>
      </c>
      <c r="H9" s="199" t="s">
        <v>482</v>
      </c>
      <c r="I9" s="199" t="s">
        <v>715</v>
      </c>
    </row>
    <row r="10" spans="1:9" ht="12.75" customHeight="1">
      <c r="A10" s="1859" t="s">
        <v>38</v>
      </c>
      <c r="B10" s="1859"/>
      <c r="C10" s="200" t="s">
        <v>234</v>
      </c>
      <c r="D10" s="201"/>
      <c r="E10" s="202">
        <f>SUM(E11:E16)</f>
        <v>1738790</v>
      </c>
      <c r="F10" s="202">
        <f>SUM(F11:F14)</f>
        <v>1212000</v>
      </c>
      <c r="G10" s="202">
        <f>SUM(G11:G14)</f>
        <v>1212000</v>
      </c>
      <c r="H10" s="202">
        <f>SUM(H11:H15)</f>
        <v>1212003</v>
      </c>
      <c r="I10" s="202">
        <f>SUM(I11:I15)</f>
        <v>1515227</v>
      </c>
    </row>
    <row r="11" spans="1:9" s="122" customFormat="1" ht="12.75" customHeight="1">
      <c r="A11" s="1856" t="s">
        <v>40</v>
      </c>
      <c r="B11" s="1857"/>
      <c r="C11" s="504" t="s">
        <v>585</v>
      </c>
      <c r="D11" s="505"/>
      <c r="E11" s="506">
        <v>211001</v>
      </c>
      <c r="F11" s="506">
        <v>212000</v>
      </c>
      <c r="G11" s="506">
        <v>212000</v>
      </c>
      <c r="H11" s="506">
        <v>212000</v>
      </c>
      <c r="I11" s="506">
        <v>212000</v>
      </c>
    </row>
    <row r="12" spans="1:9" s="122" customFormat="1" ht="12.75" customHeight="1">
      <c r="A12" s="1856" t="s">
        <v>47</v>
      </c>
      <c r="B12" s="1857"/>
      <c r="C12" s="504" t="s">
        <v>176</v>
      </c>
      <c r="D12" s="505"/>
      <c r="E12" s="506">
        <v>776710</v>
      </c>
      <c r="F12" s="506">
        <v>780000</v>
      </c>
      <c r="G12" s="506">
        <v>780000</v>
      </c>
      <c r="H12" s="506">
        <v>780000</v>
      </c>
      <c r="I12" s="506">
        <v>1003215</v>
      </c>
    </row>
    <row r="13" spans="1:9" s="122" customFormat="1" ht="12.75" customHeight="1">
      <c r="A13" s="1856" t="s">
        <v>49</v>
      </c>
      <c r="B13" s="1857"/>
      <c r="C13" s="504" t="s">
        <v>179</v>
      </c>
      <c r="D13" s="505"/>
      <c r="E13" s="506">
        <v>218077</v>
      </c>
      <c r="F13" s="506">
        <v>220000</v>
      </c>
      <c r="G13" s="506">
        <v>220000</v>
      </c>
      <c r="H13" s="506">
        <v>220000</v>
      </c>
      <c r="I13" s="506">
        <v>300000</v>
      </c>
    </row>
    <row r="14" spans="1:9" s="122" customFormat="1" ht="12.75" customHeight="1">
      <c r="A14" s="1867" t="s">
        <v>51</v>
      </c>
      <c r="B14" s="1868"/>
      <c r="C14" s="736" t="s">
        <v>180</v>
      </c>
      <c r="D14" s="737"/>
      <c r="E14" s="738">
        <v>2</v>
      </c>
      <c r="F14" s="738">
        <v>0</v>
      </c>
      <c r="G14" s="738">
        <v>0</v>
      </c>
      <c r="H14" s="738">
        <v>0</v>
      </c>
      <c r="I14" s="738">
        <v>0</v>
      </c>
    </row>
    <row r="15" spans="1:9" s="122" customFormat="1" ht="12.75" customHeight="1">
      <c r="A15" s="1853" t="s">
        <v>53</v>
      </c>
      <c r="B15" s="1853"/>
      <c r="C15" s="1875" t="s">
        <v>181</v>
      </c>
      <c r="D15" s="1876"/>
      <c r="E15" s="790"/>
      <c r="F15" s="790">
        <v>0</v>
      </c>
      <c r="G15" s="790">
        <v>0</v>
      </c>
      <c r="H15" s="790">
        <v>3</v>
      </c>
      <c r="I15" s="790">
        <v>12</v>
      </c>
    </row>
    <row r="16" spans="1:9" s="122" customFormat="1" ht="12.75" customHeight="1">
      <c r="A16" s="1853" t="s">
        <v>55</v>
      </c>
      <c r="B16" s="1853"/>
      <c r="C16" s="1052" t="s">
        <v>710</v>
      </c>
      <c r="D16" s="1052"/>
      <c r="E16" s="790">
        <v>533000</v>
      </c>
      <c r="F16" s="790">
        <v>0</v>
      </c>
      <c r="G16" s="790">
        <v>0</v>
      </c>
      <c r="H16" s="790">
        <v>0</v>
      </c>
      <c r="I16" s="790">
        <v>0</v>
      </c>
    </row>
    <row r="17" spans="1:9" ht="12.75" customHeight="1" thickBot="1">
      <c r="A17" s="1864" t="s">
        <v>57</v>
      </c>
      <c r="B17" s="1864"/>
      <c r="C17" s="1040" t="s">
        <v>800</v>
      </c>
      <c r="D17" s="1041"/>
      <c r="E17" s="1042">
        <v>1348461</v>
      </c>
      <c r="F17" s="1042">
        <v>0</v>
      </c>
      <c r="G17" s="1042">
        <v>0</v>
      </c>
      <c r="H17" s="1042">
        <v>0</v>
      </c>
      <c r="I17" s="1042">
        <v>1156271</v>
      </c>
    </row>
    <row r="18" spans="1:9" s="99" customFormat="1" ht="17.25" customHeight="1" thickBot="1">
      <c r="A18" s="1865" t="s">
        <v>86</v>
      </c>
      <c r="B18" s="1866"/>
      <c r="C18" s="1834" t="s">
        <v>485</v>
      </c>
      <c r="D18" s="1834"/>
      <c r="E18" s="446">
        <f>SUM(E10+E17)</f>
        <v>3087251</v>
      </c>
      <c r="F18" s="446">
        <f>SUM(F10+F17)</f>
        <v>1212000</v>
      </c>
      <c r="G18" s="446">
        <f>SUM(G10+G17)</f>
        <v>1212000</v>
      </c>
      <c r="H18" s="446">
        <f>SUM(H10+H17)</f>
        <v>1212003</v>
      </c>
      <c r="I18" s="446">
        <f>SUM(I10+I17)</f>
        <v>2671498</v>
      </c>
    </row>
    <row r="19" spans="1:9" ht="12.75" customHeight="1">
      <c r="A19" s="1877" t="s">
        <v>59</v>
      </c>
      <c r="B19" s="1877"/>
      <c r="C19" s="180" t="s">
        <v>235</v>
      </c>
      <c r="D19" s="474"/>
      <c r="E19" s="631">
        <v>790211</v>
      </c>
      <c r="F19" s="631">
        <v>267350</v>
      </c>
      <c r="G19" s="631">
        <v>267350</v>
      </c>
      <c r="H19" s="631">
        <v>267350</v>
      </c>
      <c r="I19" s="631">
        <v>267350</v>
      </c>
    </row>
    <row r="20" spans="1:9" ht="12.75" customHeight="1">
      <c r="A20" s="1878" t="s">
        <v>61</v>
      </c>
      <c r="B20" s="1878"/>
      <c r="C20" s="179" t="s">
        <v>498</v>
      </c>
      <c r="D20" s="178"/>
      <c r="E20" s="203">
        <v>79073705</v>
      </c>
      <c r="F20" s="203">
        <f>SUM(F22+F21)</f>
        <v>87468794</v>
      </c>
      <c r="G20" s="203">
        <f>SUM(G22+G21)</f>
        <v>87468794</v>
      </c>
      <c r="H20" s="203">
        <f>SUM(H22+H21)</f>
        <v>94927994</v>
      </c>
      <c r="I20" s="203">
        <f>SUM(I22+I21)</f>
        <v>94927994</v>
      </c>
    </row>
    <row r="21" spans="1:9" s="122" customFormat="1" ht="12.75" customHeight="1">
      <c r="A21" s="1879" t="s">
        <v>63</v>
      </c>
      <c r="B21" s="1879"/>
      <c r="C21" s="1863" t="s">
        <v>487</v>
      </c>
      <c r="D21" s="1863"/>
      <c r="E21" s="203">
        <v>59519465</v>
      </c>
      <c r="F21" s="203">
        <v>62033420</v>
      </c>
      <c r="G21" s="203">
        <v>62033420</v>
      </c>
      <c r="H21" s="203">
        <v>69492620</v>
      </c>
      <c r="I21" s="203">
        <v>69492620</v>
      </c>
    </row>
    <row r="22" spans="1:9" s="122" customFormat="1" ht="12.75" customHeight="1" thickBot="1">
      <c r="A22" s="1882" t="s">
        <v>65</v>
      </c>
      <c r="B22" s="1882"/>
      <c r="C22" s="1869" t="s">
        <v>505</v>
      </c>
      <c r="D22" s="1869"/>
      <c r="E22" s="208">
        <v>19554240</v>
      </c>
      <c r="F22" s="208">
        <v>25435374</v>
      </c>
      <c r="G22" s="208">
        <v>25435374</v>
      </c>
      <c r="H22" s="208">
        <v>25435374</v>
      </c>
      <c r="I22" s="208">
        <v>25435374</v>
      </c>
    </row>
    <row r="23" spans="1:9" s="10" customFormat="1" ht="19.5" customHeight="1" thickBot="1">
      <c r="A23" s="1870" t="s">
        <v>92</v>
      </c>
      <c r="B23" s="1871"/>
      <c r="C23" s="1834" t="s">
        <v>499</v>
      </c>
      <c r="D23" s="1834"/>
      <c r="E23" s="446">
        <f>SUM(E19+E20)</f>
        <v>79863916</v>
      </c>
      <c r="F23" s="446">
        <f>SUM(F19+F20)</f>
        <v>87736144</v>
      </c>
      <c r="G23" s="446">
        <f>SUM(G19+G20)</f>
        <v>87736144</v>
      </c>
      <c r="H23" s="446">
        <f>SUM(H19+H20)</f>
        <v>95195344</v>
      </c>
      <c r="I23" s="446">
        <f>SUM(I19+I20)</f>
        <v>95195344</v>
      </c>
    </row>
    <row r="24" spans="1:9" ht="21" customHeight="1" thickBot="1">
      <c r="A24" s="1872" t="s">
        <v>66</v>
      </c>
      <c r="B24" s="1872"/>
      <c r="C24" s="501" t="s">
        <v>116</v>
      </c>
      <c r="D24" s="502"/>
      <c r="E24" s="503">
        <f>SUM(E18+E23)</f>
        <v>82951167</v>
      </c>
      <c r="F24" s="503">
        <f>SUM(F18+F23)</f>
        <v>88948144</v>
      </c>
      <c r="G24" s="503">
        <f>SUM(G18+G23)</f>
        <v>88948144</v>
      </c>
      <c r="H24" s="503">
        <f>SUM(H18+H23)</f>
        <v>96407347</v>
      </c>
      <c r="I24" s="503">
        <f>SUM(I18+I23)</f>
        <v>97866842</v>
      </c>
    </row>
    <row r="25" spans="1:9" ht="21" customHeight="1">
      <c r="A25" s="204"/>
      <c r="B25" s="204"/>
      <c r="C25" s="205"/>
      <c r="D25" s="205"/>
      <c r="E25" s="206"/>
      <c r="F25" s="206"/>
      <c r="G25" s="206"/>
      <c r="H25" s="206"/>
      <c r="I25" s="206"/>
    </row>
    <row r="26" ht="12.75" customHeight="1" thickBot="1"/>
    <row r="27" spans="1:9" ht="63.75" customHeight="1" thickBot="1">
      <c r="A27" s="1873" t="s">
        <v>156</v>
      </c>
      <c r="B27" s="1874"/>
      <c r="C27" s="1502" t="s">
        <v>246</v>
      </c>
      <c r="D27" s="1503" t="s">
        <v>500</v>
      </c>
      <c r="E27" s="1513" t="s">
        <v>1078</v>
      </c>
      <c r="F27" s="1529" t="s">
        <v>997</v>
      </c>
      <c r="G27" s="1513" t="s">
        <v>1139</v>
      </c>
      <c r="H27" s="1529" t="s">
        <v>1141</v>
      </c>
      <c r="I27" s="1513" t="s">
        <v>1164</v>
      </c>
    </row>
    <row r="28" spans="1:9" ht="12.75" customHeight="1" thickBot="1">
      <c r="A28" s="1873" t="s">
        <v>158</v>
      </c>
      <c r="B28" s="1874"/>
      <c r="C28" s="1502" t="s">
        <v>506</v>
      </c>
      <c r="D28" s="1503" t="s">
        <v>160</v>
      </c>
      <c r="E28" s="1514" t="s">
        <v>161</v>
      </c>
      <c r="F28" s="1530" t="s">
        <v>462</v>
      </c>
      <c r="G28" s="1514" t="s">
        <v>482</v>
      </c>
      <c r="H28" s="1530" t="s">
        <v>715</v>
      </c>
      <c r="I28" s="1514" t="s">
        <v>796</v>
      </c>
    </row>
    <row r="29" spans="1:9" ht="12.75" customHeight="1">
      <c r="A29" s="1883" t="s">
        <v>38</v>
      </c>
      <c r="B29" s="1883"/>
      <c r="C29" s="185" t="s">
        <v>263</v>
      </c>
      <c r="D29" s="1504">
        <v>13</v>
      </c>
      <c r="E29" s="1515">
        <f>SUM(E30:E33)</f>
        <v>76541446</v>
      </c>
      <c r="F29" s="1531">
        <f>SUM(F30:F33)</f>
        <v>83886884</v>
      </c>
      <c r="G29" s="1515">
        <f>SUM(G30:G33)</f>
        <v>83886884</v>
      </c>
      <c r="H29" s="1531">
        <f>SUM(H30:H33)</f>
        <v>91346087</v>
      </c>
      <c r="I29" s="1515">
        <f>SUM(I30:I33)</f>
        <v>91649311</v>
      </c>
    </row>
    <row r="30" spans="1:9" ht="12.75" customHeight="1">
      <c r="A30" s="1881" t="s">
        <v>40</v>
      </c>
      <c r="B30" s="1881"/>
      <c r="C30" s="17" t="s">
        <v>250</v>
      </c>
      <c r="D30" s="1505"/>
      <c r="E30" s="1516">
        <v>54865577</v>
      </c>
      <c r="F30" s="1532">
        <v>60931971</v>
      </c>
      <c r="G30" s="1516">
        <v>60931971</v>
      </c>
      <c r="H30" s="1532">
        <v>67173979</v>
      </c>
      <c r="I30" s="1516">
        <v>67173979</v>
      </c>
    </row>
    <row r="31" spans="1:9" ht="12.75" customHeight="1">
      <c r="A31" s="1881" t="s">
        <v>47</v>
      </c>
      <c r="B31" s="1881"/>
      <c r="C31" s="17" t="s">
        <v>251</v>
      </c>
      <c r="D31" s="1505"/>
      <c r="E31" s="1516">
        <v>10755547</v>
      </c>
      <c r="F31" s="1532">
        <v>11745913</v>
      </c>
      <c r="G31" s="1516">
        <v>11745913</v>
      </c>
      <c r="H31" s="1532">
        <v>12963105</v>
      </c>
      <c r="I31" s="1516">
        <v>12963105</v>
      </c>
    </row>
    <row r="32" spans="1:9" ht="12.75" customHeight="1">
      <c r="A32" s="1881" t="s">
        <v>49</v>
      </c>
      <c r="B32" s="1881"/>
      <c r="C32" s="17" t="s">
        <v>252</v>
      </c>
      <c r="D32" s="1505"/>
      <c r="E32" s="1516">
        <v>10708844</v>
      </c>
      <c r="F32" s="1532">
        <v>10709000</v>
      </c>
      <c r="G32" s="1516">
        <v>10709000</v>
      </c>
      <c r="H32" s="1532">
        <v>10709003</v>
      </c>
      <c r="I32" s="1516">
        <v>10787437</v>
      </c>
    </row>
    <row r="33" spans="1:9" ht="12.75" customHeight="1">
      <c r="A33" s="1881" t="s">
        <v>51</v>
      </c>
      <c r="B33" s="1881"/>
      <c r="C33" s="17" t="s">
        <v>249</v>
      </c>
      <c r="D33" s="1505"/>
      <c r="E33" s="1516">
        <v>211478</v>
      </c>
      <c r="F33" s="1532">
        <v>500000</v>
      </c>
      <c r="G33" s="1516">
        <v>500000</v>
      </c>
      <c r="H33" s="1532">
        <v>500000</v>
      </c>
      <c r="I33" s="1516">
        <v>724790</v>
      </c>
    </row>
    <row r="34" spans="1:9" ht="12.75" customHeight="1">
      <c r="A34" s="1884" t="s">
        <v>53</v>
      </c>
      <c r="B34" s="1884"/>
      <c r="C34" s="9" t="s">
        <v>507</v>
      </c>
      <c r="D34" s="1506">
        <v>1</v>
      </c>
      <c r="E34" s="1517">
        <f>SUM(E35:E37)</f>
        <v>5061260</v>
      </c>
      <c r="F34" s="1533">
        <f>SUM(F35:F37)</f>
        <v>5061260</v>
      </c>
      <c r="G34" s="1517">
        <f>SUM(G35:G37)</f>
        <v>5061260</v>
      </c>
      <c r="H34" s="1533">
        <f>SUM(H35:H37)</f>
        <v>5061260</v>
      </c>
      <c r="I34" s="1517">
        <f>SUM(I35:I37)</f>
        <v>5061260</v>
      </c>
    </row>
    <row r="35" spans="1:9" ht="12.75" customHeight="1">
      <c r="A35" s="1881" t="s">
        <v>55</v>
      </c>
      <c r="B35" s="1881"/>
      <c r="C35" s="17" t="s">
        <v>250</v>
      </c>
      <c r="D35" s="1505"/>
      <c r="E35" s="1516">
        <v>4213492</v>
      </c>
      <c r="F35" s="1532">
        <f>SUM(4216699)</f>
        <v>4216699</v>
      </c>
      <c r="G35" s="1516">
        <f>SUM(4216699)</f>
        <v>4216699</v>
      </c>
      <c r="H35" s="1532">
        <f>SUM(4216699)</f>
        <v>4216699</v>
      </c>
      <c r="I35" s="1516">
        <f>SUM(4216699)</f>
        <v>4216699</v>
      </c>
    </row>
    <row r="36" spans="1:9" ht="12.75" customHeight="1">
      <c r="A36" s="1881" t="s">
        <v>57</v>
      </c>
      <c r="B36" s="1881"/>
      <c r="C36" s="17" t="s">
        <v>251</v>
      </c>
      <c r="D36" s="1505"/>
      <c r="E36" s="1516">
        <v>847768</v>
      </c>
      <c r="F36" s="1532">
        <f>SUM(844561)</f>
        <v>844561</v>
      </c>
      <c r="G36" s="1516">
        <f>SUM(844561)</f>
        <v>844561</v>
      </c>
      <c r="H36" s="1532">
        <f>SUM(844561)</f>
        <v>844561</v>
      </c>
      <c r="I36" s="1516">
        <f>SUM(844561)</f>
        <v>844561</v>
      </c>
    </row>
    <row r="37" spans="1:9" ht="12.75" customHeight="1">
      <c r="A37" s="1881" t="s">
        <v>86</v>
      </c>
      <c r="B37" s="1881"/>
      <c r="C37" s="17" t="s">
        <v>252</v>
      </c>
      <c r="D37" s="1505"/>
      <c r="E37" s="1516">
        <v>0</v>
      </c>
      <c r="F37" s="1532">
        <v>0</v>
      </c>
      <c r="G37" s="1516">
        <v>0</v>
      </c>
      <c r="H37" s="1532">
        <v>0</v>
      </c>
      <c r="I37" s="1516">
        <v>0</v>
      </c>
    </row>
    <row r="38" spans="1:9" s="10" customFormat="1" ht="12.75" customHeight="1">
      <c r="A38" s="1884" t="s">
        <v>59</v>
      </c>
      <c r="B38" s="1884"/>
      <c r="C38" s="75" t="s">
        <v>508</v>
      </c>
      <c r="D38" s="1507"/>
      <c r="E38" s="1518">
        <f>SUM(E39:E41)</f>
        <v>1348461</v>
      </c>
      <c r="F38" s="1534">
        <f>SUM(F39:F41)</f>
        <v>0</v>
      </c>
      <c r="G38" s="1518">
        <f>SUM(G39:G41)</f>
        <v>0</v>
      </c>
      <c r="H38" s="1534">
        <f>SUM(H39:H41)</f>
        <v>0</v>
      </c>
      <c r="I38" s="1518">
        <f>SUM(I39:I41)</f>
        <v>0</v>
      </c>
    </row>
    <row r="39" spans="1:9" ht="12.75" customHeight="1">
      <c r="A39" s="1881" t="s">
        <v>61</v>
      </c>
      <c r="B39" s="1881"/>
      <c r="C39" s="17" t="s">
        <v>250</v>
      </c>
      <c r="D39" s="1508"/>
      <c r="E39" s="1519">
        <v>1007237</v>
      </c>
      <c r="F39" s="1535"/>
      <c r="G39" s="1519"/>
      <c r="H39" s="1535"/>
      <c r="I39" s="1519"/>
    </row>
    <row r="40" spans="1:9" ht="12.75" customHeight="1">
      <c r="A40" s="1881" t="s">
        <v>63</v>
      </c>
      <c r="B40" s="1881"/>
      <c r="C40" s="17" t="s">
        <v>251</v>
      </c>
      <c r="D40" s="1508"/>
      <c r="E40" s="1519">
        <v>204255</v>
      </c>
      <c r="F40" s="1535"/>
      <c r="G40" s="1519"/>
      <c r="H40" s="1535"/>
      <c r="I40" s="1519"/>
    </row>
    <row r="41" spans="1:9" ht="12.75" customHeight="1">
      <c r="A41" s="1880" t="s">
        <v>65</v>
      </c>
      <c r="B41" s="1880"/>
      <c r="C41" s="144" t="s">
        <v>252</v>
      </c>
      <c r="D41" s="1508"/>
      <c r="E41" s="1519">
        <v>136969</v>
      </c>
      <c r="F41" s="1535"/>
      <c r="G41" s="1519"/>
      <c r="H41" s="1535"/>
      <c r="I41" s="1519"/>
    </row>
    <row r="42" spans="1:9" s="10" customFormat="1" ht="12.75" customHeight="1">
      <c r="A42" s="1854" t="s">
        <v>92</v>
      </c>
      <c r="B42" s="1854"/>
      <c r="C42" s="421" t="s">
        <v>1165</v>
      </c>
      <c r="D42" s="1391"/>
      <c r="E42" s="1520"/>
      <c r="F42" s="1536"/>
      <c r="G42" s="1520"/>
      <c r="H42" s="1536"/>
      <c r="I42" s="1520">
        <f>SUM(I43:I45)</f>
        <v>1156271</v>
      </c>
    </row>
    <row r="43" spans="1:9" ht="12.75" customHeight="1">
      <c r="A43" s="1855" t="s">
        <v>66</v>
      </c>
      <c r="B43" s="1855"/>
      <c r="C43" s="17" t="s">
        <v>250</v>
      </c>
      <c r="D43" s="1389"/>
      <c r="E43" s="1521"/>
      <c r="F43" s="1537"/>
      <c r="G43" s="1521"/>
      <c r="H43" s="1537"/>
      <c r="I43" s="1521">
        <v>798787</v>
      </c>
    </row>
    <row r="44" spans="1:9" ht="12.75" customHeight="1">
      <c r="A44" s="1855" t="s">
        <v>67</v>
      </c>
      <c r="B44" s="1855"/>
      <c r="C44" s="17" t="s">
        <v>251</v>
      </c>
      <c r="D44" s="1389"/>
      <c r="E44" s="1521"/>
      <c r="F44" s="1537"/>
      <c r="G44" s="1521"/>
      <c r="H44" s="1537"/>
      <c r="I44" s="1521">
        <v>192545</v>
      </c>
    </row>
    <row r="45" spans="1:9" ht="12.75" customHeight="1" thickBot="1">
      <c r="A45" s="1858" t="s">
        <v>68</v>
      </c>
      <c r="B45" s="1858"/>
      <c r="C45" s="144" t="s">
        <v>252</v>
      </c>
      <c r="D45" s="1509"/>
      <c r="E45" s="1522"/>
      <c r="F45" s="1538"/>
      <c r="G45" s="1522"/>
      <c r="H45" s="1538"/>
      <c r="I45" s="1522">
        <v>164939</v>
      </c>
    </row>
    <row r="46" spans="1:9" ht="36.75" customHeight="1" thickBot="1">
      <c r="A46" s="1889" t="s">
        <v>70</v>
      </c>
      <c r="B46" s="1890"/>
      <c r="C46" s="1266" t="s">
        <v>238</v>
      </c>
      <c r="D46" s="1510">
        <f>SUM(D29:D34)</f>
        <v>14</v>
      </c>
      <c r="E46" s="1523">
        <f>SUM(E47:E50)</f>
        <v>82951167</v>
      </c>
      <c r="F46" s="1539">
        <f>SUM(F47:F50)</f>
        <v>88948144</v>
      </c>
      <c r="G46" s="1523">
        <f>SUM(G47:G50)</f>
        <v>88948144</v>
      </c>
      <c r="H46" s="1539">
        <f>SUM(H47:H50)</f>
        <v>96407347</v>
      </c>
      <c r="I46" s="1523">
        <f>SUM(I47:I50)</f>
        <v>97866842</v>
      </c>
    </row>
    <row r="47" spans="1:9" ht="12.75" customHeight="1">
      <c r="A47" s="1891" t="s">
        <v>97</v>
      </c>
      <c r="B47" s="1892"/>
      <c r="C47" s="868" t="s">
        <v>250</v>
      </c>
      <c r="D47" s="1381"/>
      <c r="E47" s="1524">
        <f aca="true" t="shared" si="0" ref="E47:H49">SUM(E30+E35)+E39</f>
        <v>60086306</v>
      </c>
      <c r="F47" s="1540">
        <f t="shared" si="0"/>
        <v>65148670</v>
      </c>
      <c r="G47" s="1524">
        <f t="shared" si="0"/>
        <v>65148670</v>
      </c>
      <c r="H47" s="1540">
        <f t="shared" si="0"/>
        <v>71390678</v>
      </c>
      <c r="I47" s="1524">
        <f>SUM(I30+I35)+I39+I43</f>
        <v>72189465</v>
      </c>
    </row>
    <row r="48" spans="1:9" ht="12.75" customHeight="1">
      <c r="A48" s="1893" t="s">
        <v>99</v>
      </c>
      <c r="B48" s="1880"/>
      <c r="C48" s="843" t="s">
        <v>251</v>
      </c>
      <c r="D48" s="1383"/>
      <c r="E48" s="1525">
        <f t="shared" si="0"/>
        <v>11807570</v>
      </c>
      <c r="F48" s="1541">
        <f t="shared" si="0"/>
        <v>12590474</v>
      </c>
      <c r="G48" s="1525">
        <f t="shared" si="0"/>
        <v>12590474</v>
      </c>
      <c r="H48" s="1541">
        <f t="shared" si="0"/>
        <v>13807666</v>
      </c>
      <c r="I48" s="1525">
        <f>SUM(I31+I36)+I40+I44</f>
        <v>14000211</v>
      </c>
    </row>
    <row r="49" spans="1:9" ht="12.75" customHeight="1">
      <c r="A49" s="1894" t="s">
        <v>101</v>
      </c>
      <c r="B49" s="1855"/>
      <c r="C49" s="424" t="s">
        <v>252</v>
      </c>
      <c r="D49" s="1511"/>
      <c r="E49" s="1526">
        <f t="shared" si="0"/>
        <v>10845813</v>
      </c>
      <c r="F49" s="1542">
        <f t="shared" si="0"/>
        <v>10709000</v>
      </c>
      <c r="G49" s="1526">
        <f t="shared" si="0"/>
        <v>10709000</v>
      </c>
      <c r="H49" s="1542">
        <f t="shared" si="0"/>
        <v>10709003</v>
      </c>
      <c r="I49" s="1526">
        <f>SUM(I32+I37)+I41+I45</f>
        <v>10952376</v>
      </c>
    </row>
    <row r="50" spans="1:9" ht="12.75" customHeight="1">
      <c r="A50" s="1894" t="s">
        <v>103</v>
      </c>
      <c r="B50" s="1855"/>
      <c r="C50" s="424" t="s">
        <v>259</v>
      </c>
      <c r="D50" s="1511"/>
      <c r="E50" s="1526">
        <f>SUM(E33)</f>
        <v>211478</v>
      </c>
      <c r="F50" s="1542">
        <f>SUM(F33)</f>
        <v>500000</v>
      </c>
      <c r="G50" s="1526">
        <f>SUM(G33)</f>
        <v>500000</v>
      </c>
      <c r="H50" s="1542">
        <f>SUM(H33)</f>
        <v>500000</v>
      </c>
      <c r="I50" s="1526">
        <f>SUM(I33)</f>
        <v>724790</v>
      </c>
    </row>
    <row r="51" spans="1:9" s="849" customFormat="1" ht="12.75" customHeight="1">
      <c r="A51" s="1885" t="s">
        <v>105</v>
      </c>
      <c r="B51" s="1886"/>
      <c r="C51" s="848" t="s">
        <v>792</v>
      </c>
      <c r="D51" s="1512"/>
      <c r="E51" s="1527">
        <v>211478</v>
      </c>
      <c r="F51" s="1543">
        <v>500000</v>
      </c>
      <c r="G51" s="1527">
        <v>500000</v>
      </c>
      <c r="H51" s="1543">
        <v>500000</v>
      </c>
      <c r="I51" s="1527">
        <v>724790</v>
      </c>
    </row>
    <row r="52" spans="1:9" s="547" customFormat="1" ht="12.75" customHeight="1" thickBot="1">
      <c r="A52" s="1887" t="s">
        <v>107</v>
      </c>
      <c r="B52" s="1888"/>
      <c r="C52" s="865" t="s">
        <v>793</v>
      </c>
      <c r="D52" s="1385"/>
      <c r="E52" s="1528"/>
      <c r="F52" s="1544"/>
      <c r="G52" s="1528"/>
      <c r="H52" s="1544"/>
      <c r="I52" s="1528"/>
    </row>
  </sheetData>
  <sheetProtection selectLockedCells="1" selectUnlockedCells="1"/>
  <mergeCells count="54">
    <mergeCell ref="E3:G3"/>
    <mergeCell ref="A51:B51"/>
    <mergeCell ref="A52:B52"/>
    <mergeCell ref="A46:B46"/>
    <mergeCell ref="A47:B47"/>
    <mergeCell ref="A48:B48"/>
    <mergeCell ref="A49:B49"/>
    <mergeCell ref="A50:B50"/>
    <mergeCell ref="A38:B38"/>
    <mergeCell ref="A39:B39"/>
    <mergeCell ref="A40:B40"/>
    <mergeCell ref="A37:B37"/>
    <mergeCell ref="A34:B34"/>
    <mergeCell ref="A35:B35"/>
    <mergeCell ref="A21:B21"/>
    <mergeCell ref="A41:B41"/>
    <mergeCell ref="A30:B30"/>
    <mergeCell ref="A31:B31"/>
    <mergeCell ref="A32:B32"/>
    <mergeCell ref="A33:B33"/>
    <mergeCell ref="A22:B22"/>
    <mergeCell ref="A36:B36"/>
    <mergeCell ref="A28:B28"/>
    <mergeCell ref="A29:B29"/>
    <mergeCell ref="A14:B14"/>
    <mergeCell ref="C22:D22"/>
    <mergeCell ref="A23:B23"/>
    <mergeCell ref="C23:D23"/>
    <mergeCell ref="A24:B24"/>
    <mergeCell ref="A27:B27"/>
    <mergeCell ref="C15:D15"/>
    <mergeCell ref="A16:B16"/>
    <mergeCell ref="A19:B19"/>
    <mergeCell ref="A20:B20"/>
    <mergeCell ref="A45:B45"/>
    <mergeCell ref="A10:B10"/>
    <mergeCell ref="A8:B8"/>
    <mergeCell ref="C8:D8"/>
    <mergeCell ref="A9:B9"/>
    <mergeCell ref="C21:D21"/>
    <mergeCell ref="A17:B17"/>
    <mergeCell ref="A18:B18"/>
    <mergeCell ref="C18:D18"/>
    <mergeCell ref="A11:B11"/>
    <mergeCell ref="C9:D9"/>
    <mergeCell ref="A15:B15"/>
    <mergeCell ref="A1:I1"/>
    <mergeCell ref="A42:B42"/>
    <mergeCell ref="A43:B43"/>
    <mergeCell ref="A44:B44"/>
    <mergeCell ref="A5:I5"/>
    <mergeCell ref="A2:I2"/>
    <mergeCell ref="A12:B12"/>
    <mergeCell ref="A13:B13"/>
  </mergeCells>
  <printOptions horizontalCentered="1"/>
  <pageMargins left="0.7086614173228347" right="0.1968503937007874" top="0.551181102362204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18" customWidth="1"/>
    <col min="2" max="2" width="14.7109375" style="18" customWidth="1"/>
    <col min="3" max="16384" width="9.140625" style="18" customWidth="1"/>
  </cols>
  <sheetData>
    <row r="1" ht="12.75" customHeight="1">
      <c r="B1" s="19" t="s">
        <v>21</v>
      </c>
    </row>
    <row r="2" spans="1:2" ht="12.75" customHeight="1">
      <c r="A2" s="1651" t="s">
        <v>22</v>
      </c>
      <c r="B2" s="1651"/>
    </row>
    <row r="3" ht="12.75" customHeight="1">
      <c r="B3" s="19"/>
    </row>
    <row r="4" ht="12.75" customHeight="1">
      <c r="A4" s="20" t="s">
        <v>23</v>
      </c>
    </row>
    <row r="6" ht="12.75" customHeight="1">
      <c r="B6" s="21" t="s">
        <v>4</v>
      </c>
    </row>
    <row r="7" spans="1:2" ht="15" customHeight="1">
      <c r="A7" s="22" t="s">
        <v>24</v>
      </c>
      <c r="B7" s="22" t="s">
        <v>25</v>
      </c>
    </row>
    <row r="8" spans="1:2" ht="12.75" customHeight="1">
      <c r="A8" s="23" t="s">
        <v>26</v>
      </c>
      <c r="B8" s="23">
        <v>350</v>
      </c>
    </row>
    <row r="9" spans="1:2" ht="12.75" customHeight="1">
      <c r="A9" s="24" t="s">
        <v>27</v>
      </c>
      <c r="B9" s="24">
        <v>500</v>
      </c>
    </row>
    <row r="10" spans="1:2" ht="12.75" customHeight="1">
      <c r="A10" s="24" t="s">
        <v>28</v>
      </c>
      <c r="B10" s="24">
        <v>100</v>
      </c>
    </row>
    <row r="11" spans="1:2" ht="12.75" customHeight="1">
      <c r="A11" s="22" t="s">
        <v>29</v>
      </c>
      <c r="B11" s="22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I82"/>
  <sheetViews>
    <sheetView view="pageBreakPreview" zoomScaleSheetLayoutView="100" zoomScalePageLayoutView="0" workbookViewId="0" topLeftCell="A1">
      <selection activeCell="G18" sqref="G18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30.28125" style="0" customWidth="1"/>
    <col min="4" max="4" width="5.421875" style="0" customWidth="1"/>
    <col min="5" max="9" width="19.28125" style="162" customWidth="1"/>
  </cols>
  <sheetData>
    <row r="1" spans="1:9" ht="18" customHeight="1">
      <c r="A1" s="1793" t="s">
        <v>509</v>
      </c>
      <c r="B1" s="1793"/>
      <c r="C1" s="1793"/>
      <c r="D1" s="1793"/>
      <c r="E1" s="1793"/>
      <c r="F1" s="1793"/>
      <c r="G1" s="1793"/>
      <c r="H1" s="1793"/>
      <c r="I1" s="1793"/>
    </row>
    <row r="2" spans="1:9" ht="18" customHeight="1">
      <c r="A2" s="176"/>
      <c r="B2" s="176"/>
      <c r="C2" s="176"/>
      <c r="D2" s="176"/>
      <c r="E2" s="176"/>
      <c r="F2" s="176"/>
      <c r="G2" s="176"/>
      <c r="H2" s="176"/>
      <c r="I2" s="176"/>
    </row>
    <row r="3" spans="1:9" ht="12.75" customHeight="1">
      <c r="A3" s="1828" t="s">
        <v>1181</v>
      </c>
      <c r="B3" s="1828"/>
      <c r="C3" s="1828"/>
      <c r="D3" s="1828"/>
      <c r="E3" s="1828"/>
      <c r="F3" s="1828"/>
      <c r="G3" s="1828"/>
      <c r="H3" s="1828"/>
      <c r="I3" s="1828"/>
    </row>
    <row r="4" spans="1:9" ht="12.75" customHeight="1">
      <c r="A4" s="78"/>
      <c r="B4" s="78"/>
      <c r="C4" s="78"/>
      <c r="D4" s="78"/>
      <c r="E4" s="1765" t="s">
        <v>1183</v>
      </c>
      <c r="F4" s="1765"/>
      <c r="G4" s="1765"/>
      <c r="H4"/>
      <c r="I4" t="s">
        <v>1188</v>
      </c>
    </row>
    <row r="5" spans="1:9" ht="33" customHeight="1">
      <c r="A5" s="1777" t="s">
        <v>1021</v>
      </c>
      <c r="B5" s="1777"/>
      <c r="C5" s="1777"/>
      <c r="D5" s="1777"/>
      <c r="E5" s="1777"/>
      <c r="F5" s="1777"/>
      <c r="G5" s="1777"/>
      <c r="H5" s="1777"/>
      <c r="I5" s="1777"/>
    </row>
    <row r="6" spans="3:4" ht="18.75" customHeight="1">
      <c r="C6" s="192"/>
      <c r="D6" s="192"/>
    </row>
    <row r="7" spans="5:9" ht="12.75" customHeight="1" thickBot="1">
      <c r="E7" s="927"/>
      <c r="F7" s="927"/>
      <c r="G7" s="927"/>
      <c r="H7" s="927"/>
      <c r="I7" s="927" t="s">
        <v>214</v>
      </c>
    </row>
    <row r="8" spans="1:9" ht="54" customHeight="1" thickBot="1">
      <c r="A8" s="1663" t="s">
        <v>156</v>
      </c>
      <c r="B8" s="1664"/>
      <c r="C8" s="1835" t="s">
        <v>157</v>
      </c>
      <c r="D8" s="1835"/>
      <c r="E8" s="381" t="s">
        <v>1078</v>
      </c>
      <c r="F8" s="381" t="s">
        <v>997</v>
      </c>
      <c r="G8" s="381" t="s">
        <v>1139</v>
      </c>
      <c r="H8" s="381" t="s">
        <v>1141</v>
      </c>
      <c r="I8" s="381" t="s">
        <v>1164</v>
      </c>
    </row>
    <row r="9" spans="1:9" ht="12.75" customHeight="1">
      <c r="A9" s="1904" t="s">
        <v>158</v>
      </c>
      <c r="B9" s="1905"/>
      <c r="C9" s="1903" t="s">
        <v>159</v>
      </c>
      <c r="D9" s="1903"/>
      <c r="E9" s="572" t="s">
        <v>160</v>
      </c>
      <c r="F9" s="572" t="s">
        <v>161</v>
      </c>
      <c r="G9" s="572" t="s">
        <v>462</v>
      </c>
      <c r="H9" s="572" t="s">
        <v>482</v>
      </c>
      <c r="I9" s="572" t="s">
        <v>715</v>
      </c>
    </row>
    <row r="10" spans="1:9" s="10" customFormat="1" ht="12.75" customHeight="1">
      <c r="A10" s="898" t="s">
        <v>38</v>
      </c>
      <c r="B10" s="898" t="s">
        <v>164</v>
      </c>
      <c r="C10" s="1897" t="s">
        <v>800</v>
      </c>
      <c r="D10" s="1898"/>
      <c r="E10" s="895">
        <v>984913</v>
      </c>
      <c r="F10" s="895">
        <f>SUM(F11)</f>
        <v>0</v>
      </c>
      <c r="G10" s="895">
        <f>SUM(G11)</f>
        <v>0</v>
      </c>
      <c r="H10" s="895">
        <f>SUM(H11)</f>
        <v>0</v>
      </c>
      <c r="I10" s="895">
        <f>SUM(I11)</f>
        <v>0</v>
      </c>
    </row>
    <row r="11" spans="1:9" s="122" customFormat="1" ht="12.75" customHeight="1">
      <c r="A11" s="897" t="s">
        <v>40</v>
      </c>
      <c r="B11" s="897"/>
      <c r="C11" s="1899" t="s">
        <v>801</v>
      </c>
      <c r="D11" s="1900"/>
      <c r="E11" s="896">
        <v>984913</v>
      </c>
      <c r="F11" s="896">
        <v>0</v>
      </c>
      <c r="G11" s="896">
        <v>0</v>
      </c>
      <c r="H11" s="896">
        <v>0</v>
      </c>
      <c r="I11" s="896">
        <v>0</v>
      </c>
    </row>
    <row r="12" spans="1:9" ht="12.75" customHeight="1">
      <c r="A12" s="892" t="s">
        <v>47</v>
      </c>
      <c r="B12" s="893" t="s">
        <v>166</v>
      </c>
      <c r="C12" s="200" t="s">
        <v>234</v>
      </c>
      <c r="D12" s="201"/>
      <c r="E12" s="894">
        <f>SUM(E13:E19)</f>
        <v>23409857</v>
      </c>
      <c r="F12" s="894">
        <f>SUM(F13:F19)</f>
        <v>18964000</v>
      </c>
      <c r="G12" s="894">
        <f>SUM(G13:G19)</f>
        <v>18964000</v>
      </c>
      <c r="H12" s="894">
        <f>SUM(H13:H19)</f>
        <v>23464100</v>
      </c>
      <c r="I12" s="894">
        <f>SUM(I13:I19)</f>
        <v>23475234</v>
      </c>
    </row>
    <row r="13" spans="1:9" s="122" customFormat="1" ht="12.75" customHeight="1">
      <c r="A13" s="519" t="s">
        <v>49</v>
      </c>
      <c r="B13" s="209"/>
      <c r="C13" s="1913" t="s">
        <v>646</v>
      </c>
      <c r="D13" s="1914"/>
      <c r="E13" s="520">
        <v>146522</v>
      </c>
      <c r="F13" s="520">
        <v>150000</v>
      </c>
      <c r="G13" s="520">
        <v>150000</v>
      </c>
      <c r="H13" s="520">
        <v>144539</v>
      </c>
      <c r="I13" s="520">
        <v>144539</v>
      </c>
    </row>
    <row r="14" spans="1:9" s="122" customFormat="1" ht="12.75" customHeight="1">
      <c r="A14" s="519"/>
      <c r="B14" s="209"/>
      <c r="C14" s="1423" t="s">
        <v>1149</v>
      </c>
      <c r="D14" s="1424"/>
      <c r="E14" s="520"/>
      <c r="F14" s="520"/>
      <c r="G14" s="520"/>
      <c r="H14" s="520">
        <v>5461</v>
      </c>
      <c r="I14" s="520">
        <v>16545</v>
      </c>
    </row>
    <row r="15" spans="1:9" s="122" customFormat="1" ht="12.75" customHeight="1">
      <c r="A15" s="519" t="s">
        <v>51</v>
      </c>
      <c r="B15" s="209"/>
      <c r="C15" s="1913" t="s">
        <v>647</v>
      </c>
      <c r="D15" s="1914"/>
      <c r="E15" s="520">
        <v>113990</v>
      </c>
      <c r="F15" s="520">
        <v>114000</v>
      </c>
      <c r="G15" s="520">
        <v>114000</v>
      </c>
      <c r="H15" s="520">
        <v>114000</v>
      </c>
      <c r="I15" s="520">
        <v>114000</v>
      </c>
    </row>
    <row r="16" spans="1:9" s="122" customFormat="1" ht="12.75" customHeight="1">
      <c r="A16" s="519" t="s">
        <v>53</v>
      </c>
      <c r="B16" s="209"/>
      <c r="C16" s="1913" t="s">
        <v>648</v>
      </c>
      <c r="D16" s="1914"/>
      <c r="E16" s="520">
        <v>18172607</v>
      </c>
      <c r="F16" s="520">
        <v>18200000</v>
      </c>
      <c r="G16" s="1414">
        <v>18200000</v>
      </c>
      <c r="H16" s="1414">
        <v>18200000</v>
      </c>
      <c r="I16" s="1414">
        <v>18200000</v>
      </c>
    </row>
    <row r="17" spans="1:9" s="122" customFormat="1" ht="12.75" customHeight="1">
      <c r="A17" s="519" t="s">
        <v>55</v>
      </c>
      <c r="B17" s="209"/>
      <c r="C17" s="1913" t="s">
        <v>649</v>
      </c>
      <c r="D17" s="1914"/>
      <c r="E17" s="520">
        <v>4976718</v>
      </c>
      <c r="F17" s="520">
        <v>500000</v>
      </c>
      <c r="G17" s="1414">
        <v>500000</v>
      </c>
      <c r="H17" s="1414">
        <v>5000000</v>
      </c>
      <c r="I17" s="1414">
        <v>5000000</v>
      </c>
    </row>
    <row r="18" spans="1:9" s="122" customFormat="1" ht="12.75" customHeight="1">
      <c r="A18" s="521" t="s">
        <v>57</v>
      </c>
      <c r="B18" s="523"/>
      <c r="C18" s="739" t="s">
        <v>716</v>
      </c>
      <c r="D18" s="740"/>
      <c r="E18" s="522">
        <v>1</v>
      </c>
      <c r="F18" s="522">
        <v>0</v>
      </c>
      <c r="G18" s="522">
        <v>0</v>
      </c>
      <c r="H18" s="522">
        <v>100</v>
      </c>
      <c r="I18" s="522">
        <v>150</v>
      </c>
    </row>
    <row r="19" spans="1:9" s="122" customFormat="1" ht="12.75" customHeight="1" thickBot="1">
      <c r="A19" s="521" t="s">
        <v>86</v>
      </c>
      <c r="B19" s="523"/>
      <c r="C19" s="1906" t="s">
        <v>650</v>
      </c>
      <c r="D19" s="1907"/>
      <c r="E19" s="522">
        <v>19</v>
      </c>
      <c r="F19" s="522">
        <v>0</v>
      </c>
      <c r="G19" s="522">
        <v>0</v>
      </c>
      <c r="H19" s="522">
        <v>0</v>
      </c>
      <c r="I19" s="522">
        <v>0</v>
      </c>
    </row>
    <row r="20" spans="1:9" s="516" customFormat="1" ht="20.25" customHeight="1" thickBot="1">
      <c r="A20" s="514" t="s">
        <v>59</v>
      </c>
      <c r="B20" s="515"/>
      <c r="C20" s="1908" t="s">
        <v>485</v>
      </c>
      <c r="D20" s="1909"/>
      <c r="E20" s="507">
        <f>SUM(E12)+E10</f>
        <v>24394770</v>
      </c>
      <c r="F20" s="507">
        <f>SUM(F12)+F10</f>
        <v>18964000</v>
      </c>
      <c r="G20" s="507">
        <f>SUM(G12)+G10</f>
        <v>18964000</v>
      </c>
      <c r="H20" s="507">
        <f>SUM(H12)+H10</f>
        <v>23464100</v>
      </c>
      <c r="I20" s="507">
        <f>SUM(I12)+I10</f>
        <v>23475234</v>
      </c>
    </row>
    <row r="21" spans="1:9" s="210" customFormat="1" ht="12.75" customHeight="1">
      <c r="A21" s="584" t="s">
        <v>61</v>
      </c>
      <c r="B21" s="585" t="s">
        <v>166</v>
      </c>
      <c r="C21" s="1916" t="s">
        <v>504</v>
      </c>
      <c r="D21" s="1917"/>
      <c r="E21" s="638">
        <v>1030008</v>
      </c>
      <c r="F21" s="1033">
        <v>1347397</v>
      </c>
      <c r="G21" s="1033">
        <v>1347397</v>
      </c>
      <c r="H21" s="1033">
        <v>1347397</v>
      </c>
      <c r="I21" s="1033">
        <v>1347397</v>
      </c>
    </row>
    <row r="22" spans="1:9" ht="12.75" customHeight="1">
      <c r="A22" s="524" t="s">
        <v>63</v>
      </c>
      <c r="B22" s="209" t="s">
        <v>173</v>
      </c>
      <c r="C22" s="1895" t="s">
        <v>498</v>
      </c>
      <c r="D22" s="1896"/>
      <c r="E22" s="581">
        <v>64653275</v>
      </c>
      <c r="F22" s="581">
        <f>SUM(F23:F24)</f>
        <v>77083353</v>
      </c>
      <c r="G22" s="581">
        <f>SUM(G23:G24)</f>
        <v>77083353</v>
      </c>
      <c r="H22" s="581">
        <f>SUM(H23:H24)</f>
        <v>69986315</v>
      </c>
      <c r="I22" s="581">
        <f>SUM(I23:I24)</f>
        <v>70019655</v>
      </c>
    </row>
    <row r="23" spans="1:9" ht="12.75" customHeight="1">
      <c r="A23" s="521" t="s">
        <v>65</v>
      </c>
      <c r="B23" s="211"/>
      <c r="C23" s="181" t="s">
        <v>487</v>
      </c>
      <c r="D23" s="212"/>
      <c r="E23" s="582">
        <v>31925952</v>
      </c>
      <c r="F23" s="582">
        <v>26924506</v>
      </c>
      <c r="G23" s="582">
        <v>26924506</v>
      </c>
      <c r="H23" s="582">
        <v>26966330</v>
      </c>
      <c r="I23" s="582">
        <v>26999670</v>
      </c>
    </row>
    <row r="24" spans="1:9" ht="12.75" customHeight="1" thickBot="1">
      <c r="A24" s="586" t="s">
        <v>92</v>
      </c>
      <c r="B24" s="587"/>
      <c r="C24" s="1902" t="s">
        <v>488</v>
      </c>
      <c r="D24" s="1902"/>
      <c r="E24" s="583">
        <v>35614586</v>
      </c>
      <c r="F24" s="583">
        <v>50158847</v>
      </c>
      <c r="G24" s="583">
        <v>50158847</v>
      </c>
      <c r="H24" s="583">
        <v>43019985</v>
      </c>
      <c r="I24" s="583">
        <v>43019985</v>
      </c>
    </row>
    <row r="25" spans="1:9" s="447" customFormat="1" ht="18.75" customHeight="1" thickBot="1">
      <c r="A25" s="517" t="s">
        <v>66</v>
      </c>
      <c r="B25" s="518"/>
      <c r="C25" s="1915" t="s">
        <v>499</v>
      </c>
      <c r="D25" s="1915"/>
      <c r="E25" s="508">
        <f>SUM(E21+E22)</f>
        <v>65683283</v>
      </c>
      <c r="F25" s="508">
        <f>SUM(F21+F22)</f>
        <v>78430750</v>
      </c>
      <c r="G25" s="508">
        <f>SUM(G21+G22)</f>
        <v>78430750</v>
      </c>
      <c r="H25" s="508">
        <f>SUM(H21+H22)</f>
        <v>71333712</v>
      </c>
      <c r="I25" s="508">
        <f>SUM(I21+I22)</f>
        <v>71367052</v>
      </c>
    </row>
    <row r="26" spans="1:9" s="447" customFormat="1" ht="21" customHeight="1" thickBot="1">
      <c r="A26" s="510" t="s">
        <v>67</v>
      </c>
      <c r="B26" s="511"/>
      <c r="C26" s="512" t="s">
        <v>116</v>
      </c>
      <c r="D26" s="513"/>
      <c r="E26" s="509">
        <f>SUM(E20+E25)</f>
        <v>90078053</v>
      </c>
      <c r="F26" s="509">
        <f>SUM(F20+F25)</f>
        <v>97394750</v>
      </c>
      <c r="G26" s="509">
        <f>SUM(G20+G25)</f>
        <v>97394750</v>
      </c>
      <c r="H26" s="509">
        <f>SUM(H20+H25)</f>
        <v>94797812</v>
      </c>
      <c r="I26" s="509">
        <f>SUM(I20+I25)</f>
        <v>94842286</v>
      </c>
    </row>
    <row r="27" ht="12.75" customHeight="1" thickBot="1"/>
    <row r="28" spans="1:9" ht="36.75" customHeight="1">
      <c r="A28" s="1712" t="s">
        <v>156</v>
      </c>
      <c r="B28" s="1901"/>
      <c r="C28" s="418" t="s">
        <v>510</v>
      </c>
      <c r="D28" s="418" t="s">
        <v>500</v>
      </c>
      <c r="E28" s="381" t="s">
        <v>1078</v>
      </c>
      <c r="F28" s="381" t="s">
        <v>997</v>
      </c>
      <c r="G28" s="381" t="s">
        <v>1140</v>
      </c>
      <c r="H28" s="381" t="s">
        <v>1143</v>
      </c>
      <c r="I28" s="381" t="s">
        <v>1167</v>
      </c>
    </row>
    <row r="29" spans="1:9" ht="12.75" customHeight="1" thickBot="1">
      <c r="A29" s="1910" t="s">
        <v>158</v>
      </c>
      <c r="B29" s="1911"/>
      <c r="C29" s="213" t="s">
        <v>159</v>
      </c>
      <c r="D29" s="213" t="s">
        <v>160</v>
      </c>
      <c r="E29" s="572" t="s">
        <v>161</v>
      </c>
      <c r="F29" s="572" t="s">
        <v>462</v>
      </c>
      <c r="G29" s="572" t="s">
        <v>482</v>
      </c>
      <c r="H29" s="572" t="s">
        <v>715</v>
      </c>
      <c r="I29" s="572" t="s">
        <v>796</v>
      </c>
    </row>
    <row r="30" spans="1:9" ht="34.5" customHeight="1">
      <c r="A30" s="526" t="s">
        <v>38</v>
      </c>
      <c r="B30" s="214" t="s">
        <v>164</v>
      </c>
      <c r="C30" s="215" t="s">
        <v>374</v>
      </c>
      <c r="D30" s="216">
        <v>7</v>
      </c>
      <c r="E30" s="573">
        <f>SUM(E31:E33)</f>
        <v>33025069</v>
      </c>
      <c r="F30" s="573">
        <f>SUM(F31:F33)</f>
        <v>36066279</v>
      </c>
      <c r="G30" s="573">
        <f>SUM(G31:G33)</f>
        <v>36066279</v>
      </c>
      <c r="H30" s="573">
        <f>SUM(H31:H33)</f>
        <v>36066279</v>
      </c>
      <c r="I30" s="573">
        <f>SUM(I31:I33)</f>
        <v>36066279</v>
      </c>
    </row>
    <row r="31" spans="1:9" ht="12.75" customHeight="1">
      <c r="A31" s="527" t="s">
        <v>40</v>
      </c>
      <c r="B31" s="85"/>
      <c r="C31" s="17" t="s">
        <v>250</v>
      </c>
      <c r="D31" s="149"/>
      <c r="E31" s="574">
        <v>9500792</v>
      </c>
      <c r="F31" s="574">
        <v>11685043</v>
      </c>
      <c r="G31" s="574">
        <v>11685043</v>
      </c>
      <c r="H31" s="574">
        <v>11685043</v>
      </c>
      <c r="I31" s="574">
        <v>11685043</v>
      </c>
    </row>
    <row r="32" spans="1:9" ht="12.75" customHeight="1">
      <c r="A32" s="527" t="s">
        <v>47</v>
      </c>
      <c r="B32" s="85"/>
      <c r="C32" s="17" t="s">
        <v>251</v>
      </c>
      <c r="D32" s="149"/>
      <c r="E32" s="574">
        <v>1725258</v>
      </c>
      <c r="F32" s="574">
        <v>2381236</v>
      </c>
      <c r="G32" s="574">
        <v>2381236</v>
      </c>
      <c r="H32" s="574">
        <v>2381236</v>
      </c>
      <c r="I32" s="574">
        <v>2381236</v>
      </c>
    </row>
    <row r="33" spans="1:9" ht="12.75" customHeight="1">
      <c r="A33" s="527" t="s">
        <v>49</v>
      </c>
      <c r="B33" s="85"/>
      <c r="C33" s="17" t="s">
        <v>252</v>
      </c>
      <c r="D33" s="149"/>
      <c r="E33" s="574">
        <v>21799019</v>
      </c>
      <c r="F33" s="574">
        <v>22000000</v>
      </c>
      <c r="G33" s="574">
        <v>22000000</v>
      </c>
      <c r="H33" s="574">
        <v>22000000</v>
      </c>
      <c r="I33" s="574">
        <v>22000000</v>
      </c>
    </row>
    <row r="34" spans="1:9" ht="12.75" customHeight="1">
      <c r="A34" s="527" t="s">
        <v>51</v>
      </c>
      <c r="B34" s="85"/>
      <c r="C34" s="17" t="s">
        <v>625</v>
      </c>
      <c r="D34" s="149"/>
      <c r="E34" s="574">
        <v>0</v>
      </c>
      <c r="F34" s="574">
        <v>0</v>
      </c>
      <c r="G34" s="574">
        <v>0</v>
      </c>
      <c r="H34" s="574">
        <v>0</v>
      </c>
      <c r="I34" s="574">
        <v>0</v>
      </c>
    </row>
    <row r="35" spans="1:9" s="10" customFormat="1" ht="27.75" customHeight="1">
      <c r="A35" s="527" t="s">
        <v>53</v>
      </c>
      <c r="B35" s="65" t="s">
        <v>166</v>
      </c>
      <c r="C35" s="147" t="s">
        <v>511</v>
      </c>
      <c r="D35" s="148">
        <v>1</v>
      </c>
      <c r="E35" s="575">
        <f>SUM(E36:E39)</f>
        <v>9410260</v>
      </c>
      <c r="F35" s="575">
        <f>SUM(F36:F39)</f>
        <v>9729409</v>
      </c>
      <c r="G35" s="575">
        <f>SUM(G36:G39)</f>
        <v>9729409</v>
      </c>
      <c r="H35" s="575">
        <f>SUM(H36:H39)</f>
        <v>9729409</v>
      </c>
      <c r="I35" s="575">
        <f>SUM(I36:I39)</f>
        <v>9729409</v>
      </c>
    </row>
    <row r="36" spans="1:9" ht="12.75" customHeight="1">
      <c r="A36" s="527" t="s">
        <v>55</v>
      </c>
      <c r="B36" s="85"/>
      <c r="C36" s="17" t="s">
        <v>250</v>
      </c>
      <c r="D36" s="149"/>
      <c r="E36" s="574">
        <v>2886160</v>
      </c>
      <c r="F36" s="574">
        <v>3094751</v>
      </c>
      <c r="G36" s="574">
        <v>3094751</v>
      </c>
      <c r="H36" s="574">
        <v>3094751</v>
      </c>
      <c r="I36" s="574">
        <v>3094751</v>
      </c>
    </row>
    <row r="37" spans="1:9" ht="12.75" customHeight="1">
      <c r="A37" s="527" t="s">
        <v>57</v>
      </c>
      <c r="B37" s="85"/>
      <c r="C37" s="17" t="s">
        <v>251</v>
      </c>
      <c r="D37" s="149"/>
      <c r="E37" s="574">
        <v>524100</v>
      </c>
      <c r="F37" s="574">
        <v>634658</v>
      </c>
      <c r="G37" s="574">
        <v>634658</v>
      </c>
      <c r="H37" s="574">
        <v>634658</v>
      </c>
      <c r="I37" s="574">
        <v>634658</v>
      </c>
    </row>
    <row r="38" spans="1:9" ht="12.75" customHeight="1">
      <c r="A38" s="527" t="s">
        <v>86</v>
      </c>
      <c r="B38" s="85"/>
      <c r="C38" s="17" t="s">
        <v>252</v>
      </c>
      <c r="D38" s="149"/>
      <c r="E38" s="574">
        <v>6000000</v>
      </c>
      <c r="F38" s="574">
        <v>6000000</v>
      </c>
      <c r="G38" s="574">
        <v>6000000</v>
      </c>
      <c r="H38" s="574">
        <v>6000000</v>
      </c>
      <c r="I38" s="574">
        <v>6000000</v>
      </c>
    </row>
    <row r="39" spans="1:9" ht="12.75" customHeight="1">
      <c r="A39" s="527" t="s">
        <v>59</v>
      </c>
      <c r="B39" s="85"/>
      <c r="C39" s="17" t="s">
        <v>625</v>
      </c>
      <c r="D39" s="149"/>
      <c r="E39" s="574"/>
      <c r="F39" s="574"/>
      <c r="G39" s="574"/>
      <c r="H39" s="574"/>
      <c r="I39" s="574"/>
    </row>
    <row r="40" spans="1:9" s="10" customFormat="1" ht="28.5" customHeight="1">
      <c r="A40" s="527" t="s">
        <v>61</v>
      </c>
      <c r="B40" s="65" t="s">
        <v>173</v>
      </c>
      <c r="C40" s="147" t="s">
        <v>384</v>
      </c>
      <c r="D40" s="148">
        <v>0</v>
      </c>
      <c r="E40" s="575">
        <f>SUM(E41:E44)</f>
        <v>0</v>
      </c>
      <c r="F40" s="575">
        <f>SUM(F41:F44)</f>
        <v>0</v>
      </c>
      <c r="G40" s="575">
        <f>SUM(G41:G44)</f>
        <v>0</v>
      </c>
      <c r="H40" s="575">
        <f>SUM(H41:H44)</f>
        <v>0</v>
      </c>
      <c r="I40" s="575">
        <f>SUM(I41:I44)</f>
        <v>0</v>
      </c>
    </row>
    <row r="41" spans="1:9" ht="12.75" customHeight="1">
      <c r="A41" s="527" t="s">
        <v>63</v>
      </c>
      <c r="B41" s="85"/>
      <c r="C41" s="17" t="s">
        <v>250</v>
      </c>
      <c r="D41" s="149"/>
      <c r="E41" s="574">
        <v>0</v>
      </c>
      <c r="F41" s="574">
        <v>0</v>
      </c>
      <c r="G41" s="574">
        <v>0</v>
      </c>
      <c r="H41" s="574">
        <v>0</v>
      </c>
      <c r="I41" s="574">
        <v>0</v>
      </c>
    </row>
    <row r="42" spans="1:9" ht="12.75" customHeight="1">
      <c r="A42" s="527" t="s">
        <v>65</v>
      </c>
      <c r="B42" s="85"/>
      <c r="C42" s="17" t="s">
        <v>251</v>
      </c>
      <c r="D42" s="149"/>
      <c r="E42" s="574">
        <v>0</v>
      </c>
      <c r="F42" s="574">
        <v>0</v>
      </c>
      <c r="G42" s="574">
        <v>0</v>
      </c>
      <c r="H42" s="574">
        <v>0</v>
      </c>
      <c r="I42" s="574">
        <v>0</v>
      </c>
    </row>
    <row r="43" spans="1:9" ht="12.75" customHeight="1">
      <c r="A43" s="527" t="s">
        <v>92</v>
      </c>
      <c r="B43" s="85"/>
      <c r="C43" s="17" t="s">
        <v>252</v>
      </c>
      <c r="D43" s="149"/>
      <c r="E43" s="574">
        <v>0</v>
      </c>
      <c r="F43" s="574">
        <v>0</v>
      </c>
      <c r="G43" s="574">
        <v>0</v>
      </c>
      <c r="H43" s="574">
        <v>0</v>
      </c>
      <c r="I43" s="574">
        <v>0</v>
      </c>
    </row>
    <row r="44" spans="1:9" ht="12.75" customHeight="1">
      <c r="A44" s="527" t="s">
        <v>66</v>
      </c>
      <c r="B44" s="85"/>
      <c r="C44" s="17" t="s">
        <v>625</v>
      </c>
      <c r="D44" s="149"/>
      <c r="E44" s="574">
        <v>0</v>
      </c>
      <c r="F44" s="574">
        <v>0</v>
      </c>
      <c r="G44" s="574">
        <v>0</v>
      </c>
      <c r="H44" s="574">
        <v>0</v>
      </c>
      <c r="I44" s="574">
        <v>0</v>
      </c>
    </row>
    <row r="45" spans="1:9" ht="12.75" customHeight="1">
      <c r="A45" s="527" t="s">
        <v>67</v>
      </c>
      <c r="B45" s="65" t="s">
        <v>182</v>
      </c>
      <c r="C45" s="147" t="s">
        <v>512</v>
      </c>
      <c r="D45" s="148">
        <v>0</v>
      </c>
      <c r="E45" s="575">
        <f>SUM(E48:E49)</f>
        <v>500000</v>
      </c>
      <c r="F45" s="575">
        <f>SUM(F48:F49)</f>
        <v>500000</v>
      </c>
      <c r="G45" s="575">
        <f>SUM(G48:G49)</f>
        <v>500000</v>
      </c>
      <c r="H45" s="575">
        <f>SUM(H48:H49)</f>
        <v>500000</v>
      </c>
      <c r="I45" s="575">
        <f>SUM(I48:I49)</f>
        <v>500000</v>
      </c>
    </row>
    <row r="46" spans="1:9" ht="12.75" customHeight="1">
      <c r="A46" s="527" t="s">
        <v>68</v>
      </c>
      <c r="B46" s="65"/>
      <c r="C46" s="17" t="s">
        <v>451</v>
      </c>
      <c r="D46" s="148"/>
      <c r="E46" s="574">
        <v>0</v>
      </c>
      <c r="F46" s="574">
        <v>0</v>
      </c>
      <c r="G46" s="574">
        <v>0</v>
      </c>
      <c r="H46" s="574">
        <v>0</v>
      </c>
      <c r="I46" s="574">
        <v>0</v>
      </c>
    </row>
    <row r="47" spans="1:9" ht="12.75" customHeight="1">
      <c r="A47" s="527" t="s">
        <v>70</v>
      </c>
      <c r="B47" s="85"/>
      <c r="C47" s="17" t="s">
        <v>251</v>
      </c>
      <c r="D47" s="149"/>
      <c r="E47" s="574">
        <v>0</v>
      </c>
      <c r="F47" s="574">
        <v>0</v>
      </c>
      <c r="G47" s="574">
        <v>0</v>
      </c>
      <c r="H47" s="574">
        <v>0</v>
      </c>
      <c r="I47" s="574">
        <v>0</v>
      </c>
    </row>
    <row r="48" spans="1:9" ht="12.75" customHeight="1">
      <c r="A48" s="527" t="s">
        <v>97</v>
      </c>
      <c r="B48" s="85"/>
      <c r="C48" s="17" t="s">
        <v>252</v>
      </c>
      <c r="D48" s="149"/>
      <c r="E48" s="574">
        <v>500000</v>
      </c>
      <c r="F48" s="574">
        <v>500000</v>
      </c>
      <c r="G48" s="574">
        <v>500000</v>
      </c>
      <c r="H48" s="574">
        <v>500000</v>
      </c>
      <c r="I48" s="574">
        <v>500000</v>
      </c>
    </row>
    <row r="49" spans="1:9" ht="12.75" customHeight="1">
      <c r="A49" s="527" t="s">
        <v>99</v>
      </c>
      <c r="B49" s="85"/>
      <c r="C49" s="17" t="s">
        <v>625</v>
      </c>
      <c r="D49" s="149"/>
      <c r="E49" s="574">
        <v>0</v>
      </c>
      <c r="F49" s="574">
        <v>0</v>
      </c>
      <c r="G49" s="574">
        <v>0</v>
      </c>
      <c r="H49" s="574">
        <v>0</v>
      </c>
      <c r="I49" s="574">
        <v>0</v>
      </c>
    </row>
    <row r="50" spans="1:9" ht="12.75" customHeight="1">
      <c r="A50" s="527" t="s">
        <v>101</v>
      </c>
      <c r="B50" s="65" t="s">
        <v>183</v>
      </c>
      <c r="C50" s="147" t="s">
        <v>513</v>
      </c>
      <c r="D50" s="148">
        <v>0</v>
      </c>
      <c r="E50" s="575">
        <f>SUM(E51:E54)</f>
        <v>430000</v>
      </c>
      <c r="F50" s="575">
        <f>SUM(F51:F54)</f>
        <v>430000</v>
      </c>
      <c r="G50" s="575">
        <f>SUM(G51:G54)</f>
        <v>430000</v>
      </c>
      <c r="H50" s="575">
        <f>SUM(H51:H54)</f>
        <v>430000</v>
      </c>
      <c r="I50" s="575">
        <f>SUM(I51:I54)</f>
        <v>430000</v>
      </c>
    </row>
    <row r="51" spans="1:9" ht="12.75" customHeight="1">
      <c r="A51" s="527" t="s">
        <v>103</v>
      </c>
      <c r="B51" s="65"/>
      <c r="C51" s="17" t="s">
        <v>250</v>
      </c>
      <c r="D51" s="148"/>
      <c r="E51" s="574">
        <v>0</v>
      </c>
      <c r="F51" s="574">
        <v>0</v>
      </c>
      <c r="G51" s="574">
        <v>0</v>
      </c>
      <c r="H51" s="574">
        <v>0</v>
      </c>
      <c r="I51" s="574">
        <v>0</v>
      </c>
    </row>
    <row r="52" spans="1:9" ht="12.75" customHeight="1">
      <c r="A52" s="527" t="s">
        <v>105</v>
      </c>
      <c r="B52" s="85"/>
      <c r="C52" s="17" t="s">
        <v>251</v>
      </c>
      <c r="D52" s="217"/>
      <c r="E52" s="574">
        <v>0</v>
      </c>
      <c r="F52" s="574">
        <v>0</v>
      </c>
      <c r="G52" s="574">
        <v>0</v>
      </c>
      <c r="H52" s="574">
        <v>0</v>
      </c>
      <c r="I52" s="574">
        <v>0</v>
      </c>
    </row>
    <row r="53" spans="1:9" ht="12.75" customHeight="1">
      <c r="A53" s="527" t="s">
        <v>107</v>
      </c>
      <c r="B53" s="85"/>
      <c r="C53" s="17" t="s">
        <v>252</v>
      </c>
      <c r="D53" s="217"/>
      <c r="E53" s="574">
        <v>430000</v>
      </c>
      <c r="F53" s="574">
        <v>430000</v>
      </c>
      <c r="G53" s="574">
        <v>430000</v>
      </c>
      <c r="H53" s="574">
        <v>430000</v>
      </c>
      <c r="I53" s="574">
        <v>430000</v>
      </c>
    </row>
    <row r="54" spans="1:9" ht="12.75" customHeight="1">
      <c r="A54" s="527" t="s">
        <v>109</v>
      </c>
      <c r="B54" s="85"/>
      <c r="C54" s="17" t="s">
        <v>625</v>
      </c>
      <c r="D54" s="217"/>
      <c r="E54" s="574">
        <v>0</v>
      </c>
      <c r="F54" s="574">
        <v>0</v>
      </c>
      <c r="G54" s="574">
        <v>0</v>
      </c>
      <c r="H54" s="574">
        <v>0</v>
      </c>
      <c r="I54" s="574">
        <v>0</v>
      </c>
    </row>
    <row r="55" spans="1:9" ht="12.75" customHeight="1">
      <c r="A55" s="527" t="s">
        <v>111</v>
      </c>
      <c r="B55" s="65" t="s">
        <v>184</v>
      </c>
      <c r="C55" s="147" t="s">
        <v>514</v>
      </c>
      <c r="D55" s="218">
        <v>13</v>
      </c>
      <c r="E55" s="575">
        <f>SUM(E56:E59)</f>
        <v>41391137</v>
      </c>
      <c r="F55" s="575">
        <f>SUM(F56:F59)</f>
        <v>42460212</v>
      </c>
      <c r="G55" s="575">
        <f>SUM(G56:G59)</f>
        <v>42460212</v>
      </c>
      <c r="H55" s="575">
        <f>SUM(H56:H59)</f>
        <v>42502136</v>
      </c>
      <c r="I55" s="575">
        <f>SUM(I56:I59)</f>
        <v>42546610</v>
      </c>
    </row>
    <row r="56" spans="1:9" ht="12.75" customHeight="1">
      <c r="A56" s="527" t="s">
        <v>113</v>
      </c>
      <c r="B56" s="85"/>
      <c r="C56" s="17" t="s">
        <v>250</v>
      </c>
      <c r="D56" s="217"/>
      <c r="E56" s="574">
        <v>20532985</v>
      </c>
      <c r="F56" s="574">
        <v>24263927</v>
      </c>
      <c r="G56" s="574">
        <v>24263927</v>
      </c>
      <c r="H56" s="574">
        <v>24298926</v>
      </c>
      <c r="I56" s="574">
        <v>24013848</v>
      </c>
    </row>
    <row r="57" spans="1:9" ht="12.75" customHeight="1">
      <c r="A57" s="527" t="s">
        <v>115</v>
      </c>
      <c r="B57" s="85"/>
      <c r="C57" s="17" t="s">
        <v>251</v>
      </c>
      <c r="D57" s="217"/>
      <c r="E57" s="574">
        <v>7259790</v>
      </c>
      <c r="F57" s="574">
        <v>5096285</v>
      </c>
      <c r="G57" s="574">
        <v>5096285</v>
      </c>
      <c r="H57" s="574">
        <v>5103110</v>
      </c>
      <c r="I57" s="574">
        <v>5421528</v>
      </c>
    </row>
    <row r="58" spans="1:9" ht="12.75" customHeight="1">
      <c r="A58" s="527" t="s">
        <v>117</v>
      </c>
      <c r="B58" s="85"/>
      <c r="C58" s="17" t="s">
        <v>252</v>
      </c>
      <c r="D58" s="217"/>
      <c r="E58" s="574">
        <v>12117345</v>
      </c>
      <c r="F58" s="574">
        <v>12100000</v>
      </c>
      <c r="G58" s="574">
        <v>12100000</v>
      </c>
      <c r="H58" s="574">
        <v>12100100</v>
      </c>
      <c r="I58" s="574">
        <v>12111234</v>
      </c>
    </row>
    <row r="59" spans="1:9" ht="12.75" customHeight="1">
      <c r="A59" s="527" t="s">
        <v>118</v>
      </c>
      <c r="B59" s="85"/>
      <c r="C59" s="17" t="s">
        <v>249</v>
      </c>
      <c r="D59" s="217"/>
      <c r="E59" s="574">
        <v>1481017</v>
      </c>
      <c r="F59" s="574">
        <v>1000000</v>
      </c>
      <c r="G59" s="574">
        <v>1000000</v>
      </c>
      <c r="H59" s="574">
        <v>1000000</v>
      </c>
      <c r="I59" s="574">
        <v>1000000</v>
      </c>
    </row>
    <row r="60" spans="1:9" ht="12.75" customHeight="1">
      <c r="A60" s="527" t="s">
        <v>120</v>
      </c>
      <c r="B60" s="220" t="s">
        <v>186</v>
      </c>
      <c r="C60" s="221" t="s">
        <v>400</v>
      </c>
      <c r="D60" s="222">
        <v>0</v>
      </c>
      <c r="E60" s="575">
        <f>SUM(E61:E63)</f>
        <v>640000</v>
      </c>
      <c r="F60" s="575">
        <f>SUM(F61:F63)</f>
        <v>640000</v>
      </c>
      <c r="G60" s="575">
        <f>SUM(G61:G63)</f>
        <v>640000</v>
      </c>
      <c r="H60" s="575">
        <f>SUM(H61:H63)</f>
        <v>640000</v>
      </c>
      <c r="I60" s="575">
        <f>SUM(I61:I63)</f>
        <v>640000</v>
      </c>
    </row>
    <row r="61" spans="1:9" ht="12.75" customHeight="1">
      <c r="A61" s="527" t="s">
        <v>122</v>
      </c>
      <c r="B61" s="153"/>
      <c r="C61" s="155" t="s">
        <v>250</v>
      </c>
      <c r="D61" s="223"/>
      <c r="E61" s="574">
        <v>0</v>
      </c>
      <c r="F61" s="574">
        <v>0</v>
      </c>
      <c r="G61" s="574">
        <v>0</v>
      </c>
      <c r="H61" s="574">
        <v>0</v>
      </c>
      <c r="I61" s="574">
        <v>0</v>
      </c>
    </row>
    <row r="62" spans="1:9" ht="12.75" customHeight="1">
      <c r="A62" s="527" t="s">
        <v>124</v>
      </c>
      <c r="B62" s="153"/>
      <c r="C62" s="155" t="s">
        <v>251</v>
      </c>
      <c r="D62" s="223"/>
      <c r="E62" s="574">
        <v>0</v>
      </c>
      <c r="F62" s="574">
        <v>0</v>
      </c>
      <c r="G62" s="574">
        <v>0</v>
      </c>
      <c r="H62" s="574">
        <v>0</v>
      </c>
      <c r="I62" s="574">
        <v>0</v>
      </c>
    </row>
    <row r="63" spans="1:9" ht="12.75" customHeight="1">
      <c r="A63" s="527" t="s">
        <v>126</v>
      </c>
      <c r="B63" s="153"/>
      <c r="C63" s="155" t="s">
        <v>252</v>
      </c>
      <c r="D63" s="223"/>
      <c r="E63" s="574">
        <v>640000</v>
      </c>
      <c r="F63" s="574">
        <v>640000</v>
      </c>
      <c r="G63" s="574">
        <v>640000</v>
      </c>
      <c r="H63" s="574">
        <v>640000</v>
      </c>
      <c r="I63" s="574">
        <v>640000</v>
      </c>
    </row>
    <row r="64" spans="1:9" ht="12.75" customHeight="1">
      <c r="A64" s="527" t="s">
        <v>128</v>
      </c>
      <c r="B64" s="224" t="s">
        <v>189</v>
      </c>
      <c r="C64" s="9" t="s">
        <v>645</v>
      </c>
      <c r="D64" s="148"/>
      <c r="E64" s="575">
        <f>SUM(E65:E68)</f>
        <v>0</v>
      </c>
      <c r="F64" s="575">
        <f>SUM(F65:F68)</f>
        <v>0</v>
      </c>
      <c r="G64" s="575">
        <f>SUM(G65:G68)</f>
        <v>0</v>
      </c>
      <c r="H64" s="575">
        <f>SUM(H65:H68)</f>
        <v>0</v>
      </c>
      <c r="I64" s="575">
        <f>SUM(I65:I68)</f>
        <v>0</v>
      </c>
    </row>
    <row r="65" spans="1:9" ht="12.75" customHeight="1">
      <c r="A65" s="527" t="s">
        <v>130</v>
      </c>
      <c r="B65" s="85"/>
      <c r="C65" s="17" t="s">
        <v>250</v>
      </c>
      <c r="D65" s="149"/>
      <c r="E65" s="574"/>
      <c r="F65" s="574"/>
      <c r="G65" s="574"/>
      <c r="H65" s="574"/>
      <c r="I65" s="574"/>
    </row>
    <row r="66" spans="1:9" ht="12.75" customHeight="1">
      <c r="A66" s="527" t="s">
        <v>131</v>
      </c>
      <c r="B66" s="85"/>
      <c r="C66" s="17" t="s">
        <v>251</v>
      </c>
      <c r="D66" s="149"/>
      <c r="E66" s="574"/>
      <c r="F66" s="574"/>
      <c r="G66" s="574"/>
      <c r="H66" s="574"/>
      <c r="I66" s="574"/>
    </row>
    <row r="67" spans="1:9" ht="12.75" customHeight="1">
      <c r="A67" s="527" t="s">
        <v>133</v>
      </c>
      <c r="B67" s="85"/>
      <c r="C67" s="17" t="s">
        <v>252</v>
      </c>
      <c r="D67" s="149"/>
      <c r="E67" s="574"/>
      <c r="F67" s="574"/>
      <c r="G67" s="574"/>
      <c r="H67" s="574"/>
      <c r="I67" s="574"/>
    </row>
    <row r="68" spans="1:9" ht="12.75" customHeight="1">
      <c r="A68" s="527" t="s">
        <v>135</v>
      </c>
      <c r="B68" s="85"/>
      <c r="C68" s="17" t="s">
        <v>625</v>
      </c>
      <c r="D68" s="149"/>
      <c r="E68" s="576"/>
      <c r="F68" s="576"/>
      <c r="G68" s="576"/>
      <c r="H68" s="576"/>
      <c r="I68" s="576"/>
    </row>
    <row r="69" spans="1:9" ht="12.75" customHeight="1">
      <c r="A69" s="527" t="s">
        <v>137</v>
      </c>
      <c r="B69" s="65" t="s">
        <v>191</v>
      </c>
      <c r="C69" s="9" t="s">
        <v>408</v>
      </c>
      <c r="D69" s="219">
        <v>0</v>
      </c>
      <c r="E69" s="577">
        <f>SUM(E70:E70)</f>
        <v>720000</v>
      </c>
      <c r="F69" s="577">
        <f>SUM(F70:F70)</f>
        <v>720000</v>
      </c>
      <c r="G69" s="577">
        <f>SUM(G70:G70)</f>
        <v>720000</v>
      </c>
      <c r="H69" s="577">
        <f>SUM(H70:H70)</f>
        <v>720000</v>
      </c>
      <c r="I69" s="577">
        <f>SUM(I70:I70)</f>
        <v>720000</v>
      </c>
    </row>
    <row r="70" spans="1:9" ht="12.75" customHeight="1">
      <c r="A70" s="527" t="s">
        <v>139</v>
      </c>
      <c r="B70" s="85"/>
      <c r="C70" s="17" t="s">
        <v>515</v>
      </c>
      <c r="D70" s="149"/>
      <c r="E70" s="576">
        <v>720000</v>
      </c>
      <c r="F70" s="576">
        <v>720000</v>
      </c>
      <c r="G70" s="576">
        <v>720000</v>
      </c>
      <c r="H70" s="576">
        <v>720000</v>
      </c>
      <c r="I70" s="576">
        <v>720000</v>
      </c>
    </row>
    <row r="71" spans="1:9" ht="25.5" customHeight="1">
      <c r="A71" s="527" t="s">
        <v>141</v>
      </c>
      <c r="B71" s="65" t="s">
        <v>195</v>
      </c>
      <c r="C71" s="92" t="s">
        <v>276</v>
      </c>
      <c r="D71" s="148">
        <v>3</v>
      </c>
      <c r="E71" s="577">
        <f>SUM(E72:E74)</f>
        <v>6848850</v>
      </c>
      <c r="F71" s="577">
        <f>SUM(F72:F74)</f>
        <v>6848850</v>
      </c>
      <c r="G71" s="577">
        <f>SUM(G72:G74)</f>
        <v>6848850</v>
      </c>
      <c r="H71" s="577">
        <f>SUM(H72:H74)</f>
        <v>4209988</v>
      </c>
      <c r="I71" s="577">
        <f>SUM(I72:I74)</f>
        <v>4209988</v>
      </c>
    </row>
    <row r="72" spans="1:9" ht="12.75" customHeight="1">
      <c r="A72" s="527" t="s">
        <v>143</v>
      </c>
      <c r="B72" s="85"/>
      <c r="C72" s="17" t="s">
        <v>250</v>
      </c>
      <c r="D72" s="149"/>
      <c r="E72" s="576">
        <v>5731255</v>
      </c>
      <c r="F72" s="576">
        <v>5731255</v>
      </c>
      <c r="G72" s="576">
        <v>5731255</v>
      </c>
      <c r="H72" s="576">
        <v>3835980</v>
      </c>
      <c r="I72" s="576">
        <v>3835980</v>
      </c>
    </row>
    <row r="73" spans="1:9" ht="12.75" customHeight="1">
      <c r="A73" s="528" t="s">
        <v>145</v>
      </c>
      <c r="B73" s="150"/>
      <c r="C73" s="144" t="s">
        <v>251</v>
      </c>
      <c r="D73" s="525"/>
      <c r="E73" s="578">
        <v>1117595</v>
      </c>
      <c r="F73" s="578">
        <v>1117595</v>
      </c>
      <c r="G73" s="578">
        <v>1117595</v>
      </c>
      <c r="H73" s="578">
        <v>374008</v>
      </c>
      <c r="I73" s="578">
        <v>374008</v>
      </c>
    </row>
    <row r="74" spans="1:9" ht="12.75" customHeight="1">
      <c r="A74" s="315" t="s">
        <v>147</v>
      </c>
      <c r="B74" s="315"/>
      <c r="C74" s="316" t="s">
        <v>252</v>
      </c>
      <c r="D74" s="570"/>
      <c r="E74" s="579">
        <v>0</v>
      </c>
      <c r="F74" s="579">
        <v>0</v>
      </c>
      <c r="G74" s="579">
        <v>0</v>
      </c>
      <c r="H74" s="579">
        <v>0</v>
      </c>
      <c r="I74" s="579">
        <v>0</v>
      </c>
    </row>
    <row r="75" spans="1:9" ht="12.75" customHeight="1" thickBot="1">
      <c r="A75" s="497" t="s">
        <v>149</v>
      </c>
      <c r="B75" s="497"/>
      <c r="C75" s="144" t="s">
        <v>625</v>
      </c>
      <c r="D75" s="571"/>
      <c r="E75" s="580">
        <v>0</v>
      </c>
      <c r="F75" s="580">
        <v>0</v>
      </c>
      <c r="G75" s="580">
        <v>0</v>
      </c>
      <c r="H75" s="580">
        <v>0</v>
      </c>
      <c r="I75" s="580">
        <v>0</v>
      </c>
    </row>
    <row r="76" spans="1:9" s="530" customFormat="1" ht="48" customHeight="1" thickBot="1">
      <c r="A76" s="589" t="s">
        <v>151</v>
      </c>
      <c r="B76" s="529"/>
      <c r="C76" s="1912" t="s">
        <v>516</v>
      </c>
      <c r="D76" s="1912"/>
      <c r="E76" s="588">
        <f>SUM(E30+E35+E40+E45+E50+E55+E60+E64+E69+E71)</f>
        <v>92965316</v>
      </c>
      <c r="F76" s="588">
        <f>SUM(F30+F35+F40+F45+F50+F55+F60+F64+F69+F71)</f>
        <v>97394750</v>
      </c>
      <c r="G76" s="588">
        <f>SUM(G30+G35+G40+G45+G50+G55+G60+G64+G69+G71)</f>
        <v>97394750</v>
      </c>
      <c r="H76" s="588">
        <f>SUM(H30+H35+H40+H45+H50+H55+H60+H64+H69+H71)</f>
        <v>94797812</v>
      </c>
      <c r="I76" s="588">
        <f>SUM(I30+I35+I40+I45+I50+I55+I60+I64+I69+I71)</f>
        <v>94842286</v>
      </c>
    </row>
    <row r="77" spans="1:9" ht="12.75" customHeight="1">
      <c r="A77" s="875" t="s">
        <v>205</v>
      </c>
      <c r="B77" s="876"/>
      <c r="C77" s="868" t="s">
        <v>494</v>
      </c>
      <c r="D77" s="877">
        <v>27</v>
      </c>
      <c r="E77" s="878">
        <f aca="true" t="shared" si="0" ref="E77:G78">SUM(E31+E36+E41+E46+E51+E56+E61+E65+E72)</f>
        <v>38651192</v>
      </c>
      <c r="F77" s="878">
        <f t="shared" si="0"/>
        <v>44774976</v>
      </c>
      <c r="G77" s="878">
        <f t="shared" si="0"/>
        <v>44774976</v>
      </c>
      <c r="H77" s="878">
        <f>SUM(H31+H36+H41+H46+H51+H56+H61+H65+H72)</f>
        <v>42914700</v>
      </c>
      <c r="I77" s="878">
        <f>SUM(I31+I36+I41+I46+I51+I56+I61+I65+I72)</f>
        <v>42629622</v>
      </c>
    </row>
    <row r="78" spans="1:9" ht="12.75" customHeight="1">
      <c r="A78" s="528" t="s">
        <v>207</v>
      </c>
      <c r="B78" s="842"/>
      <c r="C78" s="872" t="s">
        <v>251</v>
      </c>
      <c r="D78" s="844"/>
      <c r="E78" s="873">
        <f t="shared" si="0"/>
        <v>10626743</v>
      </c>
      <c r="F78" s="873">
        <f t="shared" si="0"/>
        <v>9229774</v>
      </c>
      <c r="G78" s="873">
        <f t="shared" si="0"/>
        <v>9229774</v>
      </c>
      <c r="H78" s="873">
        <f>SUM(H32+H37+H42+H47+H52+H57+H62+H66+H73)</f>
        <v>8493012</v>
      </c>
      <c r="I78" s="873">
        <f>SUM(I32+I37+I42+I47+I52+I57+I62+I66+I73)</f>
        <v>8811430</v>
      </c>
    </row>
    <row r="79" spans="1:9" ht="12.75" customHeight="1">
      <c r="A79" s="486" t="s">
        <v>262</v>
      </c>
      <c r="B79" s="845"/>
      <c r="C79" s="874" t="s">
        <v>635</v>
      </c>
      <c r="D79" s="846"/>
      <c r="E79" s="879">
        <f>SUM(E33+E38+E43+E48+E53+E58+E63+E67+E74)+E70</f>
        <v>42206364</v>
      </c>
      <c r="F79" s="879">
        <f>SUM(F33+F38+F43+F48+F53+F58+F63+F67+F74)+F70</f>
        <v>42390000</v>
      </c>
      <c r="G79" s="879">
        <f>SUM(G33+G38+G43+G48+G53+G58+G63+G67+G74)+G70</f>
        <v>42390000</v>
      </c>
      <c r="H79" s="879">
        <f>SUM(H33+H38+H43+H48+H53+H58+H63+H67+H74)+H70</f>
        <v>42390100</v>
      </c>
      <c r="I79" s="879">
        <f>SUM(I33+I38+I43+I48+I53+I58+I63+I67+I74)+I70</f>
        <v>42401234</v>
      </c>
    </row>
    <row r="80" spans="1:9" ht="12.75" customHeight="1">
      <c r="A80" s="486" t="s">
        <v>208</v>
      </c>
      <c r="B80" s="845"/>
      <c r="C80" s="424" t="s">
        <v>249</v>
      </c>
      <c r="D80" s="846"/>
      <c r="E80" s="879">
        <f>SUM(E34+E39+E44+E49+E54+E59+E68)</f>
        <v>1481017</v>
      </c>
      <c r="F80" s="879">
        <f>SUM(F34+F39+F44+F49+F54+F59+F68)</f>
        <v>1000000</v>
      </c>
      <c r="G80" s="879">
        <f>SUM(G34+G39+G44+G49+G54+G59+G68)</f>
        <v>1000000</v>
      </c>
      <c r="H80" s="879">
        <f>SUM(H34+H39+H44+H49+H54+H59+H68)</f>
        <v>1000000</v>
      </c>
      <c r="I80" s="879">
        <f>SUM(I34+I39+I44+I49+I54+I59+I68)</f>
        <v>1000000</v>
      </c>
    </row>
    <row r="81" spans="1:9" s="547" customFormat="1" ht="12.75" customHeight="1">
      <c r="A81" s="880" t="s">
        <v>210</v>
      </c>
      <c r="B81" s="808"/>
      <c r="C81" s="808" t="s">
        <v>792</v>
      </c>
      <c r="D81" s="808"/>
      <c r="E81" s="881">
        <v>1481017</v>
      </c>
      <c r="F81" s="881">
        <v>1000000</v>
      </c>
      <c r="G81" s="881">
        <v>1000000</v>
      </c>
      <c r="H81" s="881">
        <v>1000000</v>
      </c>
      <c r="I81" s="881">
        <v>1000000</v>
      </c>
    </row>
    <row r="82" spans="1:9" s="547" customFormat="1" ht="12.75" customHeight="1" thickBot="1">
      <c r="A82" s="864" t="s">
        <v>264</v>
      </c>
      <c r="B82" s="865"/>
      <c r="C82" s="865" t="s">
        <v>793</v>
      </c>
      <c r="D82" s="865"/>
      <c r="E82" s="871"/>
      <c r="F82" s="871"/>
      <c r="G82" s="871"/>
      <c r="H82" s="871"/>
      <c r="I82" s="871"/>
    </row>
  </sheetData>
  <sheetProtection selectLockedCells="1" selectUnlockedCells="1"/>
  <mergeCells count="23">
    <mergeCell ref="A29:B29"/>
    <mergeCell ref="C76:D76"/>
    <mergeCell ref="C13:D13"/>
    <mergeCell ref="C15:D15"/>
    <mergeCell ref="C16:D16"/>
    <mergeCell ref="C17:D17"/>
    <mergeCell ref="C25:D25"/>
    <mergeCell ref="C21:D21"/>
    <mergeCell ref="A28:B28"/>
    <mergeCell ref="C24:D24"/>
    <mergeCell ref="C9:D9"/>
    <mergeCell ref="C8:D8"/>
    <mergeCell ref="A9:B9"/>
    <mergeCell ref="C19:D19"/>
    <mergeCell ref="C20:D20"/>
    <mergeCell ref="A1:I1"/>
    <mergeCell ref="C22:D22"/>
    <mergeCell ref="C10:D10"/>
    <mergeCell ref="A3:I3"/>
    <mergeCell ref="A5:I5"/>
    <mergeCell ref="A8:B8"/>
    <mergeCell ref="C11:D11"/>
    <mergeCell ref="E4:G4"/>
  </mergeCells>
  <printOptions horizontalCentered="1"/>
  <pageMargins left="0.1968503937007874" right="0.1968503937007874" top="0.2755905511811024" bottom="0.2755905511811024" header="0.5118110236220472" footer="0.7874015748031497"/>
  <pageSetup horizontalDpi="600" verticalDpi="600" orientation="portrait" paperSize="9" scale="55" r:id="rId1"/>
  <headerFooter alignWithMargins="0"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3"/>
  <sheetViews>
    <sheetView view="pageBreakPreview" zoomScale="120" zoomScaleSheetLayoutView="120" zoomScalePageLayoutView="0" workbookViewId="0" topLeftCell="A1">
      <selection activeCell="I3" sqref="I3"/>
    </sheetView>
  </sheetViews>
  <sheetFormatPr defaultColWidth="11.57421875" defaultRowHeight="12.75" customHeight="1"/>
  <cols>
    <col min="1" max="1" width="4.00390625" style="1092" customWidth="1"/>
    <col min="2" max="2" width="4.28125" style="1092" customWidth="1"/>
    <col min="3" max="3" width="40.421875" style="1092" customWidth="1"/>
    <col min="4" max="4" width="4.28125" style="1092" customWidth="1"/>
    <col min="5" max="9" width="17.00390625" style="1092" customWidth="1"/>
    <col min="10" max="16384" width="11.57421875" style="1092" customWidth="1"/>
  </cols>
  <sheetData>
    <row r="1" spans="1:9" s="1091" customFormat="1" ht="18" customHeight="1">
      <c r="A1" s="1984" t="s">
        <v>517</v>
      </c>
      <c r="B1" s="1984"/>
      <c r="C1" s="1984"/>
      <c r="D1" s="1984"/>
      <c r="E1" s="1984"/>
      <c r="F1" s="1984"/>
      <c r="G1" s="1984"/>
      <c r="H1" s="1984"/>
      <c r="I1" s="1984"/>
    </row>
    <row r="2" spans="1:9" ht="12.75" customHeight="1">
      <c r="A2" s="1983" t="s">
        <v>1181</v>
      </c>
      <c r="B2" s="1983"/>
      <c r="C2" s="1983"/>
      <c r="D2" s="1983"/>
      <c r="E2" s="1983"/>
      <c r="F2" s="1983"/>
      <c r="G2" s="1983"/>
      <c r="H2" s="1983"/>
      <c r="I2" s="1983"/>
    </row>
    <row r="3" spans="3:9" ht="12" customHeight="1">
      <c r="C3" s="2068" t="s">
        <v>1183</v>
      </c>
      <c r="D3" s="2068"/>
      <c r="E3" s="2068"/>
      <c r="F3" s="2068"/>
      <c r="G3" s="2068"/>
      <c r="H3" s="2068"/>
      <c r="I3" s="1093" t="s">
        <v>497</v>
      </c>
    </row>
    <row r="4" spans="1:9" ht="18" customHeight="1">
      <c r="A4" s="1982" t="s">
        <v>1022</v>
      </c>
      <c r="B4" s="1982"/>
      <c r="C4" s="1982"/>
      <c r="D4" s="1982"/>
      <c r="E4" s="1982"/>
      <c r="F4" s="1982"/>
      <c r="G4" s="1982"/>
      <c r="H4" s="1982"/>
      <c r="I4" s="1982"/>
    </row>
    <row r="5" spans="5:9" ht="24.75" customHeight="1">
      <c r="E5" s="1093"/>
      <c r="F5" s="1093"/>
      <c r="G5" s="1093"/>
      <c r="H5" s="1093"/>
      <c r="I5" s="1093"/>
    </row>
    <row r="6" spans="1:9" ht="12.75" customHeight="1" thickBot="1">
      <c r="A6" s="1978"/>
      <c r="B6" s="1978"/>
      <c r="C6" s="1978"/>
      <c r="D6" s="1094"/>
      <c r="E6" s="1095"/>
      <c r="F6" s="1095"/>
      <c r="G6" s="1095"/>
      <c r="H6" s="1095"/>
      <c r="I6" s="1095" t="s">
        <v>214</v>
      </c>
    </row>
    <row r="7" spans="1:9" ht="42.75" customHeight="1">
      <c r="A7" s="1979" t="s">
        <v>156</v>
      </c>
      <c r="B7" s="1980"/>
      <c r="C7" s="1981" t="s">
        <v>157</v>
      </c>
      <c r="D7" s="1981"/>
      <c r="E7" s="535" t="s">
        <v>1078</v>
      </c>
      <c r="F7" s="535" t="s">
        <v>997</v>
      </c>
      <c r="G7" s="535" t="s">
        <v>1139</v>
      </c>
      <c r="H7" s="535" t="s">
        <v>1141</v>
      </c>
      <c r="I7" s="535" t="s">
        <v>1164</v>
      </c>
    </row>
    <row r="8" spans="1:9" ht="12.75" customHeight="1" thickBot="1">
      <c r="A8" s="1972" t="s">
        <v>158</v>
      </c>
      <c r="B8" s="1973"/>
      <c r="C8" s="1974" t="s">
        <v>159</v>
      </c>
      <c r="D8" s="1974"/>
      <c r="E8" s="538" t="s">
        <v>160</v>
      </c>
      <c r="F8" s="538" t="s">
        <v>161</v>
      </c>
      <c r="G8" s="538" t="s">
        <v>462</v>
      </c>
      <c r="H8" s="538" t="s">
        <v>482</v>
      </c>
      <c r="I8" s="538" t="s">
        <v>715</v>
      </c>
    </row>
    <row r="9" spans="1:9" s="1099" customFormat="1" ht="29.25" customHeight="1">
      <c r="A9" s="1096" t="s">
        <v>38</v>
      </c>
      <c r="B9" s="1097"/>
      <c r="C9" s="1975" t="s">
        <v>580</v>
      </c>
      <c r="D9" s="1975"/>
      <c r="E9" s="1098">
        <v>58211337</v>
      </c>
      <c r="F9" s="1098">
        <f>SUM('12. melléklet'!G33)</f>
        <v>62276520</v>
      </c>
      <c r="G9" s="1098">
        <v>62276520</v>
      </c>
      <c r="H9" s="1098">
        <v>62276520</v>
      </c>
      <c r="I9" s="1098">
        <v>62276520</v>
      </c>
    </row>
    <row r="10" spans="1:9" s="1099" customFormat="1" ht="27.75" customHeight="1">
      <c r="A10" s="1100" t="s">
        <v>40</v>
      </c>
      <c r="B10" s="1101"/>
      <c r="C10" s="1976" t="s">
        <v>581</v>
      </c>
      <c r="D10" s="1977"/>
      <c r="E10" s="1102">
        <v>71893151</v>
      </c>
      <c r="F10" s="1102">
        <f>SUM('12. melléklet'!G46)</f>
        <v>72775566</v>
      </c>
      <c r="G10" s="1102">
        <v>72775566</v>
      </c>
      <c r="H10" s="1102">
        <v>72775566</v>
      </c>
      <c r="I10" s="1102">
        <v>72775566</v>
      </c>
    </row>
    <row r="11" spans="1:9" s="1099" customFormat="1" ht="25.5" customHeight="1">
      <c r="A11" s="1103" t="s">
        <v>47</v>
      </c>
      <c r="B11" s="1104"/>
      <c r="C11" s="1964" t="s">
        <v>602</v>
      </c>
      <c r="D11" s="1965"/>
      <c r="E11" s="1102">
        <v>66041405</v>
      </c>
      <c r="F11" s="1102">
        <f>SUM('12. melléklet'!G56)</f>
        <v>58547790</v>
      </c>
      <c r="G11" s="1102">
        <v>58547790</v>
      </c>
      <c r="H11" s="1102">
        <v>58547790</v>
      </c>
      <c r="I11" s="1102">
        <v>58547790</v>
      </c>
    </row>
    <row r="12" spans="1:9" s="1099" customFormat="1" ht="29.25" customHeight="1">
      <c r="A12" s="1105" t="s">
        <v>49</v>
      </c>
      <c r="B12" s="1106"/>
      <c r="C12" s="1964" t="s">
        <v>582</v>
      </c>
      <c r="D12" s="1965"/>
      <c r="E12" s="1102">
        <v>4760778</v>
      </c>
      <c r="F12" s="1102">
        <f>SUM('12. melléklet'!G59)</f>
        <v>4227740</v>
      </c>
      <c r="G12" s="1102">
        <v>4227740</v>
      </c>
      <c r="H12" s="1102">
        <v>4227740</v>
      </c>
      <c r="I12" s="1102">
        <v>4227740</v>
      </c>
    </row>
    <row r="13" spans="1:9" s="1099" customFormat="1" ht="29.25" customHeight="1">
      <c r="A13" s="1105" t="s">
        <v>51</v>
      </c>
      <c r="B13" s="1106"/>
      <c r="C13" s="1964" t="s">
        <v>583</v>
      </c>
      <c r="D13" s="1965"/>
      <c r="E13" s="1107">
        <v>2961270</v>
      </c>
      <c r="F13" s="1107">
        <v>0</v>
      </c>
      <c r="G13" s="1107">
        <v>0</v>
      </c>
      <c r="H13" s="1107">
        <v>7459200</v>
      </c>
      <c r="I13" s="1107">
        <v>7459200</v>
      </c>
    </row>
    <row r="14" spans="1:9" s="1099" customFormat="1" ht="12">
      <c r="A14" s="1105" t="s">
        <v>53</v>
      </c>
      <c r="B14" s="1106"/>
      <c r="C14" s="1964" t="s">
        <v>584</v>
      </c>
      <c r="D14" s="1965"/>
      <c r="E14" s="1102">
        <v>270530</v>
      </c>
      <c r="F14" s="1102">
        <v>0</v>
      </c>
      <c r="G14" s="1102">
        <v>0</v>
      </c>
      <c r="H14" s="1102">
        <v>0</v>
      </c>
      <c r="I14" s="1587">
        <v>0</v>
      </c>
    </row>
    <row r="15" spans="1:9" ht="12.75">
      <c r="A15" s="1108" t="s">
        <v>55</v>
      </c>
      <c r="B15" s="1109"/>
      <c r="C15" s="1966" t="s">
        <v>803</v>
      </c>
      <c r="D15" s="1967"/>
      <c r="E15" s="1110">
        <f>SUM(E9:E14)</f>
        <v>204138471</v>
      </c>
      <c r="F15" s="1110">
        <f>SUM(F9:F14)</f>
        <v>197827616</v>
      </c>
      <c r="G15" s="1110">
        <f>SUM(G9:G14)</f>
        <v>197827616</v>
      </c>
      <c r="H15" s="1110">
        <f>SUM(H9:H14)</f>
        <v>205286816</v>
      </c>
      <c r="I15" s="1584">
        <f>SUM(I9:I14)</f>
        <v>205286816</v>
      </c>
    </row>
    <row r="16" spans="1:9" ht="25.5" customHeight="1">
      <c r="A16" s="1108" t="s">
        <v>57</v>
      </c>
      <c r="B16" s="1109"/>
      <c r="C16" s="1968" t="s">
        <v>804</v>
      </c>
      <c r="D16" s="1969"/>
      <c r="E16" s="1110">
        <f>SUM(E17:E20)</f>
        <v>6848850</v>
      </c>
      <c r="F16" s="1110">
        <f>SUM(F17:F20)</f>
        <v>6848850</v>
      </c>
      <c r="G16" s="1110">
        <f>SUM(G17:G20)</f>
        <v>6848850</v>
      </c>
      <c r="H16" s="1110">
        <f>SUM(H17:H20)</f>
        <v>13257607</v>
      </c>
      <c r="I16" s="1584">
        <f>SUM(I17:I20)</f>
        <v>13257607</v>
      </c>
    </row>
    <row r="17" spans="1:9" s="1114" customFormat="1" ht="12">
      <c r="A17" s="1111" t="s">
        <v>86</v>
      </c>
      <c r="B17" s="1112"/>
      <c r="C17" s="1970" t="s">
        <v>603</v>
      </c>
      <c r="D17" s="1971"/>
      <c r="E17" s="1113"/>
      <c r="F17" s="1113"/>
      <c r="G17" s="1113"/>
      <c r="H17" s="1113"/>
      <c r="I17" s="1115"/>
    </row>
    <row r="18" spans="1:9" s="1114" customFormat="1" ht="12">
      <c r="A18" s="1111" t="s">
        <v>59</v>
      </c>
      <c r="B18" s="1112"/>
      <c r="C18" s="1970" t="s">
        <v>805</v>
      </c>
      <c r="D18" s="1971"/>
      <c r="E18" s="1113">
        <v>0</v>
      </c>
      <c r="F18" s="1113">
        <v>0</v>
      </c>
      <c r="G18" s="1113">
        <v>0</v>
      </c>
      <c r="H18" s="1113"/>
      <c r="I18" s="1115"/>
    </row>
    <row r="19" spans="1:9" s="1114" customFormat="1" ht="12">
      <c r="A19" s="1111" t="s">
        <v>61</v>
      </c>
      <c r="B19" s="1112"/>
      <c r="C19" s="1953" t="s">
        <v>806</v>
      </c>
      <c r="D19" s="1954"/>
      <c r="E19" s="1115">
        <v>6848850</v>
      </c>
      <c r="F19" s="1115">
        <v>6848850</v>
      </c>
      <c r="G19" s="1115">
        <v>6848850</v>
      </c>
      <c r="H19" s="1115">
        <v>4209988</v>
      </c>
      <c r="I19" s="1115">
        <v>4209988</v>
      </c>
    </row>
    <row r="20" spans="1:9" s="1114" customFormat="1" ht="12">
      <c r="A20" s="1111" t="s">
        <v>63</v>
      </c>
      <c r="B20" s="1112"/>
      <c r="C20" s="1955" t="s">
        <v>807</v>
      </c>
      <c r="D20" s="1956"/>
      <c r="E20" s="1115"/>
      <c r="F20" s="1115"/>
      <c r="G20" s="1115"/>
      <c r="H20" s="1115">
        <v>9047619</v>
      </c>
      <c r="I20" s="1115">
        <v>9047619</v>
      </c>
    </row>
    <row r="21" spans="1:9" s="1119" customFormat="1" ht="33" customHeight="1">
      <c r="A21" s="1116" t="s">
        <v>65</v>
      </c>
      <c r="B21" s="1117" t="s">
        <v>164</v>
      </c>
      <c r="C21" s="1957" t="s">
        <v>808</v>
      </c>
      <c r="D21" s="1958"/>
      <c r="E21" s="1118">
        <f>SUM(E15+E16)</f>
        <v>210987321</v>
      </c>
      <c r="F21" s="1118">
        <f>SUM(F15+F16)</f>
        <v>204676466</v>
      </c>
      <c r="G21" s="1118">
        <f>SUM(G15+G16)</f>
        <v>204676466</v>
      </c>
      <c r="H21" s="1118">
        <f>SUM(H15+H16)</f>
        <v>218544423</v>
      </c>
      <c r="I21" s="1583">
        <f>SUM(I15+I16)</f>
        <v>218544423</v>
      </c>
    </row>
    <row r="22" spans="1:9" s="1123" customFormat="1" ht="33" customHeight="1">
      <c r="A22" s="1120" t="s">
        <v>92</v>
      </c>
      <c r="B22" s="1121"/>
      <c r="C22" s="1959" t="s">
        <v>810</v>
      </c>
      <c r="D22" s="1960"/>
      <c r="E22" s="1122">
        <v>14182798</v>
      </c>
      <c r="F22" s="1122">
        <f>SUM(F23)</f>
        <v>0</v>
      </c>
      <c r="G22" s="1122">
        <f>SUM(G23)</f>
        <v>0</v>
      </c>
      <c r="H22" s="1122">
        <f>SUM(H23)</f>
        <v>0</v>
      </c>
      <c r="I22" s="1122">
        <f>SUM(I23)</f>
        <v>0</v>
      </c>
    </row>
    <row r="23" spans="1:9" s="1127" customFormat="1" ht="12">
      <c r="A23" s="1124" t="s">
        <v>66</v>
      </c>
      <c r="B23" s="1125"/>
      <c r="C23" s="1961" t="s">
        <v>811</v>
      </c>
      <c r="D23" s="1962"/>
      <c r="E23" s="1126">
        <v>4182798</v>
      </c>
      <c r="F23" s="1126"/>
      <c r="G23" s="1126"/>
      <c r="H23" s="1126"/>
      <c r="I23" s="1126"/>
    </row>
    <row r="24" spans="1:9" s="1127" customFormat="1" ht="24">
      <c r="A24" s="1124"/>
      <c r="B24" s="1125"/>
      <c r="C24" s="1027" t="s">
        <v>990</v>
      </c>
      <c r="D24" s="1028"/>
      <c r="E24" s="1126">
        <v>9000000</v>
      </c>
      <c r="F24" s="1126"/>
      <c r="G24" s="1126"/>
      <c r="H24" s="1126"/>
      <c r="I24" s="1126"/>
    </row>
    <row r="25" spans="1:9" s="226" customFormat="1" ht="27" customHeight="1">
      <c r="A25" s="1128" t="s">
        <v>67</v>
      </c>
      <c r="B25" s="1129" t="s">
        <v>166</v>
      </c>
      <c r="C25" s="1963" t="s">
        <v>809</v>
      </c>
      <c r="D25" s="1963"/>
      <c r="E25" s="1118">
        <f>SUM(E22)</f>
        <v>14182798</v>
      </c>
      <c r="F25" s="1118">
        <f>SUM(F22)</f>
        <v>0</v>
      </c>
      <c r="G25" s="1118">
        <f>SUM(G22)</f>
        <v>0</v>
      </c>
      <c r="H25" s="1118">
        <f>SUM(H22)</f>
        <v>0</v>
      </c>
      <c r="I25" s="1118">
        <f>SUM(I22)</f>
        <v>0</v>
      </c>
    </row>
    <row r="26" spans="1:9" s="1131" customFormat="1" ht="12">
      <c r="A26" s="1105" t="s">
        <v>68</v>
      </c>
      <c r="B26" s="1130"/>
      <c r="C26" s="1943" t="s">
        <v>597</v>
      </c>
      <c r="D26" s="1944"/>
      <c r="E26" s="1102">
        <v>8127945</v>
      </c>
      <c r="F26" s="1102">
        <v>7013063</v>
      </c>
      <c r="G26" s="1102">
        <v>7013063</v>
      </c>
      <c r="H26" s="1102">
        <v>7013063</v>
      </c>
      <c r="I26" s="1102">
        <v>7013063</v>
      </c>
    </row>
    <row r="27" spans="1:9" s="1131" customFormat="1" ht="12">
      <c r="A27" s="1105" t="s">
        <v>70</v>
      </c>
      <c r="B27" s="1130"/>
      <c r="C27" s="1945" t="s">
        <v>598</v>
      </c>
      <c r="D27" s="1946"/>
      <c r="E27" s="1102">
        <v>164505470</v>
      </c>
      <c r="F27" s="1102">
        <v>150581381</v>
      </c>
      <c r="G27" s="1102">
        <v>150581381</v>
      </c>
      <c r="H27" s="1102">
        <v>150581381</v>
      </c>
      <c r="I27" s="1102">
        <v>150581381</v>
      </c>
    </row>
    <row r="28" spans="1:9" s="1131" customFormat="1" ht="12">
      <c r="A28" s="1105" t="s">
        <v>97</v>
      </c>
      <c r="B28" s="1130"/>
      <c r="C28" s="1945" t="s">
        <v>599</v>
      </c>
      <c r="D28" s="1946"/>
      <c r="E28" s="1102">
        <v>12680105</v>
      </c>
      <c r="F28" s="1102">
        <v>10353962</v>
      </c>
      <c r="G28" s="1102">
        <v>10353962</v>
      </c>
      <c r="H28" s="1102">
        <v>10353962</v>
      </c>
      <c r="I28" s="1102">
        <v>10353962</v>
      </c>
    </row>
    <row r="29" spans="1:9" s="1131" customFormat="1" ht="26.25" customHeight="1">
      <c r="A29" s="1105" t="s">
        <v>99</v>
      </c>
      <c r="B29" s="1130"/>
      <c r="C29" s="1947" t="s">
        <v>600</v>
      </c>
      <c r="D29" s="1948"/>
      <c r="E29" s="1102">
        <v>0</v>
      </c>
      <c r="F29" s="1102">
        <v>0</v>
      </c>
      <c r="G29" s="1102">
        <v>0</v>
      </c>
      <c r="H29" s="1102">
        <v>0</v>
      </c>
      <c r="I29" s="1102">
        <v>0</v>
      </c>
    </row>
    <row r="30" spans="1:9" s="1131" customFormat="1" ht="17.25" customHeight="1">
      <c r="A30" s="1105" t="s">
        <v>101</v>
      </c>
      <c r="B30" s="1130"/>
      <c r="C30" s="1949" t="s">
        <v>601</v>
      </c>
      <c r="D30" s="1950"/>
      <c r="E30" s="1102">
        <v>1362640</v>
      </c>
      <c r="F30" s="1102">
        <v>502981</v>
      </c>
      <c r="G30" s="1102">
        <v>502981</v>
      </c>
      <c r="H30" s="1102">
        <v>502981</v>
      </c>
      <c r="I30" s="1102">
        <v>502981</v>
      </c>
    </row>
    <row r="31" spans="1:9" s="226" customFormat="1" ht="12.75">
      <c r="A31" s="1128" t="s">
        <v>103</v>
      </c>
      <c r="B31" s="1129" t="s">
        <v>173</v>
      </c>
      <c r="C31" s="1951" t="s">
        <v>813</v>
      </c>
      <c r="D31" s="1952"/>
      <c r="E31" s="1118">
        <f>SUM(E26:E30)</f>
        <v>186676160</v>
      </c>
      <c r="F31" s="1118">
        <f>SUM(F26:F30)</f>
        <v>168451387</v>
      </c>
      <c r="G31" s="1118">
        <f>SUM(G26:G30)</f>
        <v>168451387</v>
      </c>
      <c r="H31" s="1118">
        <f>SUM(H26:H30)</f>
        <v>168451387</v>
      </c>
      <c r="I31" s="1583">
        <f>SUM(I26:I30)</f>
        <v>168451387</v>
      </c>
    </row>
    <row r="32" spans="1:9" s="226" customFormat="1" ht="12.75">
      <c r="A32" s="1108" t="s">
        <v>105</v>
      </c>
      <c r="B32" s="1129"/>
      <c r="C32" s="1935" t="s">
        <v>585</v>
      </c>
      <c r="D32" s="1936"/>
      <c r="E32" s="1110">
        <v>3345228</v>
      </c>
      <c r="F32" s="1110">
        <v>3345228</v>
      </c>
      <c r="G32" s="1110">
        <v>3345228</v>
      </c>
      <c r="H32" s="1110">
        <v>3345228</v>
      </c>
      <c r="I32" s="1584">
        <v>3345228</v>
      </c>
    </row>
    <row r="33" spans="1:9" s="226" customFormat="1" ht="12.75">
      <c r="A33" s="1108" t="s">
        <v>107</v>
      </c>
      <c r="B33" s="1129"/>
      <c r="C33" s="1937" t="s">
        <v>176</v>
      </c>
      <c r="D33" s="1938"/>
      <c r="E33" s="1110">
        <v>4026406</v>
      </c>
      <c r="F33" s="1110">
        <v>4000000</v>
      </c>
      <c r="G33" s="1110">
        <v>7217231</v>
      </c>
      <c r="H33" s="1110">
        <v>7217231</v>
      </c>
      <c r="I33" s="1584">
        <v>7217231</v>
      </c>
    </row>
    <row r="34" spans="1:9" s="226" customFormat="1" ht="12.75">
      <c r="A34" s="1108" t="s">
        <v>109</v>
      </c>
      <c r="B34" s="1129"/>
      <c r="C34" s="1937" t="s">
        <v>177</v>
      </c>
      <c r="D34" s="1938"/>
      <c r="E34" s="1110">
        <v>2389529</v>
      </c>
      <c r="F34" s="1110">
        <v>2400000</v>
      </c>
      <c r="G34" s="1110">
        <v>2400000</v>
      </c>
      <c r="H34" s="1110">
        <v>2400000</v>
      </c>
      <c r="I34" s="1584">
        <v>2400000</v>
      </c>
    </row>
    <row r="35" spans="1:9" s="226" customFormat="1" ht="12.75">
      <c r="A35" s="1108" t="s">
        <v>111</v>
      </c>
      <c r="B35" s="1129"/>
      <c r="C35" s="1937" t="s">
        <v>179</v>
      </c>
      <c r="D35" s="1938"/>
      <c r="E35" s="1110">
        <v>6025093</v>
      </c>
      <c r="F35" s="1110">
        <v>6000000</v>
      </c>
      <c r="G35" s="1110">
        <v>6000000</v>
      </c>
      <c r="H35" s="1110">
        <v>6000000</v>
      </c>
      <c r="I35" s="1584">
        <v>9780000</v>
      </c>
    </row>
    <row r="36" spans="1:9" s="226" customFormat="1" ht="12.75">
      <c r="A36" s="1108" t="s">
        <v>113</v>
      </c>
      <c r="B36" s="1129"/>
      <c r="C36" s="1132" t="s">
        <v>709</v>
      </c>
      <c r="D36" s="1133"/>
      <c r="E36" s="1110">
        <v>0</v>
      </c>
      <c r="F36" s="1110"/>
      <c r="G36" s="1110"/>
      <c r="H36" s="1110"/>
      <c r="I36" s="1584"/>
    </row>
    <row r="37" spans="1:9" ht="12.75">
      <c r="A37" s="1108" t="s">
        <v>115</v>
      </c>
      <c r="B37" s="1109"/>
      <c r="C37" s="1939" t="s">
        <v>596</v>
      </c>
      <c r="D37" s="1940"/>
      <c r="E37" s="1110">
        <v>535</v>
      </c>
      <c r="F37" s="1110"/>
      <c r="G37" s="1110"/>
      <c r="H37" s="1110"/>
      <c r="I37" s="1584">
        <v>5</v>
      </c>
    </row>
    <row r="38" spans="1:9" ht="12.75">
      <c r="A38" s="1108" t="s">
        <v>117</v>
      </c>
      <c r="B38" s="1109"/>
      <c r="C38" s="1134" t="s">
        <v>812</v>
      </c>
      <c r="D38" s="1135"/>
      <c r="E38" s="1110">
        <v>660167</v>
      </c>
      <c r="F38" s="1110">
        <v>0</v>
      </c>
      <c r="G38" s="1110">
        <v>0</v>
      </c>
      <c r="H38" s="1110">
        <v>0</v>
      </c>
      <c r="I38" s="1584">
        <v>113750</v>
      </c>
    </row>
    <row r="39" spans="1:9" ht="12.75" customHeight="1">
      <c r="A39" s="1108" t="s">
        <v>118</v>
      </c>
      <c r="B39" s="1109"/>
      <c r="C39" s="1941" t="s">
        <v>181</v>
      </c>
      <c r="D39" s="1942"/>
      <c r="E39" s="1110">
        <v>310271</v>
      </c>
      <c r="F39" s="1110">
        <v>0</v>
      </c>
      <c r="G39" s="1110">
        <v>0</v>
      </c>
      <c r="H39" s="1110">
        <v>25243</v>
      </c>
      <c r="I39" s="1584">
        <v>2442485</v>
      </c>
    </row>
    <row r="40" spans="1:9" s="226" customFormat="1" ht="12.75">
      <c r="A40" s="1128" t="s">
        <v>120</v>
      </c>
      <c r="B40" s="1136" t="s">
        <v>182</v>
      </c>
      <c r="C40" s="1926" t="s">
        <v>814</v>
      </c>
      <c r="D40" s="1927"/>
      <c r="E40" s="1137">
        <f>SUM(E32:E39)</f>
        <v>16757229</v>
      </c>
      <c r="F40" s="1137">
        <f>SUM(F32:F39)</f>
        <v>15745228</v>
      </c>
      <c r="G40" s="1137">
        <f>SUM(G32:G39)</f>
        <v>18962459</v>
      </c>
      <c r="H40" s="1137">
        <f>SUM(H32:H39)</f>
        <v>18987702</v>
      </c>
      <c r="I40" s="1585">
        <f>SUM(I32:I39)</f>
        <v>25298699</v>
      </c>
    </row>
    <row r="41" spans="1:9" s="226" customFormat="1" ht="12.75" customHeight="1">
      <c r="A41" s="1128" t="s">
        <v>122</v>
      </c>
      <c r="B41" s="1136" t="s">
        <v>183</v>
      </c>
      <c r="C41" s="1928" t="s">
        <v>815</v>
      </c>
      <c r="D41" s="1928"/>
      <c r="E41" s="453">
        <f>SUM(E42:E44)</f>
        <v>15566246</v>
      </c>
      <c r="F41" s="453">
        <f>SUM(F42:F44)</f>
        <v>24150568</v>
      </c>
      <c r="G41" s="453">
        <f>SUM(G42:G44)</f>
        <v>24150568</v>
      </c>
      <c r="H41" s="453">
        <f>SUM(H42:H44)</f>
        <v>24152932</v>
      </c>
      <c r="I41" s="1586">
        <f>SUM(I42:I45)</f>
        <v>38152932</v>
      </c>
    </row>
    <row r="42" spans="1:9" s="1099" customFormat="1" ht="12.75" customHeight="1">
      <c r="A42" s="1105" t="s">
        <v>124</v>
      </c>
      <c r="B42" s="1106"/>
      <c r="C42" s="1138" t="s">
        <v>1058</v>
      </c>
      <c r="D42" s="1139"/>
      <c r="E42" s="1140">
        <v>6135038</v>
      </c>
      <c r="F42" s="1140">
        <v>24150568</v>
      </c>
      <c r="G42" s="1140">
        <v>24150568</v>
      </c>
      <c r="H42" s="1140">
        <v>24150568</v>
      </c>
      <c r="I42" s="1140">
        <v>24150568</v>
      </c>
    </row>
    <row r="43" spans="1:9" s="1099" customFormat="1" ht="12.75" customHeight="1">
      <c r="A43" s="1105" t="s">
        <v>126</v>
      </c>
      <c r="B43" s="1106"/>
      <c r="C43" s="1138" t="s">
        <v>816</v>
      </c>
      <c r="D43" s="1139"/>
      <c r="E43" s="1140">
        <v>1500000</v>
      </c>
      <c r="F43" s="1140">
        <v>0</v>
      </c>
      <c r="G43" s="1140">
        <v>0</v>
      </c>
      <c r="H43" s="1140">
        <v>2364</v>
      </c>
      <c r="I43" s="1140">
        <v>2364</v>
      </c>
    </row>
    <row r="44" spans="1:9" s="1099" customFormat="1" ht="12.75" customHeight="1">
      <c r="A44" s="1105" t="s">
        <v>128</v>
      </c>
      <c r="B44" s="1106"/>
      <c r="C44" s="1138" t="s">
        <v>1059</v>
      </c>
      <c r="D44" s="1139"/>
      <c r="E44" s="1140">
        <v>7931208</v>
      </c>
      <c r="F44" s="1140">
        <v>0</v>
      </c>
      <c r="G44" s="1140">
        <v>0</v>
      </c>
      <c r="H44" s="1140">
        <v>0</v>
      </c>
      <c r="I44" s="1140">
        <v>0</v>
      </c>
    </row>
    <row r="45" spans="1:9" s="1099" customFormat="1" ht="12.75" customHeight="1">
      <c r="A45" s="1105" t="s">
        <v>130</v>
      </c>
      <c r="B45" s="1106"/>
      <c r="C45" s="1138" t="s">
        <v>1171</v>
      </c>
      <c r="D45" s="1139"/>
      <c r="E45" s="1140"/>
      <c r="F45" s="1140"/>
      <c r="G45" s="1140"/>
      <c r="H45" s="1140"/>
      <c r="I45" s="1140">
        <v>14000000</v>
      </c>
    </row>
    <row r="46" spans="1:9" s="226" customFormat="1" ht="12.75" customHeight="1">
      <c r="A46" s="1128" t="s">
        <v>131</v>
      </c>
      <c r="B46" s="1141" t="s">
        <v>651</v>
      </c>
      <c r="C46" s="1926" t="s">
        <v>780</v>
      </c>
      <c r="D46" s="1927"/>
      <c r="E46" s="1118">
        <f>SUM(E47:E48)</f>
        <v>815220</v>
      </c>
      <c r="F46" s="1118">
        <f>SUM(F47:F48)</f>
        <v>78000</v>
      </c>
      <c r="G46" s="1118">
        <f>SUM(G47:G48)</f>
        <v>78000</v>
      </c>
      <c r="H46" s="1118">
        <f>SUM(H47:H48)</f>
        <v>78000</v>
      </c>
      <c r="I46" s="1118">
        <f>SUM(I47:I48)</f>
        <v>78000</v>
      </c>
    </row>
    <row r="47" spans="1:9" s="1099" customFormat="1" ht="24" customHeight="1">
      <c r="A47" s="1142" t="s">
        <v>133</v>
      </c>
      <c r="B47" s="1143"/>
      <c r="C47" s="1144" t="s">
        <v>817</v>
      </c>
      <c r="D47" s="1145"/>
      <c r="E47" s="1146">
        <v>77420</v>
      </c>
      <c r="F47" s="1146">
        <v>78000</v>
      </c>
      <c r="G47" s="1146">
        <v>78000</v>
      </c>
      <c r="H47" s="1146">
        <v>78000</v>
      </c>
      <c r="I47" s="1146">
        <v>78000</v>
      </c>
    </row>
    <row r="48" spans="1:9" s="1099" customFormat="1" ht="12.75" customHeight="1">
      <c r="A48" s="1142" t="s">
        <v>135</v>
      </c>
      <c r="B48" s="1143"/>
      <c r="C48" s="1147" t="s">
        <v>818</v>
      </c>
      <c r="D48" s="1145"/>
      <c r="E48" s="1146">
        <v>737800</v>
      </c>
      <c r="F48" s="1146"/>
      <c r="G48" s="1146"/>
      <c r="H48" s="1146"/>
      <c r="I48" s="1146"/>
    </row>
    <row r="49" spans="1:9" s="226" customFormat="1" ht="12.75" customHeight="1" thickBot="1">
      <c r="A49" s="1148" t="s">
        <v>137</v>
      </c>
      <c r="B49" s="1149" t="s">
        <v>186</v>
      </c>
      <c r="C49" s="1929" t="s">
        <v>819</v>
      </c>
      <c r="D49" s="1930"/>
      <c r="E49" s="1150">
        <v>3200000</v>
      </c>
      <c r="F49" s="1150">
        <v>0</v>
      </c>
      <c r="G49" s="1150">
        <v>0</v>
      </c>
      <c r="H49" s="1150">
        <v>0</v>
      </c>
      <c r="I49" s="1150">
        <v>0</v>
      </c>
    </row>
    <row r="50" spans="1:9" s="1154" customFormat="1" ht="15.75" thickBot="1">
      <c r="A50" s="1151" t="s">
        <v>139</v>
      </c>
      <c r="B50" s="1152"/>
      <c r="C50" s="1931" t="s">
        <v>485</v>
      </c>
      <c r="D50" s="1932"/>
      <c r="E50" s="1153">
        <f>SUM(E21+E25+E31+E40+E41+E46+E49)</f>
        <v>448184974</v>
      </c>
      <c r="F50" s="1153">
        <f>SUM(F21+F25+F31+F40+F41+F46+F49)</f>
        <v>413101649</v>
      </c>
      <c r="G50" s="1153">
        <f>SUM(G21+G25+G31+G40+G41+G46+G49)</f>
        <v>416318880</v>
      </c>
      <c r="H50" s="1153">
        <f>SUM(H21+H25+H31+H40+H41+H46+H49)</f>
        <v>430214444</v>
      </c>
      <c r="I50" s="1153">
        <f>SUM(I21+I25+I31+I40+I41+I46+I49)</f>
        <v>450525441</v>
      </c>
    </row>
    <row r="51" spans="1:9" ht="12.75" customHeight="1">
      <c r="A51" s="1155" t="s">
        <v>141</v>
      </c>
      <c r="B51" s="1156"/>
      <c r="C51" s="1933" t="s">
        <v>652</v>
      </c>
      <c r="D51" s="1934"/>
      <c r="E51" s="1157">
        <v>0</v>
      </c>
      <c r="F51" s="1157">
        <v>0</v>
      </c>
      <c r="G51" s="1157">
        <v>0</v>
      </c>
      <c r="H51" s="1157">
        <v>0</v>
      </c>
      <c r="I51" s="1157">
        <v>0</v>
      </c>
    </row>
    <row r="52" spans="1:9" s="1161" customFormat="1" ht="12.75" customHeight="1">
      <c r="A52" s="1158" t="s">
        <v>143</v>
      </c>
      <c r="B52" s="1159"/>
      <c r="C52" s="1919" t="s">
        <v>220</v>
      </c>
      <c r="D52" s="1920"/>
      <c r="E52" s="1160">
        <v>727099046</v>
      </c>
      <c r="F52" s="1160">
        <v>654580501</v>
      </c>
      <c r="G52" s="1160">
        <f>SUM(G53:G54)</f>
        <v>651363270</v>
      </c>
      <c r="H52" s="1160">
        <f>SUM(H53:H54)</f>
        <v>651363270</v>
      </c>
      <c r="I52" s="1160">
        <f>SUM(I53:I54)</f>
        <v>651363270</v>
      </c>
    </row>
    <row r="53" spans="1:9" s="1161" customFormat="1" ht="12.75" customHeight="1">
      <c r="A53" s="1162" t="s">
        <v>145</v>
      </c>
      <c r="B53" s="1163"/>
      <c r="C53" s="1921" t="s">
        <v>705</v>
      </c>
      <c r="D53" s="1921"/>
      <c r="E53" s="1164">
        <v>121801942</v>
      </c>
      <c r="F53" s="1164">
        <v>82081636</v>
      </c>
      <c r="G53" s="1164">
        <v>78864405</v>
      </c>
      <c r="H53" s="1164">
        <v>78864405</v>
      </c>
      <c r="I53" s="1164">
        <v>78864405</v>
      </c>
    </row>
    <row r="54" spans="1:9" s="1161" customFormat="1" ht="12.75" customHeight="1">
      <c r="A54" s="1162" t="s">
        <v>147</v>
      </c>
      <c r="B54" s="1163"/>
      <c r="C54" s="1921" t="s">
        <v>706</v>
      </c>
      <c r="D54" s="1921"/>
      <c r="E54" s="1164">
        <v>605297104</v>
      </c>
      <c r="F54" s="1164">
        <v>572498865</v>
      </c>
      <c r="G54" s="1164">
        <v>572498865</v>
      </c>
      <c r="H54" s="1164">
        <v>572498865</v>
      </c>
      <c r="I54" s="1164">
        <v>572498865</v>
      </c>
    </row>
    <row r="55" spans="1:9" ht="12.75" customHeight="1">
      <c r="A55" s="1165" t="s">
        <v>149</v>
      </c>
      <c r="B55" s="1166"/>
      <c r="C55" s="1922" t="s">
        <v>223</v>
      </c>
      <c r="D55" s="1922"/>
      <c r="E55" s="1167">
        <v>9417924</v>
      </c>
      <c r="F55" s="1167">
        <v>7035063</v>
      </c>
      <c r="G55" s="1167">
        <v>7035063</v>
      </c>
      <c r="H55" s="1167">
        <v>7035063</v>
      </c>
      <c r="I55" s="1167">
        <v>7035063</v>
      </c>
    </row>
    <row r="56" spans="1:9" s="1154" customFormat="1" ht="17.25" customHeight="1" thickBot="1">
      <c r="A56" s="1168" t="s">
        <v>151</v>
      </c>
      <c r="B56" s="1169"/>
      <c r="C56" s="1923" t="s">
        <v>820</v>
      </c>
      <c r="D56" s="1924"/>
      <c r="E56" s="1170">
        <f>SUM(E52+E55)</f>
        <v>736516970</v>
      </c>
      <c r="F56" s="1170">
        <f>SUM(F52+F55)</f>
        <v>661615564</v>
      </c>
      <c r="G56" s="1170">
        <f>SUM(G52+G55)</f>
        <v>658398333</v>
      </c>
      <c r="H56" s="1170">
        <f>SUM(H52+H55)</f>
        <v>658398333</v>
      </c>
      <c r="I56" s="1170">
        <f>SUM(I52+I55)</f>
        <v>658398333</v>
      </c>
    </row>
    <row r="57" spans="1:9" s="1173" customFormat="1" ht="16.5" customHeight="1" thickBot="1">
      <c r="A57" s="539" t="s">
        <v>205</v>
      </c>
      <c r="B57" s="536"/>
      <c r="C57" s="1171" t="s">
        <v>116</v>
      </c>
      <c r="D57" s="1172"/>
      <c r="E57" s="537">
        <f>SUM(E50+E56)</f>
        <v>1184701944</v>
      </c>
      <c r="F57" s="537">
        <f>SUM(F50+F56)</f>
        <v>1074717213</v>
      </c>
      <c r="G57" s="537">
        <f>SUM(G50+G56)</f>
        <v>1074717213</v>
      </c>
      <c r="H57" s="537">
        <f>SUM(H50+H56)</f>
        <v>1088612777</v>
      </c>
      <c r="I57" s="537">
        <f>SUM(I50+I56)</f>
        <v>1108923774</v>
      </c>
    </row>
    <row r="58" spans="1:9" ht="12.75" customHeight="1" thickBot="1">
      <c r="A58" s="1094"/>
      <c r="B58" s="1094"/>
      <c r="C58" s="1094"/>
      <c r="D58" s="1094"/>
      <c r="E58" s="1094"/>
      <c r="F58" s="1094"/>
      <c r="G58" s="1094"/>
      <c r="H58" s="1094"/>
      <c r="I58" s="1094"/>
    </row>
    <row r="59" spans="1:9" ht="33.75" customHeight="1">
      <c r="A59" s="1925" t="s">
        <v>156</v>
      </c>
      <c r="B59" s="1925"/>
      <c r="C59" s="742" t="s">
        <v>246</v>
      </c>
      <c r="D59" s="743" t="s">
        <v>500</v>
      </c>
      <c r="E59" s="535" t="s">
        <v>1078</v>
      </c>
      <c r="F59" s="743" t="s">
        <v>997</v>
      </c>
      <c r="G59" s="743" t="s">
        <v>1139</v>
      </c>
      <c r="H59" s="743" t="s">
        <v>1141</v>
      </c>
      <c r="I59" s="743" t="s">
        <v>1164</v>
      </c>
    </row>
    <row r="60" spans="1:9" ht="19.5" customHeight="1">
      <c r="A60" s="1918" t="s">
        <v>158</v>
      </c>
      <c r="B60" s="1918"/>
      <c r="C60" s="741" t="s">
        <v>159</v>
      </c>
      <c r="D60" s="741" t="s">
        <v>160</v>
      </c>
      <c r="E60" s="741" t="s">
        <v>161</v>
      </c>
      <c r="F60" s="741" t="s">
        <v>462</v>
      </c>
      <c r="G60" s="741" t="s">
        <v>482</v>
      </c>
      <c r="H60" s="741" t="s">
        <v>715</v>
      </c>
      <c r="I60" s="741" t="s">
        <v>796</v>
      </c>
    </row>
    <row r="61" spans="1:9" ht="12.75" customHeight="1">
      <c r="A61" s="1174" t="s">
        <v>38</v>
      </c>
      <c r="B61" s="1175" t="s">
        <v>164</v>
      </c>
      <c r="C61" s="1176" t="s">
        <v>518</v>
      </c>
      <c r="D61" s="1176"/>
      <c r="E61" s="1176">
        <f>SUM(E62)</f>
        <v>673000</v>
      </c>
      <c r="F61" s="1176">
        <f>SUM(F62)</f>
        <v>0</v>
      </c>
      <c r="G61" s="1176">
        <f>SUM(G62)</f>
        <v>0</v>
      </c>
      <c r="H61" s="1176">
        <f>SUM(H62)</f>
        <v>0</v>
      </c>
      <c r="I61" s="1176">
        <f>SUM(I62)</f>
        <v>0</v>
      </c>
    </row>
    <row r="62" spans="1:9" ht="12.75" customHeight="1">
      <c r="A62" s="1177" t="s">
        <v>40</v>
      </c>
      <c r="B62" s="1178"/>
      <c r="C62" s="1179" t="s">
        <v>247</v>
      </c>
      <c r="D62" s="1179"/>
      <c r="E62" s="1179">
        <v>673000</v>
      </c>
      <c r="F62" s="1179"/>
      <c r="G62" s="1179"/>
      <c r="H62" s="1179"/>
      <c r="I62" s="1179"/>
    </row>
    <row r="63" spans="1:9" ht="12.75" customHeight="1">
      <c r="A63" s="1180" t="s">
        <v>47</v>
      </c>
      <c r="B63" s="1181" t="s">
        <v>166</v>
      </c>
      <c r="C63" s="1182" t="s">
        <v>248</v>
      </c>
      <c r="D63" s="1182"/>
      <c r="E63" s="1182">
        <f>SUM(E64)</f>
        <v>551000</v>
      </c>
      <c r="F63" s="1182">
        <f>SUM(F64)</f>
        <v>200000</v>
      </c>
      <c r="G63" s="1182">
        <f>SUM(G64)</f>
        <v>200000</v>
      </c>
      <c r="H63" s="1182">
        <f>SUM(H64)</f>
        <v>200000</v>
      </c>
      <c r="I63" s="1182">
        <f>SUM(I64)</f>
        <v>200000</v>
      </c>
    </row>
    <row r="64" spans="1:9" ht="12.75" customHeight="1">
      <c r="A64" s="1177" t="s">
        <v>49</v>
      </c>
      <c r="B64" s="1178"/>
      <c r="C64" s="1179" t="s">
        <v>247</v>
      </c>
      <c r="D64" s="1179"/>
      <c r="E64" s="1179">
        <v>551000</v>
      </c>
      <c r="F64" s="1179">
        <v>200000</v>
      </c>
      <c r="G64" s="1179">
        <v>200000</v>
      </c>
      <c r="H64" s="1179">
        <v>200000</v>
      </c>
      <c r="I64" s="1179">
        <v>200000</v>
      </c>
    </row>
    <row r="65" spans="1:9" ht="12.75" customHeight="1">
      <c r="A65" s="1177" t="s">
        <v>51</v>
      </c>
      <c r="B65" s="1178"/>
      <c r="C65" s="1179" t="s">
        <v>249</v>
      </c>
      <c r="D65" s="1179"/>
      <c r="E65" s="1179">
        <v>0</v>
      </c>
      <c r="F65" s="1179">
        <v>0</v>
      </c>
      <c r="G65" s="1179">
        <v>0</v>
      </c>
      <c r="H65" s="1179">
        <v>0</v>
      </c>
      <c r="I65" s="1179">
        <v>0</v>
      </c>
    </row>
    <row r="66" spans="1:9" ht="12.75" customHeight="1">
      <c r="A66" s="1180" t="s">
        <v>53</v>
      </c>
      <c r="B66" s="1181" t="s">
        <v>173</v>
      </c>
      <c r="C66" s="1182" t="s">
        <v>519</v>
      </c>
      <c r="D66" s="1182"/>
      <c r="E66" s="1182">
        <f>SUM(E67)</f>
        <v>7000000</v>
      </c>
      <c r="F66" s="1182">
        <f>SUM(F67)</f>
        <v>7000000</v>
      </c>
      <c r="G66" s="1182">
        <f>SUM(G67)</f>
        <v>7000000</v>
      </c>
      <c r="H66" s="1182">
        <f>SUM(H67)</f>
        <v>7000000</v>
      </c>
      <c r="I66" s="1182">
        <f>SUM(I67)</f>
        <v>7000000</v>
      </c>
    </row>
    <row r="67" spans="1:9" ht="12.75" customHeight="1">
      <c r="A67" s="1177" t="s">
        <v>55</v>
      </c>
      <c r="B67" s="1178"/>
      <c r="C67" s="1179" t="s">
        <v>247</v>
      </c>
      <c r="D67" s="1179"/>
      <c r="E67" s="1179">
        <v>7000000</v>
      </c>
      <c r="F67" s="1179">
        <v>7000000</v>
      </c>
      <c r="G67" s="1179">
        <v>7000000</v>
      </c>
      <c r="H67" s="1179">
        <v>7000000</v>
      </c>
      <c r="I67" s="1179">
        <v>7000000</v>
      </c>
    </row>
    <row r="68" spans="1:9" ht="12.75" customHeight="1">
      <c r="A68" s="1180" t="s">
        <v>57</v>
      </c>
      <c r="B68" s="1181" t="s">
        <v>182</v>
      </c>
      <c r="C68" s="1182" t="s">
        <v>254</v>
      </c>
      <c r="D68" s="1182"/>
      <c r="E68" s="1182">
        <f>SUM(E69)</f>
        <v>100000</v>
      </c>
      <c r="F68" s="1182">
        <f>SUM(F69)</f>
        <v>100000</v>
      </c>
      <c r="G68" s="1182">
        <f>SUM(G69)</f>
        <v>100000</v>
      </c>
      <c r="H68" s="1182">
        <f>SUM(H69)</f>
        <v>100000</v>
      </c>
      <c r="I68" s="1182">
        <f>SUM(I69)</f>
        <v>100000</v>
      </c>
    </row>
    <row r="69" spans="1:9" ht="12.75" customHeight="1">
      <c r="A69" s="1177" t="s">
        <v>86</v>
      </c>
      <c r="B69" s="1178"/>
      <c r="C69" s="1179" t="s">
        <v>247</v>
      </c>
      <c r="D69" s="1179"/>
      <c r="E69" s="1179">
        <v>100000</v>
      </c>
      <c r="F69" s="1179">
        <v>100000</v>
      </c>
      <c r="G69" s="1179">
        <v>100000</v>
      </c>
      <c r="H69" s="1179">
        <v>100000</v>
      </c>
      <c r="I69" s="1179">
        <v>100000</v>
      </c>
    </row>
    <row r="70" spans="1:9" s="226" customFormat="1" ht="12.75" customHeight="1">
      <c r="A70" s="1180" t="s">
        <v>59</v>
      </c>
      <c r="B70" s="1181" t="s">
        <v>183</v>
      </c>
      <c r="C70" s="1182" t="s">
        <v>1060</v>
      </c>
      <c r="D70" s="1182"/>
      <c r="E70" s="1182">
        <v>0</v>
      </c>
      <c r="F70" s="1182">
        <v>0</v>
      </c>
      <c r="G70" s="1182">
        <v>0</v>
      </c>
      <c r="H70" s="1182">
        <v>0</v>
      </c>
      <c r="I70" s="1182">
        <v>0</v>
      </c>
    </row>
    <row r="71" spans="1:9" ht="12.75" customHeight="1">
      <c r="A71" s="1177" t="s">
        <v>61</v>
      </c>
      <c r="B71" s="1178"/>
      <c r="C71" s="1179" t="s">
        <v>125</v>
      </c>
      <c r="D71" s="1179"/>
      <c r="E71" s="1179"/>
      <c r="F71" s="1179"/>
      <c r="G71" s="1179"/>
      <c r="H71" s="1179"/>
      <c r="I71" s="1179"/>
    </row>
    <row r="72" spans="1:9" ht="12.75" customHeight="1">
      <c r="A72" s="1180" t="s">
        <v>63</v>
      </c>
      <c r="B72" s="1181" t="s">
        <v>184</v>
      </c>
      <c r="C72" s="1182" t="s">
        <v>255</v>
      </c>
      <c r="D72" s="1182">
        <v>1</v>
      </c>
      <c r="E72" s="1182">
        <f>SUM(E73:E77)</f>
        <v>1634204</v>
      </c>
      <c r="F72" s="1182">
        <f>SUM(F73:F77)</f>
        <v>1752495</v>
      </c>
      <c r="G72" s="1182">
        <f>SUM(G73:G77)</f>
        <v>1752495</v>
      </c>
      <c r="H72" s="1182">
        <f>SUM(H73:H77)</f>
        <v>1752495</v>
      </c>
      <c r="I72" s="1182">
        <f>SUM(I73:I77)</f>
        <v>1752495</v>
      </c>
    </row>
    <row r="73" spans="1:9" ht="12.75" customHeight="1">
      <c r="A73" s="1177" t="s">
        <v>65</v>
      </c>
      <c r="B73" s="1178"/>
      <c r="C73" s="1179" t="s">
        <v>250</v>
      </c>
      <c r="D73" s="1179"/>
      <c r="E73" s="592">
        <v>1353537</v>
      </c>
      <c r="F73" s="592">
        <v>1452525</v>
      </c>
      <c r="G73" s="592">
        <v>1452525</v>
      </c>
      <c r="H73" s="592">
        <v>1452525</v>
      </c>
      <c r="I73" s="592">
        <v>1452525</v>
      </c>
    </row>
    <row r="74" spans="1:9" ht="12.75" customHeight="1">
      <c r="A74" s="1177" t="s">
        <v>92</v>
      </c>
      <c r="B74" s="1178"/>
      <c r="C74" s="1179" t="s">
        <v>251</v>
      </c>
      <c r="D74" s="1179"/>
      <c r="E74" s="225">
        <v>280667</v>
      </c>
      <c r="F74" s="225">
        <v>299970</v>
      </c>
      <c r="G74" s="225">
        <v>299970</v>
      </c>
      <c r="H74" s="225">
        <v>299970</v>
      </c>
      <c r="I74" s="225">
        <v>299970</v>
      </c>
    </row>
    <row r="75" spans="1:9" ht="12.75" customHeight="1">
      <c r="A75" s="1177" t="s">
        <v>66</v>
      </c>
      <c r="B75" s="1183"/>
      <c r="C75" s="1184" t="s">
        <v>252</v>
      </c>
      <c r="D75" s="1184"/>
      <c r="E75" s="1179"/>
      <c r="F75" s="1179"/>
      <c r="G75" s="1179"/>
      <c r="H75" s="1179"/>
      <c r="I75" s="1179"/>
    </row>
    <row r="76" spans="1:9" ht="12.75" customHeight="1">
      <c r="A76" s="1177" t="s">
        <v>67</v>
      </c>
      <c r="B76" s="1183"/>
      <c r="C76" s="1184" t="s">
        <v>653</v>
      </c>
      <c r="D76" s="1184"/>
      <c r="E76" s="1179"/>
      <c r="F76" s="1179"/>
      <c r="G76" s="1179"/>
      <c r="H76" s="1179"/>
      <c r="I76" s="1179"/>
    </row>
    <row r="77" spans="1:9" ht="12.75" customHeight="1">
      <c r="A77" s="1177" t="s">
        <v>68</v>
      </c>
      <c r="B77" s="1183"/>
      <c r="C77" s="1184" t="s">
        <v>625</v>
      </c>
      <c r="D77" s="1184"/>
      <c r="E77" s="1179">
        <v>0</v>
      </c>
      <c r="F77" s="1179">
        <v>0</v>
      </c>
      <c r="G77" s="1179">
        <v>0</v>
      </c>
      <c r="H77" s="1179">
        <v>0</v>
      </c>
      <c r="I77" s="1179">
        <v>0</v>
      </c>
    </row>
    <row r="78" spans="1:9" ht="12.75" customHeight="1">
      <c r="A78" s="1180" t="s">
        <v>70</v>
      </c>
      <c r="B78" s="1185" t="s">
        <v>186</v>
      </c>
      <c r="C78" s="1182" t="s">
        <v>257</v>
      </c>
      <c r="D78" s="1182"/>
      <c r="E78" s="1182">
        <f>SUM(E80:E81)</f>
        <v>200000</v>
      </c>
      <c r="F78" s="1182">
        <f>SUM(F80:F81)</f>
        <v>200000</v>
      </c>
      <c r="G78" s="1182">
        <f>SUM(G80:G81)</f>
        <v>200000</v>
      </c>
      <c r="H78" s="1182">
        <f>SUM(H80:H81)</f>
        <v>200000</v>
      </c>
      <c r="I78" s="1182">
        <f>SUM(I80:I81)</f>
        <v>200000</v>
      </c>
    </row>
    <row r="79" spans="1:9" ht="12.75" customHeight="1">
      <c r="A79" s="1177" t="s">
        <v>97</v>
      </c>
      <c r="B79" s="1183"/>
      <c r="C79" s="1179" t="s">
        <v>258</v>
      </c>
      <c r="D79" s="1179"/>
      <c r="E79" s="1179"/>
      <c r="F79" s="1179"/>
      <c r="G79" s="1179"/>
      <c r="H79" s="1179"/>
      <c r="I79" s="1179"/>
    </row>
    <row r="80" spans="1:9" ht="12.75" customHeight="1">
      <c r="A80" s="1177" t="s">
        <v>99</v>
      </c>
      <c r="B80" s="1183"/>
      <c r="C80" s="1179" t="s">
        <v>249</v>
      </c>
      <c r="D80" s="1179"/>
      <c r="E80" s="1179">
        <v>0</v>
      </c>
      <c r="F80" s="1179">
        <v>0</v>
      </c>
      <c r="G80" s="1179">
        <v>0</v>
      </c>
      <c r="H80" s="1179">
        <v>0</v>
      </c>
      <c r="I80" s="1179">
        <v>0</v>
      </c>
    </row>
    <row r="81" spans="1:9" ht="12.75" customHeight="1">
      <c r="A81" s="1177" t="s">
        <v>101</v>
      </c>
      <c r="B81" s="1183"/>
      <c r="C81" s="1179" t="s">
        <v>252</v>
      </c>
      <c r="D81" s="1179"/>
      <c r="E81" s="1179">
        <v>200000</v>
      </c>
      <c r="F81" s="1179">
        <v>200000</v>
      </c>
      <c r="G81" s="1179">
        <v>200000</v>
      </c>
      <c r="H81" s="1179">
        <v>200000</v>
      </c>
      <c r="I81" s="1179">
        <v>200000</v>
      </c>
    </row>
    <row r="82" spans="1:9" ht="12.75" customHeight="1">
      <c r="A82" s="1180" t="s">
        <v>103</v>
      </c>
      <c r="B82" s="1185" t="s">
        <v>189</v>
      </c>
      <c r="C82" s="1182" t="s">
        <v>1061</v>
      </c>
      <c r="D82" s="1182"/>
      <c r="E82" s="1182">
        <v>0</v>
      </c>
      <c r="F82" s="1182">
        <v>0</v>
      </c>
      <c r="G82" s="1182">
        <v>0</v>
      </c>
      <c r="H82" s="1182">
        <v>0</v>
      </c>
      <c r="I82" s="1182">
        <v>0</v>
      </c>
    </row>
    <row r="83" spans="1:9" ht="12.75" customHeight="1">
      <c r="A83" s="1177" t="s">
        <v>105</v>
      </c>
      <c r="B83" s="1183"/>
      <c r="C83" s="1179" t="s">
        <v>250</v>
      </c>
      <c r="D83" s="1179"/>
      <c r="E83" s="1179"/>
      <c r="F83" s="1179"/>
      <c r="G83" s="1179"/>
      <c r="H83" s="1179"/>
      <c r="I83" s="1179"/>
    </row>
    <row r="84" spans="1:9" ht="12.75" customHeight="1">
      <c r="A84" s="1177" t="s">
        <v>107</v>
      </c>
      <c r="B84" s="1183"/>
      <c r="C84" s="1179" t="s">
        <v>251</v>
      </c>
      <c r="D84" s="1179"/>
      <c r="E84" s="1179"/>
      <c r="F84" s="1179"/>
      <c r="G84" s="1179"/>
      <c r="H84" s="1179"/>
      <c r="I84" s="1179"/>
    </row>
    <row r="85" spans="1:9" ht="12.75" customHeight="1">
      <c r="A85" s="1177" t="s">
        <v>109</v>
      </c>
      <c r="B85" s="1183"/>
      <c r="C85" s="1179" t="s">
        <v>256</v>
      </c>
      <c r="D85" s="1179"/>
      <c r="E85" s="1179"/>
      <c r="F85" s="1179"/>
      <c r="G85" s="1179"/>
      <c r="H85" s="1179"/>
      <c r="I85" s="1179"/>
    </row>
    <row r="86" spans="1:9" ht="12.75" customHeight="1">
      <c r="A86" s="1180" t="s">
        <v>111</v>
      </c>
      <c r="B86" s="1185" t="s">
        <v>191</v>
      </c>
      <c r="C86" s="1182" t="s">
        <v>1062</v>
      </c>
      <c r="D86" s="1182"/>
      <c r="E86" s="1182">
        <f>SUM(E87)</f>
        <v>40766879</v>
      </c>
      <c r="F86" s="1182">
        <f>SUM(F87)</f>
        <v>30387850</v>
      </c>
      <c r="G86" s="1182">
        <f>SUM(G87)</f>
        <v>30387850</v>
      </c>
      <c r="H86" s="1182">
        <f>SUM(H87)</f>
        <v>36352413</v>
      </c>
      <c r="I86" s="1182">
        <f>SUM(I87)</f>
        <v>36417253</v>
      </c>
    </row>
    <row r="87" spans="1:9" ht="30.75" customHeight="1">
      <c r="A87" s="1177" t="s">
        <v>113</v>
      </c>
      <c r="B87" s="1183"/>
      <c r="C87" s="1186" t="s">
        <v>657</v>
      </c>
      <c r="D87" s="1179"/>
      <c r="E87" s="1179">
        <f>SUM(E88:E92)</f>
        <v>40766879</v>
      </c>
      <c r="F87" s="1179">
        <f>SUM(F88:F92)</f>
        <v>30387850</v>
      </c>
      <c r="G87" s="1179">
        <f>SUM(G88:G92)</f>
        <v>30387850</v>
      </c>
      <c r="H87" s="1179">
        <f>SUM(H88:H93)</f>
        <v>36352413</v>
      </c>
      <c r="I87" s="1179">
        <f>SUM(I88:I93)</f>
        <v>36417253</v>
      </c>
    </row>
    <row r="88" spans="1:9" s="1099" customFormat="1" ht="30.75" customHeight="1">
      <c r="A88" s="1187" t="s">
        <v>115</v>
      </c>
      <c r="B88" s="1188"/>
      <c r="C88" s="1189" t="s">
        <v>656</v>
      </c>
      <c r="D88" s="1190"/>
      <c r="E88" s="590">
        <v>9489000</v>
      </c>
      <c r="F88" s="590">
        <v>9489000</v>
      </c>
      <c r="G88" s="590">
        <v>9489000</v>
      </c>
      <c r="H88" s="590">
        <v>13492000</v>
      </c>
      <c r="I88" s="1588">
        <v>11783000</v>
      </c>
    </row>
    <row r="89" spans="1:9" s="1099" customFormat="1" ht="32.25" customHeight="1">
      <c r="A89" s="1187" t="s">
        <v>117</v>
      </c>
      <c r="B89" s="1188"/>
      <c r="C89" s="1189" t="s">
        <v>658</v>
      </c>
      <c r="D89" s="1190"/>
      <c r="E89" s="590">
        <v>24456021</v>
      </c>
      <c r="F89" s="590">
        <v>17000000</v>
      </c>
      <c r="G89" s="590">
        <v>17000000</v>
      </c>
      <c r="H89" s="590">
        <v>18461563</v>
      </c>
      <c r="I89" s="1588">
        <v>19408606</v>
      </c>
    </row>
    <row r="90" spans="1:9" s="1099" customFormat="1" ht="12.75" customHeight="1">
      <c r="A90" s="1187" t="s">
        <v>118</v>
      </c>
      <c r="B90" s="1188"/>
      <c r="C90" s="1191" t="s">
        <v>659</v>
      </c>
      <c r="D90" s="1190"/>
      <c r="E90" s="1190">
        <v>4450000</v>
      </c>
      <c r="F90" s="590">
        <v>1500000</v>
      </c>
      <c r="G90" s="590">
        <v>1500000</v>
      </c>
      <c r="H90" s="590">
        <v>1500000</v>
      </c>
      <c r="I90" s="1588">
        <v>1500000</v>
      </c>
    </row>
    <row r="91" spans="1:9" s="1099" customFormat="1" ht="12.75" customHeight="1">
      <c r="A91" s="1187" t="s">
        <v>120</v>
      </c>
      <c r="B91" s="1188"/>
      <c r="C91" s="1191" t="s">
        <v>261</v>
      </c>
      <c r="D91" s="1190"/>
      <c r="E91" s="1190">
        <v>23008</v>
      </c>
      <c r="F91" s="590">
        <v>50000</v>
      </c>
      <c r="G91" s="590">
        <v>50000</v>
      </c>
      <c r="H91" s="590">
        <v>50000</v>
      </c>
      <c r="I91" s="1588">
        <v>50000</v>
      </c>
    </row>
    <row r="92" spans="1:9" s="1195" customFormat="1" ht="12.75" customHeight="1">
      <c r="A92" s="1192" t="s">
        <v>122</v>
      </c>
      <c r="B92" s="1193"/>
      <c r="C92" s="1191" t="s">
        <v>1063</v>
      </c>
      <c r="D92" s="1191"/>
      <c r="E92" s="1191">
        <v>2348850</v>
      </c>
      <c r="F92" s="1194">
        <v>2348850</v>
      </c>
      <c r="G92" s="1194">
        <v>2348850</v>
      </c>
      <c r="H92" s="1194">
        <v>2348850</v>
      </c>
      <c r="I92" s="1589">
        <v>3175647</v>
      </c>
    </row>
    <row r="93" spans="1:9" s="1195" customFormat="1" ht="12.75" customHeight="1">
      <c r="A93" s="1192" t="s">
        <v>124</v>
      </c>
      <c r="B93" s="1193"/>
      <c r="C93" s="1191" t="s">
        <v>1154</v>
      </c>
      <c r="D93" s="1191"/>
      <c r="E93" s="1191"/>
      <c r="F93" s="1194"/>
      <c r="G93" s="1194"/>
      <c r="H93" s="1194">
        <v>500000</v>
      </c>
      <c r="I93" s="1589">
        <v>500000</v>
      </c>
    </row>
    <row r="94" spans="1:9" s="226" customFormat="1" ht="24.75" customHeight="1">
      <c r="A94" s="1180" t="s">
        <v>126</v>
      </c>
      <c r="B94" s="1185" t="s">
        <v>520</v>
      </c>
      <c r="C94" s="147" t="s">
        <v>1064</v>
      </c>
      <c r="D94" s="1182"/>
      <c r="E94" s="1196">
        <f>SUM(E95:E96)</f>
        <v>5194000</v>
      </c>
      <c r="F94" s="1196">
        <f>SUM(F96+F102)</f>
        <v>4162000</v>
      </c>
      <c r="G94" s="1196">
        <f>SUM(G96+G102)</f>
        <v>4162000</v>
      </c>
      <c r="H94" s="1196">
        <f>SUM(H96+H102)</f>
        <v>4162000</v>
      </c>
      <c r="I94" s="1196">
        <f>SUM(I96+I102)</f>
        <v>4162000</v>
      </c>
    </row>
    <row r="95" spans="1:9" ht="12.75" customHeight="1">
      <c r="A95" s="1177" t="s">
        <v>128</v>
      </c>
      <c r="B95" s="1183"/>
      <c r="C95" s="123" t="s">
        <v>125</v>
      </c>
      <c r="D95" s="1179"/>
      <c r="E95" s="542">
        <v>1566950</v>
      </c>
      <c r="F95" s="542"/>
      <c r="G95" s="542"/>
      <c r="H95" s="542"/>
      <c r="I95" s="542"/>
    </row>
    <row r="96" spans="1:9" ht="12.75" customHeight="1">
      <c r="A96" s="1177" t="s">
        <v>130</v>
      </c>
      <c r="B96" s="1183"/>
      <c r="C96" s="123" t="s">
        <v>617</v>
      </c>
      <c r="D96" s="1179"/>
      <c r="E96" s="542">
        <v>3627050</v>
      </c>
      <c r="F96" s="542">
        <v>3812000</v>
      </c>
      <c r="G96" s="542">
        <v>3812000</v>
      </c>
      <c r="H96" s="542">
        <v>3812000</v>
      </c>
      <c r="I96" s="542">
        <v>3812000</v>
      </c>
    </row>
    <row r="97" spans="1:9" s="1201" customFormat="1" ht="27" customHeight="1">
      <c r="A97" s="1197" t="s">
        <v>131</v>
      </c>
      <c r="B97" s="1198"/>
      <c r="C97" s="540" t="s">
        <v>618</v>
      </c>
      <c r="D97" s="1199"/>
      <c r="E97" s="1200">
        <v>600000</v>
      </c>
      <c r="F97" s="1200">
        <v>1050000</v>
      </c>
      <c r="G97" s="1200">
        <v>1050000</v>
      </c>
      <c r="H97" s="1200">
        <v>1050000</v>
      </c>
      <c r="I97" s="1200">
        <v>1050000</v>
      </c>
    </row>
    <row r="98" spans="1:9" s="1201" customFormat="1" ht="12.75">
      <c r="A98" s="1197" t="s">
        <v>133</v>
      </c>
      <c r="B98" s="1198"/>
      <c r="C98" s="540" t="s">
        <v>675</v>
      </c>
      <c r="D98" s="1199"/>
      <c r="E98" s="1200">
        <v>75000</v>
      </c>
      <c r="F98" s="1200">
        <v>75000</v>
      </c>
      <c r="G98" s="1200">
        <v>75000</v>
      </c>
      <c r="H98" s="1200">
        <v>75000</v>
      </c>
      <c r="I98" s="1200">
        <v>75000</v>
      </c>
    </row>
    <row r="99" spans="1:9" s="1201" customFormat="1" ht="12.75" customHeight="1">
      <c r="A99" s="1197" t="s">
        <v>135</v>
      </c>
      <c r="B99" s="1198"/>
      <c r="C99" s="540" t="s">
        <v>619</v>
      </c>
      <c r="D99" s="1199"/>
      <c r="E99" s="1200">
        <v>0</v>
      </c>
      <c r="F99" s="1200">
        <v>0</v>
      </c>
      <c r="G99" s="1200">
        <v>0</v>
      </c>
      <c r="H99" s="1200">
        <v>0</v>
      </c>
      <c r="I99" s="1200">
        <v>0</v>
      </c>
    </row>
    <row r="100" spans="1:9" s="1201" customFormat="1" ht="12.75" customHeight="1">
      <c r="A100" s="1197" t="s">
        <v>137</v>
      </c>
      <c r="B100" s="1198"/>
      <c r="C100" s="540" t="s">
        <v>620</v>
      </c>
      <c r="D100" s="1199"/>
      <c r="E100" s="1200">
        <v>2952050</v>
      </c>
      <c r="F100" s="1200">
        <v>2687000</v>
      </c>
      <c r="G100" s="1200">
        <v>2687000</v>
      </c>
      <c r="H100" s="1200">
        <v>2687000</v>
      </c>
      <c r="I100" s="1200">
        <v>2687000</v>
      </c>
    </row>
    <row r="101" spans="1:9" s="1201" customFormat="1" ht="23.25" customHeight="1">
      <c r="A101" s="1197" t="s">
        <v>139</v>
      </c>
      <c r="B101" s="1198"/>
      <c r="C101" s="540" t="s">
        <v>621</v>
      </c>
      <c r="D101" s="1199"/>
      <c r="E101" s="1199">
        <v>100000</v>
      </c>
      <c r="F101" s="1199"/>
      <c r="G101" s="1199"/>
      <c r="H101" s="1199"/>
      <c r="I101" s="1199"/>
    </row>
    <row r="102" spans="1:9" ht="23.25" customHeight="1">
      <c r="A102" s="1177" t="s">
        <v>141</v>
      </c>
      <c r="B102" s="1183"/>
      <c r="C102" s="1202" t="s">
        <v>1065</v>
      </c>
      <c r="D102" s="1203"/>
      <c r="E102" s="1179"/>
      <c r="F102" s="1179">
        <v>350000</v>
      </c>
      <c r="G102" s="1179">
        <v>350000</v>
      </c>
      <c r="H102" s="1179">
        <v>350000</v>
      </c>
      <c r="I102" s="1179">
        <v>350000</v>
      </c>
    </row>
    <row r="103" spans="1:9" ht="12.75" customHeight="1">
      <c r="A103" s="1180" t="s">
        <v>143</v>
      </c>
      <c r="B103" s="1185" t="s">
        <v>523</v>
      </c>
      <c r="C103" s="1204" t="s">
        <v>263</v>
      </c>
      <c r="D103" s="1205">
        <v>4</v>
      </c>
      <c r="E103" s="1182">
        <f>SUM(E104+E105+E106+E109+E110+E111)+E113+E112</f>
        <v>843875529</v>
      </c>
      <c r="F103" s="1182">
        <f>SUM(F104+F105+F106+F109+F110+F111)+F113</f>
        <v>698125640</v>
      </c>
      <c r="G103" s="1182">
        <f>SUM(G104+G105+G106+G109+G110+G111)+G113</f>
        <v>698125640</v>
      </c>
      <c r="H103" s="1182">
        <f>SUM(H104+H105+H106+H109+H110+H111)+H113+H114</f>
        <v>705003847</v>
      </c>
      <c r="I103" s="1182">
        <f>SUM(I104+I105+I106+I109+I110+I111)+I113+I114</f>
        <v>722271035</v>
      </c>
    </row>
    <row r="104" spans="1:9" ht="12.75" customHeight="1">
      <c r="A104" s="1177" t="s">
        <v>145</v>
      </c>
      <c r="B104" s="1183"/>
      <c r="C104" s="1179" t="s">
        <v>250</v>
      </c>
      <c r="D104" s="1179"/>
      <c r="E104" s="1179">
        <v>22978374</v>
      </c>
      <c r="F104" s="1179">
        <v>15868499</v>
      </c>
      <c r="G104" s="1179">
        <v>15868499</v>
      </c>
      <c r="H104" s="1179">
        <v>15868499</v>
      </c>
      <c r="I104" s="1179">
        <v>15868499</v>
      </c>
    </row>
    <row r="105" spans="1:9" ht="12.75" customHeight="1">
      <c r="A105" s="1177" t="s">
        <v>147</v>
      </c>
      <c r="B105" s="1183"/>
      <c r="C105" s="1179" t="s">
        <v>251</v>
      </c>
      <c r="D105" s="1179"/>
      <c r="E105" s="1179">
        <v>3784536</v>
      </c>
      <c r="F105" s="1179">
        <v>3127075</v>
      </c>
      <c r="G105" s="1179">
        <v>3127075</v>
      </c>
      <c r="H105" s="1179">
        <v>3127075</v>
      </c>
      <c r="I105" s="1179">
        <v>3127075</v>
      </c>
    </row>
    <row r="106" spans="1:9" ht="12.75" customHeight="1">
      <c r="A106" s="1177" t="s">
        <v>149</v>
      </c>
      <c r="B106" s="1183"/>
      <c r="C106" s="1179" t="s">
        <v>252</v>
      </c>
      <c r="D106" s="1179"/>
      <c r="E106" s="1179">
        <v>86949029</v>
      </c>
      <c r="F106" s="1179">
        <v>26099565</v>
      </c>
      <c r="G106" s="1179">
        <v>26099565</v>
      </c>
      <c r="H106" s="1179">
        <v>31706244</v>
      </c>
      <c r="I106" s="1179">
        <v>37193059</v>
      </c>
    </row>
    <row r="107" spans="1:9" s="1099" customFormat="1" ht="12.75" customHeight="1">
      <c r="A107" s="1187" t="s">
        <v>151</v>
      </c>
      <c r="B107" s="1188"/>
      <c r="C107" s="1191" t="s">
        <v>664</v>
      </c>
      <c r="D107" s="1190"/>
      <c r="E107" s="1190">
        <v>2500000</v>
      </c>
      <c r="F107" s="1190">
        <v>2500000</v>
      </c>
      <c r="G107" s="1190">
        <v>2500000</v>
      </c>
      <c r="H107" s="1190">
        <v>2500000</v>
      </c>
      <c r="I107" s="1190">
        <v>300000</v>
      </c>
    </row>
    <row r="108" spans="1:9" s="1099" customFormat="1" ht="12.75" customHeight="1">
      <c r="A108" s="1187" t="s">
        <v>205</v>
      </c>
      <c r="B108" s="1188"/>
      <c r="C108" s="1191"/>
      <c r="D108" s="1190"/>
      <c r="E108" s="1190"/>
      <c r="F108" s="1190"/>
      <c r="G108" s="1190"/>
      <c r="H108" s="1190"/>
      <c r="I108" s="1190"/>
    </row>
    <row r="109" spans="1:9" ht="12.75" customHeight="1">
      <c r="A109" s="1177" t="s">
        <v>207</v>
      </c>
      <c r="B109" s="1183"/>
      <c r="C109" s="1179" t="s">
        <v>15</v>
      </c>
      <c r="D109" s="1179"/>
      <c r="E109" s="1179">
        <v>54806758</v>
      </c>
      <c r="F109" s="1179">
        <f>SUM('6,7,8 Melléklet'!D14+'6,7,8 Melléklet'!D15+'6,7,8 Melléklet'!D22+'6,7,8 Melléklet'!D24+'6,7,8 Melléklet'!D25+'6,7,8 Melléklet'!D26)</f>
        <v>3300000</v>
      </c>
      <c r="G109" s="1179">
        <f>SUM('6,7,8 Melléklet'!E14+'6,7,8 Melléklet'!E15+'6,7,8 Melléklet'!E22+'6,7,8 Melléklet'!E24+'6,7,8 Melléklet'!E25+'6,7,8 Melléklet'!E26)</f>
        <v>3300000</v>
      </c>
      <c r="H109" s="1179">
        <f>SUM('6,7,8 Melléklet'!F14+'6,7,8 Melléklet'!F15+'6,7,8 Melléklet'!F22+'6,7,8 Melléklet'!F24+'6,7,8 Melléklet'!F25+'6,7,8 Melléklet'!F26)+'6,7,8 Melléklet'!F27+'6,7,8 Melléklet'!F28</f>
        <v>9569777</v>
      </c>
      <c r="I109" s="1179">
        <f>SUM('6,7,8 Melléklet'!G14+'6,7,8 Melléklet'!G15+'6,7,8 Melléklet'!G22+'6,7,8 Melléklet'!G24+'6,7,8 Melléklet'!G25+'6,7,8 Melléklet'!G26)+'6,7,8 Melléklet'!G27+'6,7,8 Melléklet'!G28+'6,7,8 Melléklet'!G29+'6,7,8 Melléklet'!G30</f>
        <v>21111383</v>
      </c>
    </row>
    <row r="110" spans="1:9" ht="12.75" customHeight="1">
      <c r="A110" s="1177" t="s">
        <v>262</v>
      </c>
      <c r="B110" s="1183"/>
      <c r="C110" s="1179" t="s">
        <v>521</v>
      </c>
      <c r="D110" s="1206"/>
      <c r="E110" s="1179">
        <v>664627351</v>
      </c>
      <c r="F110" s="1179">
        <f>SUM('21. céltartalék'!D52)</f>
        <v>649730501</v>
      </c>
      <c r="G110" s="1179">
        <f>SUM('21. céltartalék'!E52)</f>
        <v>649730501</v>
      </c>
      <c r="H110" s="1179">
        <f>SUM('21. céltartalék'!F52)</f>
        <v>644615355</v>
      </c>
      <c r="I110" s="1179">
        <f>SUM('21. céltartalék'!G52)</f>
        <v>642488982</v>
      </c>
    </row>
    <row r="111" spans="1:9" ht="12.75" customHeight="1">
      <c r="A111" s="1177" t="s">
        <v>208</v>
      </c>
      <c r="B111" s="1183"/>
      <c r="C111" s="1207" t="s">
        <v>654</v>
      </c>
      <c r="D111" s="1208"/>
      <c r="E111" s="1179">
        <v>0</v>
      </c>
      <c r="F111" s="1179">
        <v>0</v>
      </c>
      <c r="G111" s="1179">
        <v>0</v>
      </c>
      <c r="H111" s="1179">
        <v>0</v>
      </c>
      <c r="I111" s="1179">
        <v>0</v>
      </c>
    </row>
    <row r="112" spans="1:9" ht="12.75" customHeight="1">
      <c r="A112" s="1209" t="s">
        <v>210</v>
      </c>
      <c r="B112" s="1210"/>
      <c r="C112" s="1211" t="s">
        <v>1082</v>
      </c>
      <c r="D112" s="1212"/>
      <c r="E112" s="1206">
        <v>10729481</v>
      </c>
      <c r="F112" s="1179"/>
      <c r="G112" s="1179"/>
      <c r="H112" s="1179"/>
      <c r="I112" s="1179"/>
    </row>
    <row r="113" spans="1:9" ht="12.75" customHeight="1">
      <c r="A113" s="1166" t="s">
        <v>264</v>
      </c>
      <c r="B113" s="1166"/>
      <c r="C113" s="1208" t="s">
        <v>478</v>
      </c>
      <c r="D113" s="1208"/>
      <c r="E113" s="1208"/>
      <c r="F113" s="1261"/>
      <c r="G113" s="1179"/>
      <c r="H113" s="1179"/>
      <c r="I113" s="1179"/>
    </row>
    <row r="114" spans="1:9" ht="30" customHeight="1">
      <c r="A114" s="1166" t="s">
        <v>265</v>
      </c>
      <c r="B114" s="1166"/>
      <c r="C114" s="1415" t="s">
        <v>1144</v>
      </c>
      <c r="D114" s="1208"/>
      <c r="E114" s="1208"/>
      <c r="F114" s="1261"/>
      <c r="G114" s="1179"/>
      <c r="H114" s="1179">
        <v>116897</v>
      </c>
      <c r="I114" s="1179">
        <v>2482037</v>
      </c>
    </row>
    <row r="115" spans="1:9" ht="12.75" customHeight="1">
      <c r="A115" s="1213" t="s">
        <v>266</v>
      </c>
      <c r="B115" s="1175" t="s">
        <v>524</v>
      </c>
      <c r="C115" s="641" t="s">
        <v>643</v>
      </c>
      <c r="D115" s="1214"/>
      <c r="E115" s="1176">
        <f>SUM(E116:E118)</f>
        <v>812200</v>
      </c>
      <c r="F115" s="1182">
        <f>SUM(F116:F118)</f>
        <v>804974</v>
      </c>
      <c r="G115" s="1182">
        <f>SUM(G116:G118)</f>
        <v>804974</v>
      </c>
      <c r="H115" s="1182">
        <f>SUM(H116:H118)</f>
        <v>804974</v>
      </c>
      <c r="I115" s="1182">
        <f>SUM(I116:I118)</f>
        <v>804974</v>
      </c>
    </row>
    <row r="116" spans="1:9" ht="12.75" customHeight="1">
      <c r="A116" s="1177" t="s">
        <v>267</v>
      </c>
      <c r="B116" s="1178"/>
      <c r="C116" s="1215" t="s">
        <v>250</v>
      </c>
      <c r="D116" s="1208"/>
      <c r="E116" s="1179">
        <v>325200</v>
      </c>
      <c r="F116" s="1179">
        <v>325200</v>
      </c>
      <c r="G116" s="1179">
        <v>325200</v>
      </c>
      <c r="H116" s="1179">
        <v>325200</v>
      </c>
      <c r="I116" s="1179">
        <v>325200</v>
      </c>
    </row>
    <row r="117" spans="1:9" ht="12.75" customHeight="1">
      <c r="A117" s="1177" t="s">
        <v>269</v>
      </c>
      <c r="B117" s="1178"/>
      <c r="C117" s="1215" t="s">
        <v>251</v>
      </c>
      <c r="D117" s="1208"/>
      <c r="E117" s="1179">
        <v>57000</v>
      </c>
      <c r="F117" s="1179">
        <v>57000</v>
      </c>
      <c r="G117" s="1179">
        <v>57000</v>
      </c>
      <c r="H117" s="1179">
        <v>57000</v>
      </c>
      <c r="I117" s="1179">
        <v>57000</v>
      </c>
    </row>
    <row r="118" spans="1:9" ht="12.75" customHeight="1">
      <c r="A118" s="1177" t="s">
        <v>271</v>
      </c>
      <c r="B118" s="1178"/>
      <c r="C118" s="686" t="s">
        <v>252</v>
      </c>
      <c r="D118" s="1208"/>
      <c r="E118" s="1179">
        <v>430000</v>
      </c>
      <c r="F118" s="1179">
        <f>SUM(F12*0.1)</f>
        <v>422774</v>
      </c>
      <c r="G118" s="1179">
        <f>SUM(G12*0.1)</f>
        <v>422774</v>
      </c>
      <c r="H118" s="1179">
        <f>SUM(H12*0.1)</f>
        <v>422774</v>
      </c>
      <c r="I118" s="1179">
        <f>SUM(I12*0.1)</f>
        <v>422774</v>
      </c>
    </row>
    <row r="119" spans="1:9" s="226" customFormat="1" ht="12.75" customHeight="1">
      <c r="A119" s="1177" t="s">
        <v>273</v>
      </c>
      <c r="B119" s="1181" t="s">
        <v>1066</v>
      </c>
      <c r="C119" s="1216" t="s">
        <v>655</v>
      </c>
      <c r="D119" s="541"/>
      <c r="E119" s="1182">
        <f>SUM(E120:E121)</f>
        <v>9086397</v>
      </c>
      <c r="F119" s="1182">
        <f>SUM(F120:F121)</f>
        <v>7035063</v>
      </c>
      <c r="G119" s="1182">
        <f>SUM(G120:G121)</f>
        <v>7035063</v>
      </c>
      <c r="H119" s="1182">
        <f>SUM(H120:H121)</f>
        <v>7496735</v>
      </c>
      <c r="I119" s="1182">
        <f>SUM(I120:I121)</f>
        <v>8085459</v>
      </c>
    </row>
    <row r="120" spans="1:9" ht="12.75" customHeight="1">
      <c r="A120" s="1177" t="s">
        <v>274</v>
      </c>
      <c r="B120" s="1183"/>
      <c r="C120" s="1179" t="s">
        <v>522</v>
      </c>
      <c r="D120" s="1206"/>
      <c r="E120" s="1179">
        <v>9086397</v>
      </c>
      <c r="F120" s="1179">
        <v>7035063</v>
      </c>
      <c r="G120" s="1179">
        <v>7035063</v>
      </c>
      <c r="H120" s="1179">
        <v>7496735</v>
      </c>
      <c r="I120" s="1179">
        <v>8085459</v>
      </c>
    </row>
    <row r="121" spans="1:9" ht="12.75" customHeight="1">
      <c r="A121" s="1177" t="s">
        <v>275</v>
      </c>
      <c r="B121" s="1178"/>
      <c r="C121" s="1207" t="s">
        <v>478</v>
      </c>
      <c r="D121" s="1208"/>
      <c r="E121" s="1179"/>
      <c r="F121" s="1179"/>
      <c r="G121" s="1179"/>
      <c r="H121" s="1179"/>
      <c r="I121" s="1179">
        <v>0</v>
      </c>
    </row>
    <row r="122" spans="1:9" s="226" customFormat="1" ht="12.75" customHeight="1">
      <c r="A122" s="1180" t="s">
        <v>277</v>
      </c>
      <c r="B122" s="1181" t="s">
        <v>1075</v>
      </c>
      <c r="C122" s="1216" t="s">
        <v>1081</v>
      </c>
      <c r="D122" s="541"/>
      <c r="E122" s="1182"/>
      <c r="F122" s="1182">
        <f>SUM(F123:F124)</f>
        <v>9837568</v>
      </c>
      <c r="G122" s="1182">
        <f>SUM(G123:G124)</f>
        <v>9837568</v>
      </c>
      <c r="H122" s="1182">
        <f>SUM(H123:H124)</f>
        <v>9837568</v>
      </c>
      <c r="I122" s="1182">
        <f>SUM(I123:I124)</f>
        <v>9837568</v>
      </c>
    </row>
    <row r="123" spans="1:9" ht="12.75" customHeight="1">
      <c r="A123" s="1177" t="s">
        <v>278</v>
      </c>
      <c r="C123" s="1215" t="s">
        <v>250</v>
      </c>
      <c r="D123" s="1208"/>
      <c r="E123" s="1179"/>
      <c r="F123" s="1179">
        <v>8231088</v>
      </c>
      <c r="G123" s="1179">
        <v>8231088</v>
      </c>
      <c r="H123" s="1179">
        <v>8231088</v>
      </c>
      <c r="I123" s="1179">
        <v>8231088</v>
      </c>
    </row>
    <row r="124" spans="1:9" ht="12.75" customHeight="1">
      <c r="A124" s="1177" t="s">
        <v>279</v>
      </c>
      <c r="B124" s="1178"/>
      <c r="C124" s="1215" t="s">
        <v>251</v>
      </c>
      <c r="D124" s="1208"/>
      <c r="E124" s="1179"/>
      <c r="F124" s="1179">
        <v>1606480</v>
      </c>
      <c r="G124" s="1179">
        <v>1606480</v>
      </c>
      <c r="H124" s="1179">
        <v>1606480</v>
      </c>
      <c r="I124" s="1179">
        <v>1606480</v>
      </c>
    </row>
    <row r="125" spans="1:9" s="226" customFormat="1" ht="12.75" customHeight="1">
      <c r="A125" s="1180" t="s">
        <v>280</v>
      </c>
      <c r="B125" s="1181" t="s">
        <v>1067</v>
      </c>
      <c r="C125" s="1216" t="s">
        <v>1068</v>
      </c>
      <c r="D125" s="541"/>
      <c r="E125" s="1182"/>
      <c r="F125" s="1182"/>
      <c r="G125" s="1182"/>
      <c r="H125" s="1182"/>
      <c r="I125" s="1182"/>
    </row>
    <row r="126" spans="1:9" ht="12.75" customHeight="1">
      <c r="A126" s="1177" t="s">
        <v>281</v>
      </c>
      <c r="B126" s="1178"/>
      <c r="C126" s="1207" t="s">
        <v>1069</v>
      </c>
      <c r="D126" s="1208"/>
      <c r="E126" s="1179"/>
      <c r="F126" s="1179"/>
      <c r="G126" s="1179"/>
      <c r="H126" s="1179"/>
      <c r="I126" s="1179"/>
    </row>
    <row r="127" spans="1:9" s="226" customFormat="1" ht="12.75" customHeight="1">
      <c r="A127" s="1180" t="s">
        <v>282</v>
      </c>
      <c r="B127" s="1181" t="s">
        <v>1070</v>
      </c>
      <c r="C127" s="1216" t="s">
        <v>1071</v>
      </c>
      <c r="D127" s="541"/>
      <c r="E127" s="1182"/>
      <c r="F127" s="1182"/>
      <c r="G127" s="1182"/>
      <c r="H127" s="1182"/>
      <c r="I127" s="1182"/>
    </row>
    <row r="128" spans="1:9" ht="12.75" customHeight="1">
      <c r="A128" s="1177" t="s">
        <v>283</v>
      </c>
      <c r="B128" s="1178"/>
      <c r="C128" s="1207" t="s">
        <v>1069</v>
      </c>
      <c r="D128" s="1208"/>
      <c r="E128" s="1179"/>
      <c r="F128" s="1179"/>
      <c r="G128" s="1179"/>
      <c r="H128" s="1179"/>
      <c r="I128" s="1179"/>
    </row>
    <row r="129" spans="1:9" ht="12.75" customHeight="1">
      <c r="A129" s="1177" t="s">
        <v>284</v>
      </c>
      <c r="B129" s="1178"/>
      <c r="C129" s="1207" t="s">
        <v>1072</v>
      </c>
      <c r="D129" s="1208"/>
      <c r="E129" s="1179"/>
      <c r="F129" s="1179"/>
      <c r="G129" s="1179"/>
      <c r="H129" s="1179"/>
      <c r="I129" s="1179"/>
    </row>
    <row r="130" spans="1:9" s="226" customFormat="1" ht="12.75" customHeight="1">
      <c r="A130" s="1180" t="s">
        <v>285</v>
      </c>
      <c r="B130" s="1181" t="s">
        <v>1073</v>
      </c>
      <c r="C130" s="1216" t="s">
        <v>1027</v>
      </c>
      <c r="D130" s="541"/>
      <c r="E130" s="1182"/>
      <c r="F130" s="1182">
        <f>SUM(F132)</f>
        <v>2500000</v>
      </c>
      <c r="G130" s="1182">
        <f>SUM(G132)</f>
        <v>2500000</v>
      </c>
      <c r="H130" s="1182">
        <f>SUM(H132)</f>
        <v>2500000</v>
      </c>
      <c r="I130" s="1182">
        <f>SUM(I132)</f>
        <v>2500000</v>
      </c>
    </row>
    <row r="131" spans="1:9" ht="12.75" customHeight="1">
      <c r="A131" s="1177" t="s">
        <v>286</v>
      </c>
      <c r="B131" s="1178"/>
      <c r="C131" s="1207" t="s">
        <v>1074</v>
      </c>
      <c r="D131" s="1208"/>
      <c r="E131" s="1179"/>
      <c r="F131" s="1179"/>
      <c r="G131" s="1179"/>
      <c r="H131" s="1179"/>
      <c r="I131" s="1179"/>
    </row>
    <row r="132" spans="1:9" ht="12.75" customHeight="1">
      <c r="A132" s="1177" t="s">
        <v>287</v>
      </c>
      <c r="B132" s="1178"/>
      <c r="C132" s="1207" t="s">
        <v>1072</v>
      </c>
      <c r="D132" s="1208"/>
      <c r="E132" s="1179"/>
      <c r="F132" s="1179">
        <v>2500000</v>
      </c>
      <c r="G132" s="1179">
        <v>2500000</v>
      </c>
      <c r="H132" s="1179">
        <v>2500000</v>
      </c>
      <c r="I132" s="1179">
        <v>2500000</v>
      </c>
    </row>
    <row r="133" spans="1:9" ht="26.25" customHeight="1">
      <c r="A133" s="1177" t="s">
        <v>288</v>
      </c>
      <c r="B133" s="1217" t="s">
        <v>1075</v>
      </c>
      <c r="C133" s="1218" t="s">
        <v>622</v>
      </c>
      <c r="D133" s="541"/>
      <c r="E133" s="1182">
        <f>SUM(E134)</f>
        <v>274808735</v>
      </c>
      <c r="F133" s="1182">
        <f>SUM(F134)</f>
        <v>312611623</v>
      </c>
      <c r="G133" s="1182">
        <f>SUM(G134)</f>
        <v>312611623</v>
      </c>
      <c r="H133" s="1182">
        <f>SUM(H134)</f>
        <v>313202745</v>
      </c>
      <c r="I133" s="1182">
        <f>SUM(I134)</f>
        <v>315592990</v>
      </c>
    </row>
    <row r="134" spans="1:9" ht="12.75" customHeight="1" thickBot="1">
      <c r="A134" s="1177" t="s">
        <v>290</v>
      </c>
      <c r="B134" s="1219"/>
      <c r="C134" s="1220" t="s">
        <v>289</v>
      </c>
      <c r="D134" s="1208"/>
      <c r="E134" s="1206">
        <f>SUM('ÖNK ÖSSZESITŐ'!E46)*-1</f>
        <v>274808735</v>
      </c>
      <c r="F134" s="1206">
        <f>SUM('ÖNK ÖSSZESITŐ'!F46)*-1</f>
        <v>312611623</v>
      </c>
      <c r="G134" s="1206">
        <f>SUM('ÖNK ÖSSZESITŐ'!G46)*-1</f>
        <v>312611623</v>
      </c>
      <c r="H134" s="1206">
        <f>SUM('ÖNK ÖSSZESITŐ'!H46)*-1</f>
        <v>313202745</v>
      </c>
      <c r="I134" s="1206">
        <f>SUM('ÖNK ÖSSZESITŐ'!I46)*-1</f>
        <v>315592990</v>
      </c>
    </row>
    <row r="135" spans="1:9" ht="12.75" customHeight="1" thickBot="1">
      <c r="A135" s="1177" t="s">
        <v>291</v>
      </c>
      <c r="B135" s="227"/>
      <c r="C135" s="228" t="s">
        <v>236</v>
      </c>
      <c r="D135" s="1221">
        <v>5</v>
      </c>
      <c r="E135" s="229">
        <f>SUM(E61+E63+E66+E68+E72+E78+E82+E86+E103+E119+E133)+E115+E94</f>
        <v>1184701944</v>
      </c>
      <c r="F135" s="229">
        <f>SUM(F61+F63+F66+F68+F72+F78+F82+F86+F103+F119+F133)+F115+F94+F130+F122</f>
        <v>1074717213</v>
      </c>
      <c r="G135" s="229">
        <f>SUM(G61+G63+G66+G68+G72+G78+G82+G86+G103+G119+G133)+G115+G94+G130+G122</f>
        <v>1074717213</v>
      </c>
      <c r="H135" s="229">
        <f>SUM(H61+H63+H66+H68+H72+H78+H82+H86+H103+H119+H133)+H115+H94+H130+H122</f>
        <v>1088612777</v>
      </c>
      <c r="I135" s="229">
        <f>SUM(I61+I63+I66+I68+I72+I78+I82+I86+I103+I119+I133)+I115+I94+I130+I122</f>
        <v>1108923774</v>
      </c>
    </row>
    <row r="136" spans="1:9" ht="12.75" customHeight="1">
      <c r="A136" s="1177" t="s">
        <v>292</v>
      </c>
      <c r="B136" s="230"/>
      <c r="C136" s="231" t="s">
        <v>250</v>
      </c>
      <c r="D136" s="231"/>
      <c r="E136" s="231">
        <f>SUM(E73+E79+E83+E104)+E116</f>
        <v>24657111</v>
      </c>
      <c r="F136" s="231">
        <f>SUM(F73+F79+F83+F104)+F116+F123</f>
        <v>25877312</v>
      </c>
      <c r="G136" s="231">
        <f>SUM(G73+G79+G83+G104)+G116+G123</f>
        <v>25877312</v>
      </c>
      <c r="H136" s="231">
        <f>SUM(H73+H79+H83+H104)+H116+H123</f>
        <v>25877312</v>
      </c>
      <c r="I136" s="1592">
        <f>SUM(I73+I79+I83+I104)+I116+I123</f>
        <v>25877312</v>
      </c>
    </row>
    <row r="137" spans="1:9" ht="12.75" customHeight="1">
      <c r="A137" s="1177" t="s">
        <v>293</v>
      </c>
      <c r="B137" s="232"/>
      <c r="C137" s="233" t="s">
        <v>251</v>
      </c>
      <c r="D137" s="233"/>
      <c r="E137" s="233">
        <f>SUM(E74+E84+E105)+E117</f>
        <v>4122203</v>
      </c>
      <c r="F137" s="233">
        <f>SUM(F74+F84+F105)+F117+F124</f>
        <v>5090525</v>
      </c>
      <c r="G137" s="233">
        <f>SUM(G74+G84+G105)+G117+G124</f>
        <v>5090525</v>
      </c>
      <c r="H137" s="233">
        <f>SUM(H74+H84+H105)+H117+H124</f>
        <v>5090525</v>
      </c>
      <c r="I137" s="1593">
        <f>SUM(I74+I84+I105)+I117+I124</f>
        <v>5090525</v>
      </c>
    </row>
    <row r="138" spans="1:9" ht="12.75" customHeight="1">
      <c r="A138" s="1177" t="s">
        <v>294</v>
      </c>
      <c r="B138" s="232"/>
      <c r="C138" s="233" t="s">
        <v>252</v>
      </c>
      <c r="D138" s="233"/>
      <c r="E138" s="233">
        <f>SUM(E62+E64+E67+E69+E75+E81+E106)+E118+E95</f>
        <v>97469979</v>
      </c>
      <c r="F138" s="233">
        <f>SUM(F62+F64+F67+F69+F75+F81+F106)+F118+F95</f>
        <v>34022339</v>
      </c>
      <c r="G138" s="233">
        <f>SUM(G62+G64+G67+G69+G75+G81+G106)+G118+G95</f>
        <v>34022339</v>
      </c>
      <c r="H138" s="233">
        <f>SUM(H62+H64+H67+H69+H75+H81+H106)+H118+H95</f>
        <v>39629018</v>
      </c>
      <c r="I138" s="1593">
        <f>SUM(I62+I64+I67+I69+I75+I81+I106)+I118+I95</f>
        <v>45115833</v>
      </c>
    </row>
    <row r="139" spans="1:9" ht="12.75" customHeight="1">
      <c r="A139" s="1177" t="s">
        <v>295</v>
      </c>
      <c r="B139" s="232"/>
      <c r="C139" s="233" t="s">
        <v>660</v>
      </c>
      <c r="D139" s="233"/>
      <c r="E139" s="233">
        <f>SUM(E96)</f>
        <v>3627050</v>
      </c>
      <c r="F139" s="233">
        <f>SUM(F96)+F102</f>
        <v>4162000</v>
      </c>
      <c r="G139" s="233">
        <f>SUM(G96)+G102</f>
        <v>4162000</v>
      </c>
      <c r="H139" s="233">
        <f>SUM(H96)+H102</f>
        <v>4162000</v>
      </c>
      <c r="I139" s="1593">
        <f>SUM(I96)+I102</f>
        <v>4162000</v>
      </c>
    </row>
    <row r="140" spans="1:9" ht="12.75" customHeight="1">
      <c r="A140" s="1177" t="s">
        <v>297</v>
      </c>
      <c r="B140" s="232"/>
      <c r="C140" s="233" t="s">
        <v>661</v>
      </c>
      <c r="D140" s="233"/>
      <c r="E140" s="233">
        <f>SUM(E110)</f>
        <v>664627351</v>
      </c>
      <c r="F140" s="233">
        <f>SUM(F110)</f>
        <v>649730501</v>
      </c>
      <c r="G140" s="233">
        <f>SUM(G110)</f>
        <v>649730501</v>
      </c>
      <c r="H140" s="233">
        <f>SUM(H110)</f>
        <v>644615355</v>
      </c>
      <c r="I140" s="1593">
        <f>SUM(I110)</f>
        <v>642488982</v>
      </c>
    </row>
    <row r="141" spans="1:9" ht="12.75" customHeight="1">
      <c r="A141" s="1177" t="s">
        <v>299</v>
      </c>
      <c r="B141" s="232"/>
      <c r="C141" s="233" t="s">
        <v>662</v>
      </c>
      <c r="D141" s="233"/>
      <c r="E141" s="233">
        <f>SUM(E87)</f>
        <v>40766879</v>
      </c>
      <c r="F141" s="233">
        <f>SUM(F87)+F132</f>
        <v>32887850</v>
      </c>
      <c r="G141" s="233">
        <f>SUM(G87)+G132</f>
        <v>32887850</v>
      </c>
      <c r="H141" s="233">
        <f>SUM(H87)+H132</f>
        <v>38852413</v>
      </c>
      <c r="I141" s="1593">
        <f>SUM(I87)+I132</f>
        <v>38917253</v>
      </c>
    </row>
    <row r="142" spans="1:9" ht="12.75" customHeight="1">
      <c r="A142" s="1177" t="s">
        <v>301</v>
      </c>
      <c r="B142" s="232"/>
      <c r="C142" s="233" t="s">
        <v>625</v>
      </c>
      <c r="D142" s="233"/>
      <c r="E142" s="233">
        <f>SUM(E65+E77+E80+E109)</f>
        <v>54806758</v>
      </c>
      <c r="F142" s="233">
        <f>SUM(F65+F77+F80+F109)</f>
        <v>3300000</v>
      </c>
      <c r="G142" s="233">
        <f>SUM(G65+G77+G80+G109)</f>
        <v>3300000</v>
      </c>
      <c r="H142" s="233">
        <f>SUM(H65+H77+H80+H109)</f>
        <v>9569777</v>
      </c>
      <c r="I142" s="1593">
        <f>SUM(I65+I77+I80+I109)</f>
        <v>21111383</v>
      </c>
    </row>
    <row r="143" spans="1:9" s="1223" customFormat="1" ht="12.75" customHeight="1">
      <c r="A143" s="1222" t="s">
        <v>302</v>
      </c>
      <c r="B143" s="882"/>
      <c r="C143" s="883" t="s">
        <v>792</v>
      </c>
      <c r="D143" s="883"/>
      <c r="E143" s="883">
        <v>46062104</v>
      </c>
      <c r="F143" s="883">
        <v>2000000</v>
      </c>
      <c r="G143" s="883">
        <v>2000000</v>
      </c>
      <c r="H143" s="883">
        <v>8269777</v>
      </c>
      <c r="I143" s="1594">
        <v>19811383</v>
      </c>
    </row>
    <row r="144" spans="1:9" s="1223" customFormat="1" ht="12.75" customHeight="1">
      <c r="A144" s="1222" t="s">
        <v>303</v>
      </c>
      <c r="B144" s="882"/>
      <c r="C144" s="883" t="s">
        <v>793</v>
      </c>
      <c r="D144" s="883"/>
      <c r="E144" s="1224">
        <v>8744654</v>
      </c>
      <c r="F144" s="1224">
        <v>1300000</v>
      </c>
      <c r="G144" s="1224">
        <v>1300000</v>
      </c>
      <c r="H144" s="1224">
        <v>1300000</v>
      </c>
      <c r="I144" s="1595">
        <v>1300000</v>
      </c>
    </row>
    <row r="145" spans="1:9" ht="12.75">
      <c r="A145" s="1177" t="s">
        <v>304</v>
      </c>
      <c r="B145" s="232"/>
      <c r="C145" s="234" t="s">
        <v>663</v>
      </c>
      <c r="D145" s="233"/>
      <c r="E145" s="233">
        <v>10729481</v>
      </c>
      <c r="F145" s="233"/>
      <c r="G145" s="233"/>
      <c r="H145" s="233"/>
      <c r="I145" s="1593"/>
    </row>
    <row r="146" spans="1:9" ht="25.5">
      <c r="A146" s="1177" t="s">
        <v>305</v>
      </c>
      <c r="B146" s="1416"/>
      <c r="C146" s="1417" t="s">
        <v>1144</v>
      </c>
      <c r="D146" s="1418"/>
      <c r="E146" s="1418"/>
      <c r="F146" s="236"/>
      <c r="G146" s="236"/>
      <c r="H146" s="236">
        <f>SUM(H114)</f>
        <v>116897</v>
      </c>
      <c r="I146" s="1596">
        <f>SUM(I114)</f>
        <v>2482037</v>
      </c>
    </row>
    <row r="147" spans="1:9" ht="25.5">
      <c r="A147" s="1177" t="s">
        <v>623</v>
      </c>
      <c r="B147" s="235"/>
      <c r="C147" s="566" t="s">
        <v>707</v>
      </c>
      <c r="D147" s="236"/>
      <c r="E147" s="236">
        <f>SUM(E111)</f>
        <v>0</v>
      </c>
      <c r="F147" s="236">
        <f>SUM(F111)</f>
        <v>0</v>
      </c>
      <c r="G147" s="236">
        <f>SUM(G111)</f>
        <v>0</v>
      </c>
      <c r="H147" s="236">
        <f>SUM(H111)</f>
        <v>0</v>
      </c>
      <c r="I147" s="1596">
        <f>SUM(I111)</f>
        <v>0</v>
      </c>
    </row>
    <row r="148" spans="1:9" ht="25.5">
      <c r="A148" s="1177" t="s">
        <v>624</v>
      </c>
      <c r="B148" s="567"/>
      <c r="C148" s="568" t="s">
        <v>708</v>
      </c>
      <c r="D148" s="569"/>
      <c r="E148" s="569">
        <f>SUM(E120)</f>
        <v>9086397</v>
      </c>
      <c r="F148" s="569">
        <f>SUM(F120)</f>
        <v>7035063</v>
      </c>
      <c r="G148" s="569">
        <f>SUM(G120)</f>
        <v>7035063</v>
      </c>
      <c r="H148" s="569">
        <f>SUM(H120)</f>
        <v>7496735</v>
      </c>
      <c r="I148" s="1597">
        <v>8085459</v>
      </c>
    </row>
    <row r="149" spans="1:9" ht="12.75" customHeight="1">
      <c r="A149" s="1177" t="s">
        <v>307</v>
      </c>
      <c r="B149" s="567"/>
      <c r="C149" s="568" t="s">
        <v>688</v>
      </c>
      <c r="D149" s="569"/>
      <c r="E149" s="569"/>
      <c r="F149" s="569"/>
      <c r="G149" s="569"/>
      <c r="H149" s="569"/>
      <c r="I149" s="569">
        <v>0</v>
      </c>
    </row>
    <row r="150" spans="1:9" ht="12.75" customHeight="1">
      <c r="A150" s="1177" t="s">
        <v>308</v>
      </c>
      <c r="B150" s="567"/>
      <c r="C150" s="568" t="s">
        <v>689</v>
      </c>
      <c r="D150" s="569"/>
      <c r="E150" s="569"/>
      <c r="F150" s="569"/>
      <c r="G150" s="569"/>
      <c r="H150" s="569"/>
      <c r="I150" s="569"/>
    </row>
    <row r="151" spans="1:9" ht="12.75" customHeight="1">
      <c r="A151" s="1177" t="s">
        <v>309</v>
      </c>
      <c r="B151" s="567"/>
      <c r="C151" s="568" t="s">
        <v>690</v>
      </c>
      <c r="D151" s="569"/>
      <c r="E151" s="569"/>
      <c r="F151" s="569"/>
      <c r="G151" s="569"/>
      <c r="H151" s="569"/>
      <c r="I151" s="569"/>
    </row>
    <row r="152" spans="1:9" ht="12.75" customHeight="1">
      <c r="A152" s="1177" t="s">
        <v>310</v>
      </c>
      <c r="B152" s="567"/>
      <c r="C152" s="568" t="s">
        <v>686</v>
      </c>
      <c r="D152" s="569"/>
      <c r="E152" s="569">
        <f>SUM(E134)</f>
        <v>274808735</v>
      </c>
      <c r="F152" s="569">
        <f>SUM(F134)</f>
        <v>312611623</v>
      </c>
      <c r="G152" s="569">
        <f>SUM(G134)</f>
        <v>312611623</v>
      </c>
      <c r="H152" s="569">
        <f>SUM(H134)</f>
        <v>313202745</v>
      </c>
      <c r="I152" s="569">
        <f>SUM(I134)</f>
        <v>315592990</v>
      </c>
    </row>
    <row r="153" spans="1:9" s="237" customFormat="1" ht="12.75" customHeight="1">
      <c r="A153" s="1177"/>
      <c r="E153" s="238"/>
      <c r="F153" s="238"/>
      <c r="G153" s="238"/>
      <c r="H153" s="238"/>
      <c r="I153" s="238"/>
    </row>
  </sheetData>
  <sheetProtection selectLockedCells="1" selectUnlockedCells="1"/>
  <mergeCells count="50">
    <mergeCell ref="A6:C6"/>
    <mergeCell ref="A7:B7"/>
    <mergeCell ref="C7:D7"/>
    <mergeCell ref="A4:I4"/>
    <mergeCell ref="A2:I2"/>
    <mergeCell ref="A1:I1"/>
    <mergeCell ref="C3:H3"/>
    <mergeCell ref="A8:B8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C39:D39"/>
    <mergeCell ref="C40:D40"/>
    <mergeCell ref="C41:D41"/>
    <mergeCell ref="C46:D46"/>
    <mergeCell ref="C49:D49"/>
    <mergeCell ref="C50:D50"/>
    <mergeCell ref="C51:D51"/>
    <mergeCell ref="A60:B60"/>
    <mergeCell ref="C52:D52"/>
    <mergeCell ref="C53:D53"/>
    <mergeCell ref="C54:D54"/>
    <mergeCell ref="C55:D55"/>
    <mergeCell ref="C56:D56"/>
    <mergeCell ref="A59:B59"/>
  </mergeCells>
  <printOptions horizontalCentered="1"/>
  <pageMargins left="0.5905511811023623" right="0.5905511811023623" top="0.2755905511811024" bottom="0.2755905511811024" header="0.7874015748031497" footer="0.7874015748031497"/>
  <pageSetup horizontalDpi="600" verticalDpi="600" orientation="portrait" paperSize="9" scale="65" r:id="rId1"/>
  <rowBreaks count="1" manualBreakCount="1">
    <brk id="77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6"/>
  <sheetViews>
    <sheetView view="pageBreakPreview" zoomScaleSheetLayoutView="100" zoomScalePageLayoutView="0" workbookViewId="0" topLeftCell="H1">
      <pane ySplit="10" topLeftCell="A11" activePane="bottomLeft" state="frozen"/>
      <selection pane="topLeft" activeCell="A1" sqref="A1"/>
      <selection pane="bottomLeft" activeCell="F3" sqref="F3:K3"/>
    </sheetView>
  </sheetViews>
  <sheetFormatPr defaultColWidth="11.57421875" defaultRowHeight="12.75" customHeight="1"/>
  <cols>
    <col min="1" max="1" width="38.421875" style="0" customWidth="1"/>
    <col min="2" max="2" width="16.00390625" style="0" customWidth="1"/>
    <col min="3" max="3" width="20.28125" style="0" customWidth="1"/>
    <col min="4" max="4" width="13.7109375" style="0" customWidth="1"/>
    <col min="5" max="5" width="17.421875" style="0" customWidth="1"/>
    <col min="6" max="6" width="16.00390625" style="0" customWidth="1"/>
    <col min="7" max="7" width="20.28125" style="0" customWidth="1"/>
    <col min="8" max="8" width="13.7109375" style="0" customWidth="1"/>
    <col min="9" max="9" width="17.421875" style="0" customWidth="1"/>
    <col min="10" max="10" width="16.00390625" style="0" customWidth="1"/>
    <col min="11" max="11" width="20.28125" style="0" customWidth="1"/>
    <col min="12" max="12" width="13.7109375" style="0" customWidth="1"/>
    <col min="13" max="13" width="17.421875" style="0" customWidth="1"/>
    <col min="14" max="14" width="16.00390625" style="0" customWidth="1"/>
    <col min="15" max="15" width="20.28125" style="0" customWidth="1"/>
    <col min="16" max="16" width="13.7109375" style="0" customWidth="1"/>
    <col min="17" max="17" width="17.421875" style="0" customWidth="1"/>
  </cols>
  <sheetData>
    <row r="1" spans="1:17" s="177" customFormat="1" ht="18" customHeight="1">
      <c r="A1" s="1991" t="s">
        <v>525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  <c r="M1" s="1991"/>
      <c r="N1" s="1991"/>
      <c r="O1" s="1991"/>
      <c r="P1" s="1991"/>
      <c r="Q1" s="1991"/>
    </row>
    <row r="2" spans="1:17" ht="12.75" customHeight="1">
      <c r="A2" s="1761" t="s">
        <v>1181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  <c r="P2" s="1761"/>
      <c r="Q2" s="1761"/>
    </row>
    <row r="3" spans="1:17" ht="12.75" customHeight="1">
      <c r="A3" s="531"/>
      <c r="B3" s="531"/>
      <c r="C3" s="531"/>
      <c r="D3" s="531"/>
      <c r="E3" s="531"/>
      <c r="F3" s="1761" t="s">
        <v>1183</v>
      </c>
      <c r="G3" s="1761"/>
      <c r="H3" s="1761"/>
      <c r="I3" s="1761"/>
      <c r="J3" s="1761"/>
      <c r="K3" s="1761"/>
      <c r="L3" s="531"/>
      <c r="M3" s="531"/>
      <c r="N3" s="531"/>
      <c r="O3" s="531"/>
      <c r="P3" s="531"/>
      <c r="Q3" s="531" t="s">
        <v>503</v>
      </c>
    </row>
    <row r="4" spans="1:17" ht="12.75" customHeight="1">
      <c r="A4" s="1689" t="s">
        <v>2</v>
      </c>
      <c r="B4" s="1689"/>
      <c r="C4" s="1689"/>
      <c r="D4" s="1689"/>
      <c r="E4" s="1689"/>
      <c r="F4" s="1689"/>
      <c r="G4" s="1689"/>
      <c r="H4" s="1689"/>
      <c r="I4" s="1689"/>
      <c r="J4" s="1689"/>
      <c r="K4" s="1689"/>
      <c r="L4" s="1689"/>
      <c r="M4" s="1689"/>
      <c r="N4" s="1689"/>
      <c r="O4" s="1689"/>
      <c r="P4" s="1689"/>
      <c r="Q4" s="1689"/>
    </row>
    <row r="5" spans="1:17" ht="15.75" customHeight="1">
      <c r="A5" s="1762" t="s">
        <v>1023</v>
      </c>
      <c r="B5" s="1762"/>
      <c r="C5" s="1762"/>
      <c r="D5" s="1762"/>
      <c r="E5" s="1762"/>
      <c r="F5" s="1762"/>
      <c r="G5" s="1762"/>
      <c r="H5" s="1762"/>
      <c r="I5" s="1762"/>
      <c r="J5" s="1762"/>
      <c r="K5" s="1762"/>
      <c r="L5" s="1762"/>
      <c r="M5" s="1762"/>
      <c r="N5" s="1762"/>
      <c r="O5" s="1762"/>
      <c r="P5" s="1762"/>
      <c r="Q5" s="1762"/>
    </row>
    <row r="6" spans="1:15" ht="9" customHeight="1">
      <c r="A6" s="3"/>
      <c r="B6" s="3"/>
      <c r="C6" s="3"/>
      <c r="F6" s="3"/>
      <c r="G6" s="3"/>
      <c r="J6" s="3"/>
      <c r="K6" s="3"/>
      <c r="N6" s="3"/>
      <c r="O6" s="3"/>
    </row>
    <row r="7" spans="1:15" ht="9" customHeight="1">
      <c r="A7" s="3"/>
      <c r="B7" s="3"/>
      <c r="C7" s="3"/>
      <c r="F7" s="3"/>
      <c r="G7" s="3"/>
      <c r="J7" s="3"/>
      <c r="K7" s="3"/>
      <c r="N7" s="3"/>
      <c r="O7" s="3"/>
    </row>
    <row r="8" spans="1:17" ht="13.5" customHeight="1" thickBot="1">
      <c r="A8" s="3"/>
      <c r="B8" s="3"/>
      <c r="C8" s="3"/>
      <c r="D8" s="1766"/>
      <c r="E8" s="1766"/>
      <c r="F8" s="3"/>
      <c r="G8" s="3"/>
      <c r="H8" s="1766"/>
      <c r="I8" s="1766"/>
      <c r="J8" s="3"/>
      <c r="K8" s="3"/>
      <c r="L8" s="1766"/>
      <c r="M8" s="1766"/>
      <c r="N8" s="3"/>
      <c r="O8" s="3"/>
      <c r="P8" s="1766" t="s">
        <v>214</v>
      </c>
      <c r="Q8" s="1766"/>
    </row>
    <row r="9" spans="1:17" ht="12.75" customHeight="1" thickBot="1">
      <c r="A9" s="1989" t="s">
        <v>526</v>
      </c>
      <c r="B9" s="1985" t="s">
        <v>527</v>
      </c>
      <c r="C9" s="1987" t="s">
        <v>528</v>
      </c>
      <c r="D9" s="1987"/>
      <c r="E9" s="1988"/>
      <c r="F9" s="1985" t="s">
        <v>527</v>
      </c>
      <c r="G9" s="1987" t="s">
        <v>1139</v>
      </c>
      <c r="H9" s="1987"/>
      <c r="I9" s="1988"/>
      <c r="J9" s="1985" t="s">
        <v>527</v>
      </c>
      <c r="K9" s="1987" t="s">
        <v>1141</v>
      </c>
      <c r="L9" s="1987"/>
      <c r="M9" s="1988"/>
      <c r="N9" s="1985" t="s">
        <v>527</v>
      </c>
      <c r="O9" s="1987" t="s">
        <v>1164</v>
      </c>
      <c r="P9" s="1987"/>
      <c r="Q9" s="1988"/>
    </row>
    <row r="10" spans="1:17" ht="33.75" customHeight="1">
      <c r="A10" s="1990"/>
      <c r="B10" s="1986"/>
      <c r="C10" s="239" t="s">
        <v>529</v>
      </c>
      <c r="D10" s="239" t="s">
        <v>530</v>
      </c>
      <c r="E10" s="746" t="s">
        <v>531</v>
      </c>
      <c r="F10" s="1986"/>
      <c r="G10" s="239" t="s">
        <v>529</v>
      </c>
      <c r="H10" s="239" t="s">
        <v>530</v>
      </c>
      <c r="I10" s="746" t="s">
        <v>531</v>
      </c>
      <c r="J10" s="1986"/>
      <c r="K10" s="239" t="s">
        <v>529</v>
      </c>
      <c r="L10" s="239" t="s">
        <v>530</v>
      </c>
      <c r="M10" s="746" t="s">
        <v>531</v>
      </c>
      <c r="N10" s="1986"/>
      <c r="O10" s="239" t="s">
        <v>529</v>
      </c>
      <c r="P10" s="239" t="s">
        <v>530</v>
      </c>
      <c r="Q10" s="746" t="s">
        <v>531</v>
      </c>
    </row>
    <row r="11" spans="1:17" ht="15" customHeight="1">
      <c r="A11" s="762" t="s">
        <v>2</v>
      </c>
      <c r="B11" s="747">
        <f aca="true" t="shared" si="0" ref="B11:I11">SUM(B12:B26)</f>
        <v>1074717213</v>
      </c>
      <c r="C11" s="66">
        <f t="shared" si="0"/>
        <v>1074717213</v>
      </c>
      <c r="D11" s="66">
        <f t="shared" si="0"/>
        <v>0</v>
      </c>
      <c r="E11" s="453">
        <f t="shared" si="0"/>
        <v>0</v>
      </c>
      <c r="F11" s="747">
        <f t="shared" si="0"/>
        <v>1074717213</v>
      </c>
      <c r="G11" s="66">
        <f t="shared" si="0"/>
        <v>1074717213</v>
      </c>
      <c r="H11" s="66">
        <f t="shared" si="0"/>
        <v>0</v>
      </c>
      <c r="I11" s="453">
        <f t="shared" si="0"/>
        <v>0</v>
      </c>
      <c r="J11" s="747">
        <f aca="true" t="shared" si="1" ref="J11:Q11">SUM(J12:J26)</f>
        <v>1088612777</v>
      </c>
      <c r="K11" s="66">
        <f t="shared" si="1"/>
        <v>1088612777</v>
      </c>
      <c r="L11" s="66">
        <f t="shared" si="1"/>
        <v>0</v>
      </c>
      <c r="M11" s="453">
        <f t="shared" si="1"/>
        <v>0</v>
      </c>
      <c r="N11" s="747">
        <f t="shared" si="1"/>
        <v>1108923774</v>
      </c>
      <c r="O11" s="66">
        <f t="shared" si="1"/>
        <v>1108923774</v>
      </c>
      <c r="P11" s="66">
        <f t="shared" si="1"/>
        <v>0</v>
      </c>
      <c r="Q11" s="453">
        <f t="shared" si="1"/>
        <v>0</v>
      </c>
    </row>
    <row r="12" spans="1:17" ht="15" customHeight="1">
      <c r="A12" s="763" t="s">
        <v>665</v>
      </c>
      <c r="B12" s="748">
        <f>SUM(C12:E12)</f>
        <v>0</v>
      </c>
      <c r="C12" s="124"/>
      <c r="D12" s="124">
        <v>0</v>
      </c>
      <c r="E12" s="749"/>
      <c r="F12" s="748">
        <f>SUM(G12:I12)</f>
        <v>0</v>
      </c>
      <c r="G12" s="124"/>
      <c r="H12" s="124"/>
      <c r="I12" s="749"/>
      <c r="J12" s="748">
        <f>SUM(K12:M12)</f>
        <v>0</v>
      </c>
      <c r="K12" s="124"/>
      <c r="L12" s="124">
        <v>0</v>
      </c>
      <c r="M12" s="749"/>
      <c r="N12" s="748">
        <f>SUM(O12:Q12)</f>
        <v>0</v>
      </c>
      <c r="O12" s="124"/>
      <c r="P12" s="124">
        <v>0</v>
      </c>
      <c r="Q12" s="749"/>
    </row>
    <row r="13" spans="1:17" ht="15" customHeight="1">
      <c r="A13" s="763" t="s">
        <v>248</v>
      </c>
      <c r="B13" s="748">
        <f aca="true" t="shared" si="2" ref="B13:B23">SUM(C13:E13)</f>
        <v>200000</v>
      </c>
      <c r="C13" s="124">
        <f>SUM('19 önkormányzat'!F63)</f>
        <v>200000</v>
      </c>
      <c r="D13" s="124"/>
      <c r="E13" s="749"/>
      <c r="F13" s="748">
        <f aca="true" t="shared" si="3" ref="F13:F23">SUM(G13:I13)</f>
        <v>200000</v>
      </c>
      <c r="G13" s="124">
        <v>200000</v>
      </c>
      <c r="H13" s="124"/>
      <c r="I13" s="749"/>
      <c r="J13" s="748">
        <f aca="true" t="shared" si="4" ref="J13:J23">SUM(K13:M13)</f>
        <v>200000</v>
      </c>
      <c r="K13" s="124">
        <v>200000</v>
      </c>
      <c r="L13" s="124"/>
      <c r="M13" s="749"/>
      <c r="N13" s="748">
        <f aca="true" t="shared" si="5" ref="N13:N23">SUM(O13:Q13)</f>
        <v>200000</v>
      </c>
      <c r="O13" s="124">
        <v>200000</v>
      </c>
      <c r="P13" s="124"/>
      <c r="Q13" s="749"/>
    </row>
    <row r="14" spans="1:17" ht="15" customHeight="1">
      <c r="A14" s="763" t="s">
        <v>253</v>
      </c>
      <c r="B14" s="748">
        <f t="shared" si="2"/>
        <v>7000000</v>
      </c>
      <c r="C14" s="240">
        <f>SUM('19 önkormányzat'!F66)</f>
        <v>7000000</v>
      </c>
      <c r="D14" s="124"/>
      <c r="E14" s="749"/>
      <c r="F14" s="748">
        <f t="shared" si="3"/>
        <v>7000000</v>
      </c>
      <c r="G14" s="240">
        <v>7000000</v>
      </c>
      <c r="H14" s="124"/>
      <c r="I14" s="749"/>
      <c r="J14" s="748">
        <f t="shared" si="4"/>
        <v>7000000</v>
      </c>
      <c r="K14" s="240">
        <v>7000000</v>
      </c>
      <c r="L14" s="124"/>
      <c r="M14" s="749"/>
      <c r="N14" s="748">
        <f t="shared" si="5"/>
        <v>7000000</v>
      </c>
      <c r="O14" s="240">
        <v>7000000</v>
      </c>
      <c r="P14" s="124"/>
      <c r="Q14" s="749"/>
    </row>
    <row r="15" spans="1:17" ht="15" customHeight="1">
      <c r="A15" s="763" t="s">
        <v>666</v>
      </c>
      <c r="B15" s="748">
        <f t="shared" si="2"/>
        <v>100000</v>
      </c>
      <c r="C15" s="124">
        <f>SUM('19 önkormányzat'!E68)</f>
        <v>100000</v>
      </c>
      <c r="D15" s="124"/>
      <c r="E15" s="749"/>
      <c r="F15" s="748">
        <f t="shared" si="3"/>
        <v>100000</v>
      </c>
      <c r="G15" s="124">
        <v>100000</v>
      </c>
      <c r="H15" s="124"/>
      <c r="I15" s="749"/>
      <c r="J15" s="748">
        <f t="shared" si="4"/>
        <v>100000</v>
      </c>
      <c r="K15" s="124">
        <v>100000</v>
      </c>
      <c r="L15" s="124"/>
      <c r="M15" s="749"/>
      <c r="N15" s="748">
        <f t="shared" si="5"/>
        <v>100000</v>
      </c>
      <c r="O15" s="124">
        <v>100000</v>
      </c>
      <c r="P15" s="124"/>
      <c r="Q15" s="749"/>
    </row>
    <row r="16" spans="1:17" ht="15" customHeight="1">
      <c r="A16" s="763" t="s">
        <v>255</v>
      </c>
      <c r="B16" s="748">
        <f t="shared" si="2"/>
        <v>1752495</v>
      </c>
      <c r="C16" s="124">
        <v>1752495</v>
      </c>
      <c r="D16" s="124"/>
      <c r="E16" s="749"/>
      <c r="F16" s="748">
        <f t="shared" si="3"/>
        <v>1752495</v>
      </c>
      <c r="G16" s="124">
        <v>1752495</v>
      </c>
      <c r="H16" s="124"/>
      <c r="I16" s="749"/>
      <c r="J16" s="748">
        <f t="shared" si="4"/>
        <v>1752495</v>
      </c>
      <c r="K16" s="124">
        <v>1752495</v>
      </c>
      <c r="L16" s="124"/>
      <c r="M16" s="749"/>
      <c r="N16" s="748">
        <f t="shared" si="5"/>
        <v>1752495</v>
      </c>
      <c r="O16" s="124">
        <v>1752495</v>
      </c>
      <c r="P16" s="124"/>
      <c r="Q16" s="749"/>
    </row>
    <row r="17" spans="1:17" ht="15" customHeight="1">
      <c r="A17" s="763" t="s">
        <v>667</v>
      </c>
      <c r="B17" s="748">
        <f t="shared" si="2"/>
        <v>200000</v>
      </c>
      <c r="C17" s="124">
        <v>200000</v>
      </c>
      <c r="D17" s="124"/>
      <c r="E17" s="749"/>
      <c r="F17" s="748">
        <f t="shared" si="3"/>
        <v>200000</v>
      </c>
      <c r="G17" s="124">
        <v>200000</v>
      </c>
      <c r="H17" s="124"/>
      <c r="I17" s="749"/>
      <c r="J17" s="748">
        <f t="shared" si="4"/>
        <v>200000</v>
      </c>
      <c r="K17" s="124">
        <v>200000</v>
      </c>
      <c r="L17" s="124"/>
      <c r="M17" s="749"/>
      <c r="N17" s="748">
        <f t="shared" si="5"/>
        <v>200000</v>
      </c>
      <c r="O17" s="124">
        <v>200000</v>
      </c>
      <c r="P17" s="124"/>
      <c r="Q17" s="749"/>
    </row>
    <row r="18" spans="1:17" ht="15" customHeight="1">
      <c r="A18" s="763" t="s">
        <v>668</v>
      </c>
      <c r="B18" s="748">
        <f t="shared" si="2"/>
        <v>0</v>
      </c>
      <c r="C18" s="124">
        <v>0</v>
      </c>
      <c r="D18" s="124"/>
      <c r="E18" s="749"/>
      <c r="F18" s="748">
        <f t="shared" si="3"/>
        <v>0</v>
      </c>
      <c r="G18" s="124">
        <v>0</v>
      </c>
      <c r="H18" s="124"/>
      <c r="I18" s="749"/>
      <c r="J18" s="748">
        <f t="shared" si="4"/>
        <v>0</v>
      </c>
      <c r="K18" s="124">
        <v>0</v>
      </c>
      <c r="L18" s="124"/>
      <c r="M18" s="749"/>
      <c r="N18" s="748">
        <f t="shared" si="5"/>
        <v>0</v>
      </c>
      <c r="O18" s="124">
        <v>0</v>
      </c>
      <c r="P18" s="124"/>
      <c r="Q18" s="749"/>
    </row>
    <row r="19" spans="1:17" ht="15" customHeight="1">
      <c r="A19" s="1179" t="s">
        <v>1062</v>
      </c>
      <c r="B19" s="748">
        <f t="shared" si="2"/>
        <v>30387850</v>
      </c>
      <c r="C19" s="124">
        <f>SUM('19 önkormányzat'!F86)</f>
        <v>30387850</v>
      </c>
      <c r="D19" s="124"/>
      <c r="E19" s="749"/>
      <c r="F19" s="748">
        <f t="shared" si="3"/>
        <v>30387850</v>
      </c>
      <c r="G19" s="124">
        <v>30387850</v>
      </c>
      <c r="H19" s="124"/>
      <c r="I19" s="749"/>
      <c r="J19" s="748">
        <f t="shared" si="4"/>
        <v>36352413</v>
      </c>
      <c r="K19" s="124">
        <v>36352413</v>
      </c>
      <c r="L19" s="124"/>
      <c r="M19" s="749"/>
      <c r="N19" s="748">
        <f t="shared" si="5"/>
        <v>36417253</v>
      </c>
      <c r="O19" s="124">
        <v>36417253</v>
      </c>
      <c r="P19" s="124"/>
      <c r="Q19" s="749"/>
    </row>
    <row r="20" spans="1:17" ht="31.5" customHeight="1">
      <c r="A20" s="259" t="s">
        <v>1064</v>
      </c>
      <c r="B20" s="748">
        <f t="shared" si="2"/>
        <v>4162000</v>
      </c>
      <c r="C20" s="124">
        <f>SUM('19 önkormányzat'!F94)</f>
        <v>4162000</v>
      </c>
      <c r="D20" s="124"/>
      <c r="E20" s="749"/>
      <c r="F20" s="748">
        <f t="shared" si="3"/>
        <v>4162000</v>
      </c>
      <c r="G20" s="124">
        <v>4162000</v>
      </c>
      <c r="H20" s="124"/>
      <c r="I20" s="749"/>
      <c r="J20" s="748">
        <f t="shared" si="4"/>
        <v>4162000</v>
      </c>
      <c r="K20" s="124">
        <v>4162000</v>
      </c>
      <c r="L20" s="124"/>
      <c r="M20" s="749"/>
      <c r="N20" s="748">
        <f t="shared" si="5"/>
        <v>4162000</v>
      </c>
      <c r="O20" s="124">
        <v>4162000</v>
      </c>
      <c r="P20" s="124"/>
      <c r="Q20" s="749"/>
    </row>
    <row r="21" spans="1:17" ht="15" customHeight="1">
      <c r="A21" s="763" t="s">
        <v>669</v>
      </c>
      <c r="B21" s="748">
        <f t="shared" si="2"/>
        <v>698125640</v>
      </c>
      <c r="C21" s="124">
        <v>698125640</v>
      </c>
      <c r="D21" s="124"/>
      <c r="E21" s="749"/>
      <c r="F21" s="748">
        <f t="shared" si="3"/>
        <v>698125640</v>
      </c>
      <c r="G21" s="124">
        <v>698125640</v>
      </c>
      <c r="H21" s="124"/>
      <c r="I21" s="749"/>
      <c r="J21" s="748">
        <f t="shared" si="4"/>
        <v>705003847</v>
      </c>
      <c r="K21" s="124">
        <v>705003847</v>
      </c>
      <c r="L21" s="124"/>
      <c r="M21" s="749"/>
      <c r="N21" s="748">
        <f t="shared" si="5"/>
        <v>722271035</v>
      </c>
      <c r="O21" s="124">
        <v>722271035</v>
      </c>
      <c r="P21" s="124"/>
      <c r="Q21" s="749"/>
    </row>
    <row r="22" spans="1:17" ht="15" customHeight="1">
      <c r="A22" s="763" t="s">
        <v>643</v>
      </c>
      <c r="B22" s="748">
        <f t="shared" si="2"/>
        <v>804974</v>
      </c>
      <c r="C22" s="124">
        <f>SUM('19 önkormányzat'!F115)</f>
        <v>804974</v>
      </c>
      <c r="D22" s="124"/>
      <c r="E22" s="749"/>
      <c r="F22" s="748">
        <f t="shared" si="3"/>
        <v>804974</v>
      </c>
      <c r="G22" s="124">
        <v>804974</v>
      </c>
      <c r="H22" s="124"/>
      <c r="I22" s="749"/>
      <c r="J22" s="748">
        <f t="shared" si="4"/>
        <v>804974</v>
      </c>
      <c r="K22" s="124">
        <v>804974</v>
      </c>
      <c r="L22" s="124"/>
      <c r="M22" s="749"/>
      <c r="N22" s="748">
        <f t="shared" si="5"/>
        <v>804974</v>
      </c>
      <c r="O22" s="124">
        <v>804974</v>
      </c>
      <c r="P22" s="124"/>
      <c r="Q22" s="749"/>
    </row>
    <row r="23" spans="1:17" ht="15" customHeight="1">
      <c r="A23" s="763" t="s">
        <v>655</v>
      </c>
      <c r="B23" s="748">
        <f t="shared" si="2"/>
        <v>7035063</v>
      </c>
      <c r="C23" s="124">
        <f>SUM('19 önkormányzat'!F119)</f>
        <v>7035063</v>
      </c>
      <c r="D23" s="124"/>
      <c r="E23" s="749"/>
      <c r="F23" s="748">
        <f t="shared" si="3"/>
        <v>7035063</v>
      </c>
      <c r="G23" s="124">
        <v>7035063</v>
      </c>
      <c r="H23" s="124"/>
      <c r="I23" s="749"/>
      <c r="J23" s="748">
        <f t="shared" si="4"/>
        <v>7496735</v>
      </c>
      <c r="K23" s="124">
        <v>7496735</v>
      </c>
      <c r="L23" s="124"/>
      <c r="M23" s="749"/>
      <c r="N23" s="748">
        <f t="shared" si="5"/>
        <v>8085459</v>
      </c>
      <c r="O23" s="124">
        <v>8085459</v>
      </c>
      <c r="P23" s="124"/>
      <c r="Q23" s="749"/>
    </row>
    <row r="24" spans="1:17" ht="15" customHeight="1">
      <c r="A24" s="764" t="s">
        <v>1138</v>
      </c>
      <c r="B24" s="748">
        <f>SUM(C24)</f>
        <v>9837568</v>
      </c>
      <c r="C24" s="242">
        <f>SUM('19 önkormányzat'!F122)</f>
        <v>9837568</v>
      </c>
      <c r="D24" s="242"/>
      <c r="E24" s="750"/>
      <c r="F24" s="748">
        <f>SUM(G24)</f>
        <v>9837568</v>
      </c>
      <c r="G24" s="242">
        <v>9837568</v>
      </c>
      <c r="H24" s="242"/>
      <c r="I24" s="750"/>
      <c r="J24" s="748">
        <f>SUM(K24)</f>
        <v>9837568</v>
      </c>
      <c r="K24" s="242">
        <v>9837568</v>
      </c>
      <c r="L24" s="242"/>
      <c r="M24" s="750"/>
      <c r="N24" s="748">
        <f>SUM(O24)</f>
        <v>9837568</v>
      </c>
      <c r="O24" s="242">
        <v>9837568</v>
      </c>
      <c r="P24" s="242"/>
      <c r="Q24" s="750"/>
    </row>
    <row r="25" spans="1:17" ht="15" customHeight="1">
      <c r="A25" s="1207" t="s">
        <v>1027</v>
      </c>
      <c r="B25" s="748">
        <f>SUM(C25)</f>
        <v>2500000</v>
      </c>
      <c r="C25" s="242">
        <v>2500000</v>
      </c>
      <c r="D25" s="242"/>
      <c r="E25" s="750"/>
      <c r="F25" s="748">
        <f>SUM(G25)</f>
        <v>2500000</v>
      </c>
      <c r="G25" s="242">
        <v>2500000</v>
      </c>
      <c r="H25" s="242"/>
      <c r="I25" s="750"/>
      <c r="J25" s="748">
        <f>SUM(K25)</f>
        <v>2500000</v>
      </c>
      <c r="K25" s="242">
        <v>2500000</v>
      </c>
      <c r="L25" s="242"/>
      <c r="M25" s="750"/>
      <c r="N25" s="748">
        <f>SUM(O25)</f>
        <v>2500000</v>
      </c>
      <c r="O25" s="242">
        <v>2500000</v>
      </c>
      <c r="P25" s="242"/>
      <c r="Q25" s="750"/>
    </row>
    <row r="26" spans="1:17" ht="15" customHeight="1" thickBot="1">
      <c r="A26" s="764" t="s">
        <v>622</v>
      </c>
      <c r="B26" s="748">
        <f>SUM(C26)</f>
        <v>312611623</v>
      </c>
      <c r="C26" s="242">
        <f>SUM('19 önkormányzat'!F133)</f>
        <v>312611623</v>
      </c>
      <c r="D26" s="650"/>
      <c r="E26" s="750"/>
      <c r="F26" s="748">
        <f>SUM(G26)</f>
        <v>312611623</v>
      </c>
      <c r="G26" s="242">
        <v>312611623</v>
      </c>
      <c r="H26" s="650"/>
      <c r="I26" s="750"/>
      <c r="J26" s="748">
        <f>SUM(K26)</f>
        <v>313202745</v>
      </c>
      <c r="K26" s="242">
        <v>313202745</v>
      </c>
      <c r="L26" s="650"/>
      <c r="M26" s="750"/>
      <c r="N26" s="748">
        <f>SUM(O26)</f>
        <v>315592990</v>
      </c>
      <c r="O26" s="242">
        <v>315592990</v>
      </c>
      <c r="P26" s="650"/>
      <c r="Q26" s="750"/>
    </row>
    <row r="27" spans="1:17" s="10" customFormat="1" ht="39" customHeight="1" thickBot="1">
      <c r="A27" s="899" t="s">
        <v>242</v>
      </c>
      <c r="B27" s="751">
        <f>SUM(B28:B37)</f>
        <v>97394750</v>
      </c>
      <c r="C27" s="651">
        <f>SUM(C28:C37)</f>
        <v>80816491</v>
      </c>
      <c r="D27" s="651">
        <f>SUM(D28:D37)</f>
        <v>16578259</v>
      </c>
      <c r="E27" s="652">
        <f>SUM(E31:E37)</f>
        <v>0</v>
      </c>
      <c r="F27" s="751">
        <v>97394750</v>
      </c>
      <c r="G27" s="651">
        <v>80816491</v>
      </c>
      <c r="H27" s="651">
        <v>16578259</v>
      </c>
      <c r="I27" s="652">
        <f>SUM(I31:I37)</f>
        <v>0</v>
      </c>
      <c r="J27" s="751">
        <f>SUM(K27:L27)</f>
        <v>94797812</v>
      </c>
      <c r="K27" s="651">
        <f>SUM(K28:K37)</f>
        <v>80858415</v>
      </c>
      <c r="L27" s="651">
        <f>SUM(L28:L37)</f>
        <v>13939397</v>
      </c>
      <c r="M27" s="652">
        <f>SUM(M31:M37)</f>
        <v>0</v>
      </c>
      <c r="N27" s="751">
        <f>SUM(O27:P27)</f>
        <v>94842286</v>
      </c>
      <c r="O27" s="651">
        <f>SUM(O28:O37)</f>
        <v>80902889</v>
      </c>
      <c r="P27" s="651">
        <f>SUM(P28:P37)</f>
        <v>13939397</v>
      </c>
      <c r="Q27" s="652">
        <f>SUM(Q31:Q37)</f>
        <v>0</v>
      </c>
    </row>
    <row r="28" spans="1:17" ht="15" customHeight="1">
      <c r="A28" s="765" t="s">
        <v>374</v>
      </c>
      <c r="B28" s="752">
        <f>SUM(C28:E28)</f>
        <v>36066279</v>
      </c>
      <c r="C28" s="246">
        <f>SUM('18. VÜKI'!F30)</f>
        <v>36066279</v>
      </c>
      <c r="D28" s="246"/>
      <c r="E28" s="753"/>
      <c r="F28" s="752">
        <f>SUM(G28:I28)</f>
        <v>36066279</v>
      </c>
      <c r="G28" s="246">
        <v>36066279</v>
      </c>
      <c r="H28" s="246"/>
      <c r="I28" s="753"/>
      <c r="J28" s="752">
        <f>SUM(K28:M28)</f>
        <v>36066279</v>
      </c>
      <c r="K28" s="246">
        <v>36066279</v>
      </c>
      <c r="L28" s="246"/>
      <c r="M28" s="753"/>
      <c r="N28" s="752">
        <f>SUM(O28:Q28)</f>
        <v>36066279</v>
      </c>
      <c r="O28" s="246">
        <v>36066279</v>
      </c>
      <c r="P28" s="246"/>
      <c r="Q28" s="753"/>
    </row>
    <row r="29" spans="1:17" ht="15" customHeight="1">
      <c r="A29" s="763" t="s">
        <v>379</v>
      </c>
      <c r="B29" s="752">
        <f aca="true" t="shared" si="6" ref="B29:B37">SUM(C29:E29)</f>
        <v>9729409</v>
      </c>
      <c r="C29" s="124"/>
      <c r="D29" s="124">
        <f>SUM('18. VÜKI'!F35)</f>
        <v>9729409</v>
      </c>
      <c r="E29" s="749"/>
      <c r="F29" s="752">
        <f aca="true" t="shared" si="7" ref="F29:F37">SUM(G29:I29)</f>
        <v>9729409</v>
      </c>
      <c r="G29" s="124"/>
      <c r="H29" s="124">
        <v>9729409</v>
      </c>
      <c r="I29" s="749"/>
      <c r="J29" s="752">
        <f aca="true" t="shared" si="8" ref="J29:J37">SUM(K29:M29)</f>
        <v>9729409</v>
      </c>
      <c r="K29" s="124"/>
      <c r="L29" s="124">
        <v>9729409</v>
      </c>
      <c r="M29" s="749"/>
      <c r="N29" s="752">
        <f aca="true" t="shared" si="9" ref="N29:N37">SUM(O29:Q29)</f>
        <v>9729409</v>
      </c>
      <c r="O29" s="124"/>
      <c r="P29" s="124">
        <v>9729409</v>
      </c>
      <c r="Q29" s="749"/>
    </row>
    <row r="30" spans="1:17" ht="15" customHeight="1">
      <c r="A30" s="763" t="s">
        <v>384</v>
      </c>
      <c r="B30" s="752">
        <f t="shared" si="6"/>
        <v>0</v>
      </c>
      <c r="C30" s="124">
        <v>0</v>
      </c>
      <c r="D30" s="124"/>
      <c r="E30" s="749"/>
      <c r="F30" s="752">
        <f t="shared" si="7"/>
        <v>0</v>
      </c>
      <c r="G30" s="124">
        <v>0</v>
      </c>
      <c r="H30" s="124"/>
      <c r="I30" s="749"/>
      <c r="J30" s="752">
        <f t="shared" si="8"/>
        <v>0</v>
      </c>
      <c r="K30" s="124">
        <v>0</v>
      </c>
      <c r="L30" s="124"/>
      <c r="M30" s="749"/>
      <c r="N30" s="752">
        <f t="shared" si="9"/>
        <v>0</v>
      </c>
      <c r="O30" s="124">
        <v>0</v>
      </c>
      <c r="P30" s="124"/>
      <c r="Q30" s="749"/>
    </row>
    <row r="31" spans="1:17" ht="15" customHeight="1">
      <c r="A31" s="763" t="s">
        <v>532</v>
      </c>
      <c r="B31" s="752">
        <f t="shared" si="6"/>
        <v>500000</v>
      </c>
      <c r="C31" s="124">
        <f>SUM('18. VÜKI'!F45)</f>
        <v>500000</v>
      </c>
      <c r="D31" s="124"/>
      <c r="E31" s="749"/>
      <c r="F31" s="752">
        <f t="shared" si="7"/>
        <v>500000</v>
      </c>
      <c r="G31" s="124">
        <v>500000</v>
      </c>
      <c r="H31" s="124"/>
      <c r="I31" s="749"/>
      <c r="J31" s="752">
        <f t="shared" si="8"/>
        <v>500000</v>
      </c>
      <c r="K31" s="124">
        <v>500000</v>
      </c>
      <c r="L31" s="124"/>
      <c r="M31" s="749"/>
      <c r="N31" s="752">
        <f t="shared" si="9"/>
        <v>500000</v>
      </c>
      <c r="O31" s="124">
        <v>500000</v>
      </c>
      <c r="P31" s="124"/>
      <c r="Q31" s="749"/>
    </row>
    <row r="32" spans="1:17" ht="15" customHeight="1">
      <c r="A32" s="763" t="s">
        <v>533</v>
      </c>
      <c r="B32" s="752">
        <f t="shared" si="6"/>
        <v>430000</v>
      </c>
      <c r="C32" s="240">
        <f>SUM('18. VÜKI'!F50)</f>
        <v>430000</v>
      </c>
      <c r="D32" s="124"/>
      <c r="E32" s="749"/>
      <c r="F32" s="752">
        <f t="shared" si="7"/>
        <v>430000</v>
      </c>
      <c r="G32" s="240">
        <v>430000</v>
      </c>
      <c r="H32" s="124"/>
      <c r="I32" s="749"/>
      <c r="J32" s="752">
        <f t="shared" si="8"/>
        <v>430000</v>
      </c>
      <c r="K32" s="240">
        <v>430000</v>
      </c>
      <c r="L32" s="124"/>
      <c r="M32" s="749"/>
      <c r="N32" s="752">
        <f t="shared" si="9"/>
        <v>430000</v>
      </c>
      <c r="O32" s="240">
        <v>430000</v>
      </c>
      <c r="P32" s="124"/>
      <c r="Q32" s="749"/>
    </row>
    <row r="33" spans="1:17" ht="15" customHeight="1">
      <c r="A33" s="763" t="s">
        <v>534</v>
      </c>
      <c r="B33" s="752">
        <f t="shared" si="6"/>
        <v>42460212</v>
      </c>
      <c r="C33" s="124">
        <f>SUM('18. VÜKI'!F55)</f>
        <v>42460212</v>
      </c>
      <c r="D33" s="124"/>
      <c r="E33" s="749"/>
      <c r="F33" s="752">
        <f t="shared" si="7"/>
        <v>42460212</v>
      </c>
      <c r="G33" s="124">
        <v>42460212</v>
      </c>
      <c r="H33" s="124"/>
      <c r="I33" s="749"/>
      <c r="J33" s="752">
        <f t="shared" si="8"/>
        <v>42502136</v>
      </c>
      <c r="K33" s="124">
        <v>42502136</v>
      </c>
      <c r="L33" s="124"/>
      <c r="M33" s="749"/>
      <c r="N33" s="752">
        <f t="shared" si="9"/>
        <v>42546610</v>
      </c>
      <c r="O33" s="124">
        <v>42546610</v>
      </c>
      <c r="P33" s="124"/>
      <c r="Q33" s="749"/>
    </row>
    <row r="34" spans="1:17" ht="15" customHeight="1">
      <c r="A34" s="763" t="s">
        <v>535</v>
      </c>
      <c r="B34" s="752">
        <f t="shared" si="6"/>
        <v>640000</v>
      </c>
      <c r="C34" s="124">
        <f>SUM('18. VÜKI'!F60)</f>
        <v>640000</v>
      </c>
      <c r="D34" s="124"/>
      <c r="E34" s="749"/>
      <c r="F34" s="752">
        <f t="shared" si="7"/>
        <v>640000</v>
      </c>
      <c r="G34" s="124">
        <v>640000</v>
      </c>
      <c r="H34" s="124"/>
      <c r="I34" s="749"/>
      <c r="J34" s="752">
        <f t="shared" si="8"/>
        <v>640000</v>
      </c>
      <c r="K34" s="124">
        <v>640000</v>
      </c>
      <c r="L34" s="124"/>
      <c r="M34" s="749"/>
      <c r="N34" s="752">
        <f t="shared" si="9"/>
        <v>640000</v>
      </c>
      <c r="O34" s="124">
        <v>640000</v>
      </c>
      <c r="P34" s="124"/>
      <c r="Q34" s="749"/>
    </row>
    <row r="35" spans="1:17" ht="15" customHeight="1">
      <c r="A35" s="763" t="s">
        <v>670</v>
      </c>
      <c r="B35" s="752">
        <f t="shared" si="6"/>
        <v>0</v>
      </c>
      <c r="C35" s="124">
        <f>SUM('18. VÜKI'!F64)</f>
        <v>0</v>
      </c>
      <c r="D35" s="124"/>
      <c r="E35" s="749"/>
      <c r="F35" s="752">
        <f t="shared" si="7"/>
        <v>0</v>
      </c>
      <c r="G35" s="124">
        <f>SUM('18. VÜKI'!J64)</f>
        <v>0</v>
      </c>
      <c r="H35" s="124"/>
      <c r="I35" s="749"/>
      <c r="J35" s="752">
        <f t="shared" si="8"/>
        <v>0</v>
      </c>
      <c r="K35" s="124">
        <f>SUM('18. VÜKI'!N64)</f>
        <v>0</v>
      </c>
      <c r="L35" s="124"/>
      <c r="M35" s="749"/>
      <c r="N35" s="752">
        <f t="shared" si="9"/>
        <v>0</v>
      </c>
      <c r="O35" s="124">
        <f>SUM('18. VÜKI'!R64)</f>
        <v>0</v>
      </c>
      <c r="P35" s="124"/>
      <c r="Q35" s="749"/>
    </row>
    <row r="36" spans="1:17" ht="15" customHeight="1">
      <c r="A36" s="763" t="s">
        <v>536</v>
      </c>
      <c r="B36" s="752">
        <f t="shared" si="6"/>
        <v>720000</v>
      </c>
      <c r="C36" s="124">
        <f>SUM('18. VÜKI'!F69)</f>
        <v>720000</v>
      </c>
      <c r="D36" s="124"/>
      <c r="E36" s="749"/>
      <c r="F36" s="752">
        <f t="shared" si="7"/>
        <v>720000</v>
      </c>
      <c r="G36" s="124">
        <v>720000</v>
      </c>
      <c r="H36" s="124"/>
      <c r="I36" s="749"/>
      <c r="J36" s="752">
        <f t="shared" si="8"/>
        <v>720000</v>
      </c>
      <c r="K36" s="124">
        <v>720000</v>
      </c>
      <c r="L36" s="124"/>
      <c r="M36" s="749"/>
      <c r="N36" s="752">
        <f t="shared" si="9"/>
        <v>720000</v>
      </c>
      <c r="O36" s="124">
        <v>720000</v>
      </c>
      <c r="P36" s="124"/>
      <c r="Q36" s="749"/>
    </row>
    <row r="37" spans="1:17" ht="15" customHeight="1" thickBot="1">
      <c r="A37" s="764" t="s">
        <v>537</v>
      </c>
      <c r="B37" s="752">
        <f t="shared" si="6"/>
        <v>6848850</v>
      </c>
      <c r="C37" s="242"/>
      <c r="D37" s="242">
        <f>SUM('18. VÜKI'!F71)</f>
        <v>6848850</v>
      </c>
      <c r="E37" s="750"/>
      <c r="F37" s="752">
        <f t="shared" si="7"/>
        <v>6848850</v>
      </c>
      <c r="G37" s="242"/>
      <c r="H37" s="242">
        <v>6848850</v>
      </c>
      <c r="I37" s="750"/>
      <c r="J37" s="752">
        <f t="shared" si="8"/>
        <v>4209988</v>
      </c>
      <c r="K37" s="242"/>
      <c r="L37" s="242">
        <v>4209988</v>
      </c>
      <c r="M37" s="750"/>
      <c r="N37" s="752">
        <f t="shared" si="9"/>
        <v>4209988</v>
      </c>
      <c r="O37" s="242"/>
      <c r="P37" s="242">
        <v>4209988</v>
      </c>
      <c r="Q37" s="750"/>
    </row>
    <row r="38" spans="1:17" ht="15" customHeight="1" thickBot="1">
      <c r="A38" s="766" t="s">
        <v>306</v>
      </c>
      <c r="B38" s="754">
        <f aca="true" t="shared" si="10" ref="B38:I38">SUM(B39:B40)</f>
        <v>85258833</v>
      </c>
      <c r="C38" s="243">
        <f t="shared" si="10"/>
        <v>85258833</v>
      </c>
      <c r="D38" s="243">
        <f t="shared" si="10"/>
        <v>0</v>
      </c>
      <c r="E38" s="755">
        <f t="shared" si="10"/>
        <v>0</v>
      </c>
      <c r="F38" s="754">
        <f t="shared" si="10"/>
        <v>85258833</v>
      </c>
      <c r="G38" s="243">
        <f t="shared" si="10"/>
        <v>85258833</v>
      </c>
      <c r="H38" s="243">
        <f t="shared" si="10"/>
        <v>0</v>
      </c>
      <c r="I38" s="755">
        <f t="shared" si="10"/>
        <v>0</v>
      </c>
      <c r="J38" s="1605">
        <f>SUM(J39:J40)</f>
        <v>96407347</v>
      </c>
      <c r="K38" s="1606">
        <f>SUM(K39:K40)</f>
        <v>96407347</v>
      </c>
      <c r="L38" s="1606">
        <f>SUM(L39:L40)</f>
        <v>0</v>
      </c>
      <c r="M38" s="1607">
        <f>SUM(M39:M40)</f>
        <v>0</v>
      </c>
      <c r="N38" s="1605">
        <f>SUM(N39:N41)</f>
        <v>97866842</v>
      </c>
      <c r="O38" s="1606">
        <f>SUM(O39:O40)</f>
        <v>96710571</v>
      </c>
      <c r="P38" s="1606">
        <f>SUM(P39:P40)</f>
        <v>0</v>
      </c>
      <c r="Q38" s="1607">
        <f>SUM(Q39:Q41)</f>
        <v>1156271</v>
      </c>
    </row>
    <row r="39" spans="1:17" s="122" customFormat="1" ht="15" customHeight="1">
      <c r="A39" s="767" t="s">
        <v>538</v>
      </c>
      <c r="B39" s="756">
        <f>SUM(C39:E39)</f>
        <v>80197573</v>
      </c>
      <c r="C39" s="244">
        <v>80197573</v>
      </c>
      <c r="D39" s="244"/>
      <c r="E39" s="757"/>
      <c r="F39" s="756">
        <f>SUM(G39:I39)</f>
        <v>80197573</v>
      </c>
      <c r="G39" s="244">
        <v>80197573</v>
      </c>
      <c r="H39" s="244"/>
      <c r="I39" s="1617"/>
      <c r="J39" s="1611">
        <f>SUM(K39:M39)</f>
        <v>91346087</v>
      </c>
      <c r="K39" s="1612">
        <v>91346087</v>
      </c>
      <c r="L39" s="1612"/>
      <c r="M39" s="1613"/>
      <c r="N39" s="1611">
        <f>SUM(O39:Q39)</f>
        <v>91649311</v>
      </c>
      <c r="O39" s="1612">
        <v>91649311</v>
      </c>
      <c r="P39" s="1612"/>
      <c r="Q39" s="1613"/>
    </row>
    <row r="40" spans="1:17" s="122" customFormat="1" ht="15" customHeight="1">
      <c r="A40" s="768" t="s">
        <v>539</v>
      </c>
      <c r="B40" s="756">
        <f>SUM(C40:E40)</f>
        <v>5061260</v>
      </c>
      <c r="C40" s="73">
        <v>5061260</v>
      </c>
      <c r="D40" s="73"/>
      <c r="E40" s="758"/>
      <c r="F40" s="756">
        <f>SUM(G40:I40)</f>
        <v>5061260</v>
      </c>
      <c r="G40" s="73">
        <v>5061260</v>
      </c>
      <c r="H40" s="73"/>
      <c r="I40" s="1603"/>
      <c r="J40" s="1336">
        <f>SUM(K40:M40)</f>
        <v>5061260</v>
      </c>
      <c r="K40" s="461">
        <v>5061260</v>
      </c>
      <c r="L40" s="461"/>
      <c r="M40" s="463"/>
      <c r="N40" s="1336">
        <f>SUM(O40:Q40)</f>
        <v>5061260</v>
      </c>
      <c r="O40" s="461">
        <v>5061260</v>
      </c>
      <c r="P40" s="461"/>
      <c r="Q40" s="463"/>
    </row>
    <row r="41" spans="1:17" s="122" customFormat="1" ht="15" customHeight="1" thickBot="1">
      <c r="A41" s="1599" t="s">
        <v>1165</v>
      </c>
      <c r="B41" s="1600"/>
      <c r="C41" s="1601"/>
      <c r="D41" s="1601"/>
      <c r="E41" s="1602"/>
      <c r="F41" s="1600"/>
      <c r="G41" s="1601"/>
      <c r="H41" s="1601"/>
      <c r="I41" s="1604"/>
      <c r="J41" s="1614"/>
      <c r="K41" s="1615"/>
      <c r="L41" s="1615"/>
      <c r="M41" s="1616"/>
      <c r="N41" s="1614">
        <v>1156271</v>
      </c>
      <c r="O41" s="1615"/>
      <c r="P41" s="1615"/>
      <c r="Q41" s="1616">
        <v>1156271</v>
      </c>
    </row>
    <row r="42" spans="1:17" ht="15" customHeight="1" thickBot="1">
      <c r="A42" s="766" t="s">
        <v>239</v>
      </c>
      <c r="B42" s="754">
        <f aca="true" t="shared" si="11" ref="B42:I42">SUM(B43:B50)</f>
        <v>129394821</v>
      </c>
      <c r="C42" s="243">
        <f t="shared" si="11"/>
        <v>91448405</v>
      </c>
      <c r="D42" s="243">
        <f t="shared" si="11"/>
        <v>37946416</v>
      </c>
      <c r="E42" s="755">
        <f t="shared" si="11"/>
        <v>0</v>
      </c>
      <c r="F42" s="754">
        <f t="shared" si="11"/>
        <v>129394821</v>
      </c>
      <c r="G42" s="243">
        <f t="shared" si="11"/>
        <v>91448405</v>
      </c>
      <c r="H42" s="243">
        <f t="shared" si="11"/>
        <v>37946416</v>
      </c>
      <c r="I42" s="755">
        <f t="shared" si="11"/>
        <v>0</v>
      </c>
      <c r="J42" s="1608">
        <f aca="true" t="shared" si="12" ref="J42:Q42">SUM(J43:J50)</f>
        <v>129901469</v>
      </c>
      <c r="K42" s="1609">
        <f t="shared" si="12"/>
        <v>91901410</v>
      </c>
      <c r="L42" s="1609">
        <f t="shared" si="12"/>
        <v>38000059</v>
      </c>
      <c r="M42" s="1610">
        <f t="shared" si="12"/>
        <v>0</v>
      </c>
      <c r="N42" s="1608">
        <f t="shared" si="12"/>
        <v>130534452</v>
      </c>
      <c r="O42" s="1609">
        <f t="shared" si="12"/>
        <v>92405315</v>
      </c>
      <c r="P42" s="1609">
        <f t="shared" si="12"/>
        <v>38129137</v>
      </c>
      <c r="Q42" s="1610">
        <f t="shared" si="12"/>
        <v>0</v>
      </c>
    </row>
    <row r="43" spans="1:17" s="122" customFormat="1" ht="15" customHeight="1">
      <c r="A43" s="764" t="s">
        <v>540</v>
      </c>
      <c r="B43" s="756">
        <f>SUM(C43:E43)</f>
        <v>18885094</v>
      </c>
      <c r="C43" s="244">
        <f>SUM('15. Óvoda'!F30)</f>
        <v>18885094</v>
      </c>
      <c r="D43" s="244"/>
      <c r="E43" s="757"/>
      <c r="F43" s="756">
        <f>SUM(G43:I43)</f>
        <v>18885094</v>
      </c>
      <c r="G43" s="244">
        <v>18885094</v>
      </c>
      <c r="H43" s="244"/>
      <c r="I43" s="757"/>
      <c r="J43" s="756">
        <f>SUM(K43:M43)</f>
        <v>18885094</v>
      </c>
      <c r="K43" s="244">
        <v>18885094</v>
      </c>
      <c r="L43" s="244"/>
      <c r="M43" s="757"/>
      <c r="N43" s="756">
        <f>SUM(O43:Q43)</f>
        <v>18885094</v>
      </c>
      <c r="O43" s="244">
        <v>18885094</v>
      </c>
      <c r="P43" s="244"/>
      <c r="Q43" s="757"/>
    </row>
    <row r="44" spans="1:17" s="122" customFormat="1" ht="15" customHeight="1">
      <c r="A44" s="769" t="s">
        <v>541</v>
      </c>
      <c r="B44" s="756">
        <f aca="true" t="shared" si="13" ref="B44:B50">SUM(C44:E44)</f>
        <v>4842080</v>
      </c>
      <c r="C44" s="61"/>
      <c r="D44" s="61">
        <f>SUM('15. Óvoda'!F34)</f>
        <v>4842080</v>
      </c>
      <c r="E44" s="759"/>
      <c r="F44" s="756">
        <f aca="true" t="shared" si="14" ref="F44:F50">SUM(G44:I44)</f>
        <v>4842080</v>
      </c>
      <c r="G44" s="61"/>
      <c r="H44" s="61">
        <v>4842080</v>
      </c>
      <c r="I44" s="759"/>
      <c r="J44" s="756">
        <f aca="true" t="shared" si="15" ref="J44:J50">SUM(K44:M44)</f>
        <v>4842080</v>
      </c>
      <c r="K44" s="61"/>
      <c r="L44" s="61">
        <v>4842080</v>
      </c>
      <c r="M44" s="759"/>
      <c r="N44" s="756">
        <f aca="true" t="shared" si="16" ref="N44:N50">SUM(O44:Q44)</f>
        <v>4842080</v>
      </c>
      <c r="O44" s="61"/>
      <c r="P44" s="61">
        <v>4842080</v>
      </c>
      <c r="Q44" s="759"/>
    </row>
    <row r="45" spans="1:17" ht="15" customHeight="1">
      <c r="A45" s="769" t="s">
        <v>671</v>
      </c>
      <c r="B45" s="756">
        <f t="shared" si="13"/>
        <v>0</v>
      </c>
      <c r="C45" s="84"/>
      <c r="D45" s="84"/>
      <c r="E45" s="455"/>
      <c r="F45" s="756">
        <f t="shared" si="14"/>
        <v>0</v>
      </c>
      <c r="G45" s="84"/>
      <c r="H45" s="84"/>
      <c r="I45" s="455"/>
      <c r="J45" s="756">
        <f t="shared" si="15"/>
        <v>0</v>
      </c>
      <c r="K45" s="84"/>
      <c r="L45" s="84"/>
      <c r="M45" s="455"/>
      <c r="N45" s="756">
        <f t="shared" si="16"/>
        <v>0</v>
      </c>
      <c r="O45" s="84"/>
      <c r="P45" s="84"/>
      <c r="Q45" s="455"/>
    </row>
    <row r="46" spans="1:17" ht="15" customHeight="1">
      <c r="A46" s="769" t="s">
        <v>672</v>
      </c>
      <c r="B46" s="756">
        <f t="shared" si="13"/>
        <v>67471811</v>
      </c>
      <c r="C46" s="84">
        <f>SUM('15. Óvoda'!F42)</f>
        <v>67471811</v>
      </c>
      <c r="D46" s="84"/>
      <c r="E46" s="455"/>
      <c r="F46" s="756">
        <f t="shared" si="14"/>
        <v>67471811</v>
      </c>
      <c r="G46" s="84">
        <v>67471811</v>
      </c>
      <c r="H46" s="84"/>
      <c r="I46" s="455"/>
      <c r="J46" s="756">
        <f t="shared" si="15"/>
        <v>67681861</v>
      </c>
      <c r="K46" s="84">
        <v>67681861</v>
      </c>
      <c r="L46" s="84"/>
      <c r="M46" s="455"/>
      <c r="N46" s="756">
        <f t="shared" si="16"/>
        <v>67993216</v>
      </c>
      <c r="O46" s="84">
        <v>67993216</v>
      </c>
      <c r="P46" s="84"/>
      <c r="Q46" s="455"/>
    </row>
    <row r="47" spans="1:17" s="122" customFormat="1" ht="15" customHeight="1">
      <c r="A47" s="770" t="s">
        <v>493</v>
      </c>
      <c r="B47" s="756">
        <f t="shared" si="13"/>
        <v>394000</v>
      </c>
      <c r="C47" s="61">
        <f>SUM('15. Óvoda'!F48)</f>
        <v>394000</v>
      </c>
      <c r="D47" s="61"/>
      <c r="E47" s="759"/>
      <c r="F47" s="756">
        <f t="shared" si="14"/>
        <v>394000</v>
      </c>
      <c r="G47" s="61">
        <v>394000</v>
      </c>
      <c r="H47" s="61"/>
      <c r="I47" s="759"/>
      <c r="J47" s="756">
        <f t="shared" si="15"/>
        <v>394000</v>
      </c>
      <c r="K47" s="61">
        <v>394000</v>
      </c>
      <c r="L47" s="61"/>
      <c r="M47" s="759"/>
      <c r="N47" s="756">
        <f t="shared" si="16"/>
        <v>394000</v>
      </c>
      <c r="O47" s="61">
        <v>394000</v>
      </c>
      <c r="P47" s="61"/>
      <c r="Q47" s="759"/>
    </row>
    <row r="48" spans="1:17" s="122" customFormat="1" ht="15" customHeight="1">
      <c r="A48" s="770" t="s">
        <v>673</v>
      </c>
      <c r="B48" s="756">
        <f t="shared" si="13"/>
        <v>13116458</v>
      </c>
      <c r="C48" s="61"/>
      <c r="D48" s="61">
        <f>SUM('15. Óvoda'!F52)</f>
        <v>13116458</v>
      </c>
      <c r="E48" s="759"/>
      <c r="F48" s="756">
        <f t="shared" si="14"/>
        <v>13116458</v>
      </c>
      <c r="G48" s="61"/>
      <c r="H48" s="61">
        <v>13116458</v>
      </c>
      <c r="I48" s="759"/>
      <c r="J48" s="756">
        <f t="shared" si="15"/>
        <v>13116458</v>
      </c>
      <c r="K48" s="61"/>
      <c r="L48" s="61">
        <v>13116458</v>
      </c>
      <c r="M48" s="759"/>
      <c r="N48" s="756">
        <f t="shared" si="16"/>
        <v>13206458</v>
      </c>
      <c r="O48" s="61"/>
      <c r="P48" s="61">
        <v>13206458</v>
      </c>
      <c r="Q48" s="759"/>
    </row>
    <row r="49" spans="1:17" s="122" customFormat="1" ht="15" customHeight="1">
      <c r="A49" s="770" t="s">
        <v>542</v>
      </c>
      <c r="B49" s="756">
        <f t="shared" si="13"/>
        <v>19987878</v>
      </c>
      <c r="C49" s="73"/>
      <c r="D49" s="73">
        <f>SUM('15. Óvoda'!F56)</f>
        <v>19987878</v>
      </c>
      <c r="E49" s="758"/>
      <c r="F49" s="756">
        <f t="shared" si="14"/>
        <v>19987878</v>
      </c>
      <c r="G49" s="73"/>
      <c r="H49" s="73">
        <v>19987878</v>
      </c>
      <c r="I49" s="758"/>
      <c r="J49" s="756">
        <f t="shared" si="15"/>
        <v>20041521</v>
      </c>
      <c r="K49" s="73"/>
      <c r="L49" s="73">
        <v>20041521</v>
      </c>
      <c r="M49" s="758"/>
      <c r="N49" s="756">
        <f t="shared" si="16"/>
        <v>20080599</v>
      </c>
      <c r="O49" s="73"/>
      <c r="P49" s="73">
        <v>20080599</v>
      </c>
      <c r="Q49" s="758"/>
    </row>
    <row r="50" spans="1:17" s="122" customFormat="1" ht="15" customHeight="1" thickBot="1">
      <c r="A50" s="771" t="s">
        <v>674</v>
      </c>
      <c r="B50" s="756">
        <f t="shared" si="13"/>
        <v>4697500</v>
      </c>
      <c r="C50" s="73">
        <f>SUM('15. Óvoda'!F62)</f>
        <v>4697500</v>
      </c>
      <c r="D50" s="73"/>
      <c r="E50" s="758"/>
      <c r="F50" s="756">
        <f t="shared" si="14"/>
        <v>4697500</v>
      </c>
      <c r="G50" s="73">
        <v>4697500</v>
      </c>
      <c r="H50" s="73"/>
      <c r="I50" s="758"/>
      <c r="J50" s="756">
        <f t="shared" si="15"/>
        <v>4940455</v>
      </c>
      <c r="K50" s="73">
        <v>4940455</v>
      </c>
      <c r="L50" s="73"/>
      <c r="M50" s="758"/>
      <c r="N50" s="756">
        <f t="shared" si="16"/>
        <v>5133005</v>
      </c>
      <c r="O50" s="73">
        <v>5133005</v>
      </c>
      <c r="P50" s="73"/>
      <c r="Q50" s="758"/>
    </row>
    <row r="51" spans="1:17" ht="15" customHeight="1" thickBot="1">
      <c r="A51" s="766" t="s">
        <v>1157</v>
      </c>
      <c r="B51" s="754">
        <f aca="true" t="shared" si="17" ref="B51:I51">SUM(B52:B55)</f>
        <v>22031285</v>
      </c>
      <c r="C51" s="243">
        <f t="shared" si="17"/>
        <v>21231285</v>
      </c>
      <c r="D51" s="243">
        <f t="shared" si="17"/>
        <v>800000</v>
      </c>
      <c r="E51" s="755">
        <f t="shared" si="17"/>
        <v>0</v>
      </c>
      <c r="F51" s="754">
        <f t="shared" si="17"/>
        <v>22031285</v>
      </c>
      <c r="G51" s="243">
        <f t="shared" si="17"/>
        <v>21231285</v>
      </c>
      <c r="H51" s="243">
        <f t="shared" si="17"/>
        <v>800000</v>
      </c>
      <c r="I51" s="755">
        <f t="shared" si="17"/>
        <v>0</v>
      </c>
      <c r="J51" s="754">
        <f aca="true" t="shared" si="18" ref="J51:Q51">SUM(J52:J55)</f>
        <v>22206652</v>
      </c>
      <c r="K51" s="243">
        <f t="shared" si="18"/>
        <v>21406652</v>
      </c>
      <c r="L51" s="243">
        <f t="shared" si="18"/>
        <v>800000</v>
      </c>
      <c r="M51" s="755">
        <f t="shared" si="18"/>
        <v>0</v>
      </c>
      <c r="N51" s="754">
        <f t="shared" si="18"/>
        <v>24524479</v>
      </c>
      <c r="O51" s="243">
        <f t="shared" si="18"/>
        <v>23724479</v>
      </c>
      <c r="P51" s="243">
        <f t="shared" si="18"/>
        <v>800000</v>
      </c>
      <c r="Q51" s="755">
        <f t="shared" si="18"/>
        <v>0</v>
      </c>
    </row>
    <row r="52" spans="1:17" ht="15" customHeight="1">
      <c r="A52" s="765" t="s">
        <v>543</v>
      </c>
      <c r="B52" s="760">
        <f>SUM(C52:E52)</f>
        <v>21231285</v>
      </c>
      <c r="C52" s="246">
        <f>SUM('16. Műv. ház'!F23)</f>
        <v>21231285</v>
      </c>
      <c r="D52" s="244"/>
      <c r="E52" s="761"/>
      <c r="F52" s="760">
        <f>SUM(G52:I52)</f>
        <v>21231285</v>
      </c>
      <c r="G52" s="246">
        <v>21231285</v>
      </c>
      <c r="H52" s="244"/>
      <c r="I52" s="761"/>
      <c r="J52" s="760">
        <f>SUM(K52:M52)</f>
        <v>21406652</v>
      </c>
      <c r="K52" s="246">
        <v>21406652</v>
      </c>
      <c r="L52" s="244"/>
      <c r="M52" s="761"/>
      <c r="N52" s="760">
        <f>SUM(O52:Q52)</f>
        <v>23724479</v>
      </c>
      <c r="O52" s="246">
        <v>23724479</v>
      </c>
      <c r="P52" s="244"/>
      <c r="Q52" s="761"/>
    </row>
    <row r="53" spans="1:17" ht="7.5" customHeight="1" hidden="1">
      <c r="A53" s="763" t="s">
        <v>544</v>
      </c>
      <c r="B53" s="760">
        <f>SUM(C53:E53)</f>
        <v>0</v>
      </c>
      <c r="C53" s="66"/>
      <c r="D53" s="61"/>
      <c r="E53" s="453"/>
      <c r="F53" s="760">
        <f>SUM(G53:I53)</f>
        <v>0</v>
      </c>
      <c r="G53" s="66"/>
      <c r="H53" s="61"/>
      <c r="I53" s="453"/>
      <c r="J53" s="760">
        <f>SUM(K53:M53)</f>
        <v>0</v>
      </c>
      <c r="K53" s="66"/>
      <c r="L53" s="61"/>
      <c r="M53" s="453"/>
      <c r="N53" s="760">
        <f>SUM(O53:Q53)</f>
        <v>0</v>
      </c>
      <c r="O53" s="66"/>
      <c r="P53" s="61"/>
      <c r="Q53" s="453"/>
    </row>
    <row r="54" spans="1:17" s="122" customFormat="1" ht="15" customHeight="1">
      <c r="A54" s="1047" t="s">
        <v>501</v>
      </c>
      <c r="B54" s="1048">
        <f>SUM(C54:E54)</f>
        <v>500000</v>
      </c>
      <c r="C54" s="248"/>
      <c r="D54" s="73">
        <f>SUM('16. Műv. ház'!F30)</f>
        <v>500000</v>
      </c>
      <c r="E54" s="758"/>
      <c r="F54" s="1048">
        <f>SUM(G54:I54)</f>
        <v>500000</v>
      </c>
      <c r="G54" s="248"/>
      <c r="H54" s="73">
        <v>500000</v>
      </c>
      <c r="I54" s="758"/>
      <c r="J54" s="1048">
        <f>SUM(K54:M54)</f>
        <v>500000</v>
      </c>
      <c r="K54" s="248"/>
      <c r="L54" s="73">
        <v>500000</v>
      </c>
      <c r="M54" s="758"/>
      <c r="N54" s="1048">
        <f>SUM(O54:Q54)</f>
        <v>500000</v>
      </c>
      <c r="O54" s="248"/>
      <c r="P54" s="73">
        <v>500000</v>
      </c>
      <c r="Q54" s="758"/>
    </row>
    <row r="55" spans="1:17" s="122" customFormat="1" ht="34.5" customHeight="1">
      <c r="A55" s="1051" t="s">
        <v>502</v>
      </c>
      <c r="B55" s="1049">
        <f>SUM(C55:E55)</f>
        <v>300000</v>
      </c>
      <c r="C55" s="1050"/>
      <c r="D55" s="461">
        <f>SUM('16. Műv. ház'!F34)</f>
        <v>300000</v>
      </c>
      <c r="E55" s="461"/>
      <c r="F55" s="1049">
        <f>SUM(G55:I55)</f>
        <v>300000</v>
      </c>
      <c r="G55" s="1050"/>
      <c r="H55" s="461">
        <v>300000</v>
      </c>
      <c r="I55" s="461"/>
      <c r="J55" s="1049">
        <f>SUM(K55:M55)</f>
        <v>300000</v>
      </c>
      <c r="K55" s="1050"/>
      <c r="L55" s="461">
        <v>300000</v>
      </c>
      <c r="M55" s="461"/>
      <c r="N55" s="1049">
        <f>SUM(O55:Q55)</f>
        <v>300000</v>
      </c>
      <c r="O55" s="1050"/>
      <c r="P55" s="461">
        <v>300000</v>
      </c>
      <c r="Q55" s="461"/>
    </row>
    <row r="56" spans="1:17" s="10" customFormat="1" ht="15" customHeight="1">
      <c r="A56" s="647" t="s">
        <v>25</v>
      </c>
      <c r="B56" s="438">
        <f aca="true" t="shared" si="19" ref="B56:I56">SUM(B11+B27+B38+B42+B51)</f>
        <v>1408796902</v>
      </c>
      <c r="C56" s="438">
        <f t="shared" si="19"/>
        <v>1353472227</v>
      </c>
      <c r="D56" s="438">
        <f t="shared" si="19"/>
        <v>55324675</v>
      </c>
      <c r="E56" s="438">
        <f t="shared" si="19"/>
        <v>0</v>
      </c>
      <c r="F56" s="438">
        <f t="shared" si="19"/>
        <v>1408796902</v>
      </c>
      <c r="G56" s="438">
        <f t="shared" si="19"/>
        <v>1353472227</v>
      </c>
      <c r="H56" s="438">
        <f t="shared" si="19"/>
        <v>55324675</v>
      </c>
      <c r="I56" s="438">
        <f t="shared" si="19"/>
        <v>0</v>
      </c>
      <c r="J56" s="438">
        <f aca="true" t="shared" si="20" ref="J56:Q56">SUM(J11+J27+J38+J42+J51)</f>
        <v>1431926057</v>
      </c>
      <c r="K56" s="438">
        <f t="shared" si="20"/>
        <v>1379186601</v>
      </c>
      <c r="L56" s="438">
        <f t="shared" si="20"/>
        <v>52739456</v>
      </c>
      <c r="M56" s="438">
        <f t="shared" si="20"/>
        <v>0</v>
      </c>
      <c r="N56" s="438">
        <f t="shared" si="20"/>
        <v>1456691833</v>
      </c>
      <c r="O56" s="438">
        <f t="shared" si="20"/>
        <v>1402667028</v>
      </c>
      <c r="P56" s="438">
        <f t="shared" si="20"/>
        <v>52868534</v>
      </c>
      <c r="Q56" s="438">
        <f t="shared" si="20"/>
        <v>1156271</v>
      </c>
    </row>
  </sheetData>
  <sheetProtection selectLockedCells="1" selectUnlockedCells="1"/>
  <mergeCells count="18">
    <mergeCell ref="F3:K3"/>
    <mergeCell ref="A1:Q1"/>
    <mergeCell ref="A2:Q2"/>
    <mergeCell ref="A4:Q4"/>
    <mergeCell ref="A5:Q5"/>
    <mergeCell ref="B9:B10"/>
    <mergeCell ref="C9:E9"/>
    <mergeCell ref="P8:Q8"/>
    <mergeCell ref="N9:N10"/>
    <mergeCell ref="O9:Q9"/>
    <mergeCell ref="H8:I8"/>
    <mergeCell ref="F9:F10"/>
    <mergeCell ref="G9:I9"/>
    <mergeCell ref="D8:E8"/>
    <mergeCell ref="A9:A10"/>
    <mergeCell ref="L8:M8"/>
    <mergeCell ref="J9:J10"/>
    <mergeCell ref="K9:M9"/>
  </mergeCells>
  <printOptions horizontalCentered="1"/>
  <pageMargins left="0.4724409448818898" right="0.11811023622047245" top="0.5905511811023623" bottom="0.5905511811023623" header="0.5118110236220472" footer="0.5118110236220472"/>
  <pageSetup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R34"/>
  <sheetViews>
    <sheetView showGridLines="0" view="pageBreakPreview" zoomScale="60" zoomScalePageLayoutView="0" workbookViewId="0" topLeftCell="E1">
      <selection activeCell="R4" sqref="R4"/>
    </sheetView>
  </sheetViews>
  <sheetFormatPr defaultColWidth="9.140625" defaultRowHeight="12.75"/>
  <cols>
    <col min="1" max="1" width="3.421875" style="0" bestFit="1" customWidth="1"/>
    <col min="2" max="2" width="52.00390625" style="0" bestFit="1" customWidth="1"/>
    <col min="3" max="3" width="20.57421875" style="0" bestFit="1" customWidth="1"/>
    <col min="4" max="4" width="22.57421875" style="0" bestFit="1" customWidth="1"/>
    <col min="5" max="5" width="15.140625" style="0" bestFit="1" customWidth="1"/>
    <col min="6" max="7" width="20.57421875" style="0" bestFit="1" customWidth="1"/>
    <col min="8" max="8" width="22.57421875" style="0" bestFit="1" customWidth="1"/>
    <col min="9" max="9" width="15.140625" style="0" bestFit="1" customWidth="1"/>
    <col min="10" max="11" width="20.57421875" style="0" bestFit="1" customWidth="1"/>
    <col min="12" max="12" width="22.57421875" style="0" bestFit="1" customWidth="1"/>
    <col min="13" max="13" width="15.140625" style="0" bestFit="1" customWidth="1"/>
    <col min="14" max="15" width="20.57421875" style="0" bestFit="1" customWidth="1"/>
    <col min="16" max="16" width="22.57421875" style="0" bestFit="1" customWidth="1"/>
    <col min="17" max="17" width="15.140625" style="0" bestFit="1" customWidth="1"/>
    <col min="18" max="18" width="20.57421875" style="0" bestFit="1" customWidth="1"/>
  </cols>
  <sheetData>
    <row r="1" spans="1:18" ht="15">
      <c r="A1" s="1991" t="s">
        <v>733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  <c r="M1" s="1991"/>
      <c r="N1" s="1991"/>
      <c r="O1" s="1991"/>
      <c r="P1" s="1991"/>
      <c r="Q1" s="1991"/>
      <c r="R1" s="1991"/>
    </row>
    <row r="2" spans="1:18" ht="12.75">
      <c r="A2" s="1761" t="s">
        <v>1181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  <c r="P2" s="1761"/>
      <c r="Q2" s="1761"/>
      <c r="R2" s="1761"/>
    </row>
    <row r="3" spans="1:18" ht="12.75">
      <c r="A3" s="774"/>
      <c r="B3" s="774"/>
      <c r="C3" s="774"/>
      <c r="D3" s="774"/>
      <c r="E3" s="774"/>
      <c r="F3" s="774"/>
      <c r="G3" s="1761" t="s">
        <v>1183</v>
      </c>
      <c r="H3" s="1761"/>
      <c r="I3" s="1761"/>
      <c r="J3" s="1761"/>
      <c r="K3" s="1761"/>
      <c r="L3" s="774"/>
      <c r="M3" s="774"/>
      <c r="N3" s="774"/>
      <c r="O3" s="774"/>
      <c r="P3" s="774"/>
      <c r="Q3" s="1761" t="s">
        <v>1189</v>
      </c>
      <c r="R3" s="1761"/>
    </row>
    <row r="4" spans="1:18" ht="12.75">
      <c r="A4" s="774"/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</row>
    <row r="5" spans="1:18" ht="12.75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</row>
    <row r="6" spans="1:18" ht="29.25" customHeight="1">
      <c r="A6" s="2001" t="s">
        <v>734</v>
      </c>
      <c r="B6" s="2001"/>
      <c r="C6" s="2001"/>
      <c r="D6" s="2001"/>
      <c r="E6" s="2001"/>
      <c r="F6" s="2001"/>
      <c r="G6" s="2001"/>
      <c r="H6" s="2001"/>
      <c r="I6" s="2001"/>
      <c r="J6" s="2001"/>
      <c r="K6" s="2001"/>
      <c r="L6" s="2001"/>
      <c r="M6" s="2001"/>
      <c r="N6" s="2001"/>
      <c r="O6" s="2001"/>
      <c r="P6" s="2001"/>
      <c r="Q6" s="2001"/>
      <c r="R6" s="2001"/>
    </row>
    <row r="9" spans="6:18" ht="13.5" thickBot="1">
      <c r="F9" s="925"/>
      <c r="J9" s="925"/>
      <c r="N9" s="925"/>
      <c r="R9" s="925" t="s">
        <v>214</v>
      </c>
    </row>
    <row r="10" spans="1:18" ht="12.75">
      <c r="A10" s="1994" t="s">
        <v>717</v>
      </c>
      <c r="B10" s="1995"/>
      <c r="C10" s="1998" t="s">
        <v>528</v>
      </c>
      <c r="D10" s="1998"/>
      <c r="E10" s="1998"/>
      <c r="F10" s="1999"/>
      <c r="G10" s="2002" t="s">
        <v>1139</v>
      </c>
      <c r="H10" s="1998"/>
      <c r="I10" s="1998"/>
      <c r="J10" s="2003"/>
      <c r="K10" s="2000" t="s">
        <v>1141</v>
      </c>
      <c r="L10" s="1998"/>
      <c r="M10" s="1998"/>
      <c r="N10" s="1999"/>
      <c r="O10" s="2000" t="s">
        <v>1164</v>
      </c>
      <c r="P10" s="1998"/>
      <c r="Q10" s="1998"/>
      <c r="R10" s="1999"/>
    </row>
    <row r="11" spans="1:18" s="4" customFormat="1" ht="48.75" customHeight="1" thickBot="1">
      <c r="A11" s="1996"/>
      <c r="B11" s="1997"/>
      <c r="C11" s="812" t="s">
        <v>718</v>
      </c>
      <c r="D11" s="812" t="s">
        <v>719</v>
      </c>
      <c r="E11" s="812" t="s">
        <v>720</v>
      </c>
      <c r="F11" s="813" t="s">
        <v>25</v>
      </c>
      <c r="G11" s="1468" t="s">
        <v>718</v>
      </c>
      <c r="H11" s="812" t="s">
        <v>719</v>
      </c>
      <c r="I11" s="812" t="s">
        <v>720</v>
      </c>
      <c r="J11" s="1340" t="s">
        <v>25</v>
      </c>
      <c r="K11" s="1277" t="s">
        <v>718</v>
      </c>
      <c r="L11" s="812" t="s">
        <v>719</v>
      </c>
      <c r="M11" s="812" t="s">
        <v>720</v>
      </c>
      <c r="N11" s="813" t="s">
        <v>25</v>
      </c>
      <c r="O11" s="1277" t="s">
        <v>718</v>
      </c>
      <c r="P11" s="812" t="s">
        <v>719</v>
      </c>
      <c r="Q11" s="812" t="s">
        <v>720</v>
      </c>
      <c r="R11" s="813" t="s">
        <v>25</v>
      </c>
    </row>
    <row r="12" spans="1:18" s="10" customFormat="1" ht="26.25" thickBot="1">
      <c r="A12" s="806" t="s">
        <v>164</v>
      </c>
      <c r="B12" s="1619" t="s">
        <v>723</v>
      </c>
      <c r="C12" s="1469">
        <f>SUM(C13)</f>
        <v>0</v>
      </c>
      <c r="D12" s="810">
        <f>SUM(D13)</f>
        <v>0</v>
      </c>
      <c r="E12" s="810">
        <v>0</v>
      </c>
      <c r="F12" s="811">
        <f>SUM(F13)</f>
        <v>0</v>
      </c>
      <c r="G12" s="1469">
        <f>SUM(G13)</f>
        <v>0</v>
      </c>
      <c r="H12" s="810">
        <f>SUM(H13)</f>
        <v>0</v>
      </c>
      <c r="I12" s="810">
        <v>0</v>
      </c>
      <c r="J12" s="1324">
        <f>SUM(J13)</f>
        <v>0</v>
      </c>
      <c r="K12" s="1349">
        <f>SUM(K13)</f>
        <v>0</v>
      </c>
      <c r="L12" s="810">
        <f>SUM(L13)</f>
        <v>0</v>
      </c>
      <c r="M12" s="810">
        <v>0</v>
      </c>
      <c r="N12" s="811">
        <f>SUM(N13)</f>
        <v>0</v>
      </c>
      <c r="O12" s="1349">
        <f>SUM(O13)</f>
        <v>0</v>
      </c>
      <c r="P12" s="810">
        <v>90000</v>
      </c>
      <c r="Q12" s="810">
        <v>0</v>
      </c>
      <c r="R12" s="811">
        <v>90000</v>
      </c>
    </row>
    <row r="13" spans="1:18" s="122" customFormat="1" ht="26.25" thickBot="1">
      <c r="A13" s="1485"/>
      <c r="B13" s="1620" t="s">
        <v>721</v>
      </c>
      <c r="C13" s="1470"/>
      <c r="D13" s="794"/>
      <c r="E13" s="794"/>
      <c r="F13" s="1351">
        <f aca="true" t="shared" si="0" ref="F13:F18">SUM(C13:E13)</f>
        <v>0</v>
      </c>
      <c r="G13" s="1470"/>
      <c r="H13" s="794"/>
      <c r="I13" s="794"/>
      <c r="J13" s="1346">
        <f aca="true" t="shared" si="1" ref="J13:J18">SUM(G13:I13)</f>
        <v>0</v>
      </c>
      <c r="K13" s="1350"/>
      <c r="L13" s="794"/>
      <c r="M13" s="794"/>
      <c r="N13" s="1351">
        <f aca="true" t="shared" si="2" ref="N13:N18">SUM(K13:M13)</f>
        <v>0</v>
      </c>
      <c r="O13" s="1350"/>
      <c r="P13" s="794">
        <v>90000</v>
      </c>
      <c r="Q13" s="794"/>
      <c r="R13" s="1351">
        <f aca="true" t="shared" si="3" ref="R13:R18">SUM(O13:Q13)</f>
        <v>90000</v>
      </c>
    </row>
    <row r="14" spans="1:18" s="10" customFormat="1" ht="13.5" thickBot="1">
      <c r="A14" s="806" t="s">
        <v>166</v>
      </c>
      <c r="B14" s="1495" t="s">
        <v>722</v>
      </c>
      <c r="C14" s="1471">
        <f>SUM(C15:C18)</f>
        <v>0</v>
      </c>
      <c r="D14" s="792">
        <f>SUM(D15:D18)</f>
        <v>1589555</v>
      </c>
      <c r="E14" s="792">
        <v>0</v>
      </c>
      <c r="F14" s="793">
        <f t="shared" si="0"/>
        <v>1589555</v>
      </c>
      <c r="G14" s="1471">
        <f>SUM(G15:G18)</f>
        <v>0</v>
      </c>
      <c r="H14" s="792">
        <v>1589555</v>
      </c>
      <c r="I14" s="792">
        <v>0</v>
      </c>
      <c r="J14" s="1341">
        <f t="shared" si="1"/>
        <v>1589555</v>
      </c>
      <c r="K14" s="1329">
        <f>SUM(K15:K18)</f>
        <v>0</v>
      </c>
      <c r="L14" s="792">
        <v>1589555</v>
      </c>
      <c r="M14" s="792">
        <v>0</v>
      </c>
      <c r="N14" s="793">
        <f t="shared" si="2"/>
        <v>1589555</v>
      </c>
      <c r="O14" s="1329">
        <f>SUM(O15:O18)</f>
        <v>0</v>
      </c>
      <c r="P14" s="792">
        <f>SUM(P15:P19)</f>
        <v>1881655</v>
      </c>
      <c r="Q14" s="792">
        <f>SUM(Q15:Q19)</f>
        <v>0</v>
      </c>
      <c r="R14" s="792">
        <f>SUM(R15:R19)</f>
        <v>1881655</v>
      </c>
    </row>
    <row r="15" spans="1:18" s="122" customFormat="1" ht="12.75">
      <c r="A15" s="1486"/>
      <c r="B15" s="1621" t="s">
        <v>724</v>
      </c>
      <c r="C15" s="1472"/>
      <c r="D15" s="796">
        <f>SUM('15. Óvoda'!F11+'15. Óvoda'!F12)</f>
        <v>1249555</v>
      </c>
      <c r="E15" s="796"/>
      <c r="F15" s="1331">
        <f t="shared" si="0"/>
        <v>1249555</v>
      </c>
      <c r="G15" s="1472"/>
      <c r="H15" s="796">
        <v>1249555</v>
      </c>
      <c r="I15" s="796"/>
      <c r="J15" s="1325">
        <f t="shared" si="1"/>
        <v>1249555</v>
      </c>
      <c r="K15" s="1330"/>
      <c r="L15" s="796">
        <v>1249555</v>
      </c>
      <c r="M15" s="796"/>
      <c r="N15" s="1331">
        <f t="shared" si="2"/>
        <v>1249555</v>
      </c>
      <c r="O15" s="1330"/>
      <c r="P15" s="796">
        <v>1249555</v>
      </c>
      <c r="Q15" s="796"/>
      <c r="R15" s="796">
        <v>1249555</v>
      </c>
    </row>
    <row r="16" spans="1:18" s="122" customFormat="1" ht="25.5">
      <c r="A16" s="880"/>
      <c r="B16" s="1622" t="s">
        <v>725</v>
      </c>
      <c r="C16" s="1473"/>
      <c r="D16" s="790">
        <f>SUM('15. Óvoda'!F13)</f>
        <v>340000</v>
      </c>
      <c r="E16" s="790"/>
      <c r="F16" s="1333">
        <f t="shared" si="0"/>
        <v>340000</v>
      </c>
      <c r="G16" s="1473"/>
      <c r="H16" s="790">
        <v>340000</v>
      </c>
      <c r="I16" s="790"/>
      <c r="J16" s="1326">
        <f t="shared" si="1"/>
        <v>340000</v>
      </c>
      <c r="K16" s="1332"/>
      <c r="L16" s="790">
        <v>340000</v>
      </c>
      <c r="M16" s="790"/>
      <c r="N16" s="1333">
        <f t="shared" si="2"/>
        <v>340000</v>
      </c>
      <c r="O16" s="1332"/>
      <c r="P16" s="790">
        <v>340000</v>
      </c>
      <c r="Q16" s="790"/>
      <c r="R16" s="1333">
        <f t="shared" si="3"/>
        <v>340000</v>
      </c>
    </row>
    <row r="17" spans="1:18" s="122" customFormat="1" ht="25.5">
      <c r="A17" s="880"/>
      <c r="B17" s="1622" t="s">
        <v>726</v>
      </c>
      <c r="C17" s="1473"/>
      <c r="D17" s="790"/>
      <c r="E17" s="790"/>
      <c r="F17" s="1333">
        <f t="shared" si="0"/>
        <v>0</v>
      </c>
      <c r="G17" s="1473"/>
      <c r="H17" s="790"/>
      <c r="I17" s="790"/>
      <c r="J17" s="1326">
        <f t="shared" si="1"/>
        <v>0</v>
      </c>
      <c r="K17" s="1332"/>
      <c r="L17" s="790"/>
      <c r="M17" s="790"/>
      <c r="N17" s="1333">
        <f t="shared" si="2"/>
        <v>0</v>
      </c>
      <c r="O17" s="1332"/>
      <c r="P17" s="790">
        <v>100</v>
      </c>
      <c r="Q17" s="790"/>
      <c r="R17" s="1333">
        <f t="shared" si="3"/>
        <v>100</v>
      </c>
    </row>
    <row r="18" spans="1:18" s="122" customFormat="1" ht="25.5">
      <c r="A18" s="880"/>
      <c r="B18" s="1622" t="s">
        <v>710</v>
      </c>
      <c r="C18" s="1473"/>
      <c r="D18" s="790"/>
      <c r="E18" s="790"/>
      <c r="F18" s="790">
        <f t="shared" si="0"/>
        <v>0</v>
      </c>
      <c r="G18" s="797"/>
      <c r="H18" s="790"/>
      <c r="I18" s="790"/>
      <c r="J18" s="1326">
        <f t="shared" si="1"/>
        <v>0</v>
      </c>
      <c r="K18" s="1332"/>
      <c r="L18" s="790"/>
      <c r="M18" s="790"/>
      <c r="N18" s="1333">
        <f t="shared" si="2"/>
        <v>0</v>
      </c>
      <c r="O18" s="1332"/>
      <c r="P18" s="790">
        <v>292000</v>
      </c>
      <c r="Q18" s="790"/>
      <c r="R18" s="1333">
        <f t="shared" si="3"/>
        <v>292000</v>
      </c>
    </row>
    <row r="19" spans="1:18" s="122" customFormat="1" ht="12.75">
      <c r="A19" s="880"/>
      <c r="B19" s="1622"/>
      <c r="C19" s="1473"/>
      <c r="D19" s="790"/>
      <c r="E19" s="790"/>
      <c r="F19" s="790"/>
      <c r="G19" s="797"/>
      <c r="H19" s="790"/>
      <c r="I19" s="790"/>
      <c r="J19" s="1326"/>
      <c r="K19" s="1332"/>
      <c r="L19" s="790"/>
      <c r="M19" s="790"/>
      <c r="N19" s="1333"/>
      <c r="O19" s="1332"/>
      <c r="P19" s="790"/>
      <c r="Q19" s="790"/>
      <c r="R19" s="1333"/>
    </row>
    <row r="20" spans="1:18" s="10" customFormat="1" ht="39" thickBot="1">
      <c r="A20" s="809" t="s">
        <v>173</v>
      </c>
      <c r="B20" s="1623" t="s">
        <v>1161</v>
      </c>
      <c r="C20" s="1474"/>
      <c r="D20" s="1465"/>
      <c r="E20" s="1465"/>
      <c r="F20" s="1467"/>
      <c r="G20" s="1474"/>
      <c r="H20" s="1465"/>
      <c r="I20" s="1465"/>
      <c r="J20" s="1466"/>
      <c r="K20" s="1618"/>
      <c r="L20" s="810">
        <v>210000</v>
      </c>
      <c r="M20" s="810"/>
      <c r="N20" s="811">
        <f>SUM(L20:M20)</f>
        <v>210000</v>
      </c>
      <c r="O20" s="1618"/>
      <c r="P20" s="810">
        <v>229305</v>
      </c>
      <c r="Q20" s="810"/>
      <c r="R20" s="811">
        <f>SUM(P20:Q20)</f>
        <v>229305</v>
      </c>
    </row>
    <row r="21" spans="1:18" s="10" customFormat="1" ht="26.25" thickBot="1">
      <c r="A21" s="806" t="s">
        <v>182</v>
      </c>
      <c r="B21" s="781" t="s">
        <v>728</v>
      </c>
      <c r="C21" s="792"/>
      <c r="D21" s="792"/>
      <c r="E21" s="792"/>
      <c r="F21" s="793"/>
      <c r="G21" s="1471"/>
      <c r="H21" s="792"/>
      <c r="I21" s="792"/>
      <c r="J21" s="1341"/>
      <c r="K21" s="1329"/>
      <c r="L21" s="792">
        <v>242955</v>
      </c>
      <c r="M21" s="792"/>
      <c r="N21" s="793">
        <f>SUM(L21)</f>
        <v>242955</v>
      </c>
      <c r="O21" s="1329"/>
      <c r="P21" s="792">
        <v>435505</v>
      </c>
      <c r="Q21" s="792"/>
      <c r="R21" s="793">
        <f>SUM(P21)</f>
        <v>435505</v>
      </c>
    </row>
    <row r="22" spans="1:18" s="554" customFormat="1" ht="16.5" thickBot="1">
      <c r="A22" s="2004" t="s">
        <v>485</v>
      </c>
      <c r="B22" s="2005"/>
      <c r="C22" s="799">
        <f>SUM(C12+C14+C21)+C20</f>
        <v>0</v>
      </c>
      <c r="D22" s="799">
        <f aca="true" t="shared" si="4" ref="D22:N22">SUM(D12+D14+D21)+D20</f>
        <v>1589555</v>
      </c>
      <c r="E22" s="799">
        <f t="shared" si="4"/>
        <v>0</v>
      </c>
      <c r="F22" s="800">
        <f t="shared" si="4"/>
        <v>1589555</v>
      </c>
      <c r="G22" s="1475">
        <f t="shared" si="4"/>
        <v>0</v>
      </c>
      <c r="H22" s="799">
        <f t="shared" si="4"/>
        <v>1589555</v>
      </c>
      <c r="I22" s="799">
        <f t="shared" si="4"/>
        <v>0</v>
      </c>
      <c r="J22" s="1285">
        <f t="shared" si="4"/>
        <v>1589555</v>
      </c>
      <c r="K22" s="1305">
        <f t="shared" si="4"/>
        <v>0</v>
      </c>
      <c r="L22" s="799">
        <f t="shared" si="4"/>
        <v>2042510</v>
      </c>
      <c r="M22" s="799">
        <f t="shared" si="4"/>
        <v>0</v>
      </c>
      <c r="N22" s="800">
        <f t="shared" si="4"/>
        <v>2042510</v>
      </c>
      <c r="O22" s="1305">
        <f>SUM(O12+O14+O21)+O20</f>
        <v>0</v>
      </c>
      <c r="P22" s="799">
        <f>SUM(P12+P14+P21)+P20</f>
        <v>2636465</v>
      </c>
      <c r="Q22" s="799">
        <f>SUM(Q12+Q14+Q21)+Q20</f>
        <v>0</v>
      </c>
      <c r="R22" s="800">
        <f>SUM(R12+R14+R21)+R20</f>
        <v>2636465</v>
      </c>
    </row>
    <row r="23" spans="1:18" ht="38.25">
      <c r="A23" s="1487"/>
      <c r="B23" s="776" t="s">
        <v>729</v>
      </c>
      <c r="C23" s="801">
        <f>SUM('15. Óvoda'!F24)</f>
        <v>238417</v>
      </c>
      <c r="D23" s="801"/>
      <c r="E23" s="801"/>
      <c r="F23" s="1307">
        <f>SUM(C23)</f>
        <v>238417</v>
      </c>
      <c r="G23" s="1476">
        <v>238417</v>
      </c>
      <c r="H23" s="801"/>
      <c r="I23" s="801"/>
      <c r="J23" s="1286">
        <f>SUM(G23)</f>
        <v>238417</v>
      </c>
      <c r="K23" s="1306">
        <v>238417</v>
      </c>
      <c r="L23" s="801"/>
      <c r="M23" s="801"/>
      <c r="N23" s="1307">
        <f>SUM(K23)</f>
        <v>238417</v>
      </c>
      <c r="O23" s="1306">
        <v>238417</v>
      </c>
      <c r="P23" s="801"/>
      <c r="Q23" s="801"/>
      <c r="R23" s="1307">
        <f>SUM(O23)</f>
        <v>238417</v>
      </c>
    </row>
    <row r="24" spans="1:18" ht="12.75">
      <c r="A24" s="1315"/>
      <c r="B24" s="777" t="s">
        <v>730</v>
      </c>
      <c r="C24" s="649">
        <f aca="true" t="shared" si="5" ref="C24:J24">SUM(C23)</f>
        <v>238417</v>
      </c>
      <c r="D24" s="649">
        <f t="shared" si="5"/>
        <v>0</v>
      </c>
      <c r="E24" s="649">
        <f t="shared" si="5"/>
        <v>0</v>
      </c>
      <c r="F24" s="1353">
        <f t="shared" si="5"/>
        <v>238417</v>
      </c>
      <c r="G24" s="1477">
        <f t="shared" si="5"/>
        <v>238417</v>
      </c>
      <c r="H24" s="649">
        <f t="shared" si="5"/>
        <v>0</v>
      </c>
      <c r="I24" s="649">
        <f t="shared" si="5"/>
        <v>0</v>
      </c>
      <c r="J24" s="1347">
        <f t="shared" si="5"/>
        <v>238417</v>
      </c>
      <c r="K24" s="1352">
        <f aca="true" t="shared" si="6" ref="K24:R24">SUM(K23)</f>
        <v>238417</v>
      </c>
      <c r="L24" s="649">
        <f t="shared" si="6"/>
        <v>0</v>
      </c>
      <c r="M24" s="649">
        <f t="shared" si="6"/>
        <v>0</v>
      </c>
      <c r="N24" s="1353">
        <f t="shared" si="6"/>
        <v>238417</v>
      </c>
      <c r="O24" s="1352">
        <f t="shared" si="6"/>
        <v>238417</v>
      </c>
      <c r="P24" s="649">
        <f t="shared" si="6"/>
        <v>0</v>
      </c>
      <c r="Q24" s="649">
        <f t="shared" si="6"/>
        <v>0</v>
      </c>
      <c r="R24" s="1353">
        <f t="shared" si="6"/>
        <v>238417</v>
      </c>
    </row>
    <row r="25" spans="1:18" ht="26.25" thickBot="1">
      <c r="A25" s="1488"/>
      <c r="B25" s="785" t="s">
        <v>731</v>
      </c>
      <c r="C25" s="802">
        <v>103326446</v>
      </c>
      <c r="D25" s="802">
        <v>24240403</v>
      </c>
      <c r="E25" s="802"/>
      <c r="F25" s="1354">
        <f>SUM(C25:E25)</f>
        <v>127566849</v>
      </c>
      <c r="G25" s="1478">
        <v>103326446</v>
      </c>
      <c r="H25" s="802">
        <v>24240403</v>
      </c>
      <c r="I25" s="802"/>
      <c r="J25" s="1348">
        <v>127566849</v>
      </c>
      <c r="K25" s="1309">
        <v>103380089</v>
      </c>
      <c r="L25" s="802">
        <v>24240403</v>
      </c>
      <c r="M25" s="802"/>
      <c r="N25" s="1354">
        <f>SUM(K25:L25)</f>
        <v>127620492</v>
      </c>
      <c r="O25" s="1309">
        <v>103419167</v>
      </c>
      <c r="P25" s="802">
        <v>24240403</v>
      </c>
      <c r="Q25" s="802"/>
      <c r="R25" s="1354">
        <f>SUM(O25:P25)</f>
        <v>127659570</v>
      </c>
    </row>
    <row r="26" spans="1:18" ht="32.25" thickBot="1">
      <c r="A26" s="787"/>
      <c r="B26" s="788" t="s">
        <v>732</v>
      </c>
      <c r="C26" s="792">
        <f aca="true" t="shared" si="7" ref="C26:J26">SUM(C24:C25)</f>
        <v>103564863</v>
      </c>
      <c r="D26" s="792">
        <f t="shared" si="7"/>
        <v>24240403</v>
      </c>
      <c r="E26" s="792">
        <f t="shared" si="7"/>
        <v>0</v>
      </c>
      <c r="F26" s="793">
        <f t="shared" si="7"/>
        <v>127805266</v>
      </c>
      <c r="G26" s="1471">
        <f t="shared" si="7"/>
        <v>103564863</v>
      </c>
      <c r="H26" s="792">
        <f t="shared" si="7"/>
        <v>24240403</v>
      </c>
      <c r="I26" s="792">
        <f t="shared" si="7"/>
        <v>0</v>
      </c>
      <c r="J26" s="1341">
        <f t="shared" si="7"/>
        <v>127805266</v>
      </c>
      <c r="K26" s="1329">
        <f aca="true" t="shared" si="8" ref="K26:R26">SUM(K24:K25)</f>
        <v>103618506</v>
      </c>
      <c r="L26" s="792">
        <f t="shared" si="8"/>
        <v>24240403</v>
      </c>
      <c r="M26" s="792">
        <f t="shared" si="8"/>
        <v>0</v>
      </c>
      <c r="N26" s="793">
        <f t="shared" si="8"/>
        <v>127858909</v>
      </c>
      <c r="O26" s="1329">
        <f t="shared" si="8"/>
        <v>103657584</v>
      </c>
      <c r="P26" s="792">
        <f t="shared" si="8"/>
        <v>24240403</v>
      </c>
      <c r="Q26" s="792">
        <f t="shared" si="8"/>
        <v>0</v>
      </c>
      <c r="R26" s="793">
        <f t="shared" si="8"/>
        <v>127897987</v>
      </c>
    </row>
    <row r="27" spans="1:18" ht="16.5" thickBot="1">
      <c r="A27" s="1992" t="s">
        <v>157</v>
      </c>
      <c r="B27" s="1993"/>
      <c r="C27" s="804">
        <f aca="true" t="shared" si="9" ref="C27:J27">SUM(C22+C26)</f>
        <v>103564863</v>
      </c>
      <c r="D27" s="804">
        <f t="shared" si="9"/>
        <v>25829958</v>
      </c>
      <c r="E27" s="804">
        <f t="shared" si="9"/>
        <v>0</v>
      </c>
      <c r="F27" s="805">
        <f t="shared" si="9"/>
        <v>129394821</v>
      </c>
      <c r="G27" s="1479">
        <f t="shared" si="9"/>
        <v>103564863</v>
      </c>
      <c r="H27" s="804">
        <f t="shared" si="9"/>
        <v>25829958</v>
      </c>
      <c r="I27" s="804">
        <f t="shared" si="9"/>
        <v>0</v>
      </c>
      <c r="J27" s="1288">
        <f t="shared" si="9"/>
        <v>129394821</v>
      </c>
      <c r="K27" s="1312">
        <f aca="true" t="shared" si="10" ref="K27:R27">SUM(K22+K26)</f>
        <v>103618506</v>
      </c>
      <c r="L27" s="804">
        <f t="shared" si="10"/>
        <v>26282913</v>
      </c>
      <c r="M27" s="804">
        <f t="shared" si="10"/>
        <v>0</v>
      </c>
      <c r="N27" s="805">
        <f t="shared" si="10"/>
        <v>129901419</v>
      </c>
      <c r="O27" s="1312">
        <f t="shared" si="10"/>
        <v>103657584</v>
      </c>
      <c r="P27" s="804">
        <f t="shared" si="10"/>
        <v>26876868</v>
      </c>
      <c r="Q27" s="804">
        <f t="shared" si="10"/>
        <v>0</v>
      </c>
      <c r="R27" s="805">
        <f t="shared" si="10"/>
        <v>130534452</v>
      </c>
    </row>
    <row r="28" spans="1:18" ht="12.75">
      <c r="A28" s="1489" t="s">
        <v>164</v>
      </c>
      <c r="B28" s="777" t="s">
        <v>735</v>
      </c>
      <c r="C28" s="464">
        <v>68956921</v>
      </c>
      <c r="D28" s="464">
        <f>SUM('15. Óvoda'!F57+'15. Óvoda'!F35)</f>
        <v>15806475</v>
      </c>
      <c r="E28" s="780"/>
      <c r="F28" s="465">
        <f>SUM(C28:E28)</f>
        <v>84763396</v>
      </c>
      <c r="G28" s="1480">
        <v>68956921</v>
      </c>
      <c r="H28" s="464">
        <v>15806475</v>
      </c>
      <c r="I28" s="780"/>
      <c r="J28" s="1290">
        <f>SUM(G28:I28)</f>
        <v>84763396</v>
      </c>
      <c r="K28" s="1334">
        <v>69001810</v>
      </c>
      <c r="L28" s="464">
        <v>15806475</v>
      </c>
      <c r="M28" s="780"/>
      <c r="N28" s="465">
        <f>SUM(K28:M28)</f>
        <v>84808285</v>
      </c>
      <c r="O28" s="1334">
        <v>68291506</v>
      </c>
      <c r="P28" s="464">
        <v>16549480</v>
      </c>
      <c r="Q28" s="780"/>
      <c r="R28" s="465">
        <f>SUM(O28:Q28)</f>
        <v>84840986</v>
      </c>
    </row>
    <row r="29" spans="1:18" ht="38.25">
      <c r="A29" s="1490" t="s">
        <v>166</v>
      </c>
      <c r="B29" s="777" t="s">
        <v>736</v>
      </c>
      <c r="C29" s="464">
        <v>13991942</v>
      </c>
      <c r="D29" s="464">
        <f>SUM('15. Óvoda'!F58+'15. Óvoda'!F36)</f>
        <v>3223483</v>
      </c>
      <c r="E29" s="423"/>
      <c r="F29" s="465">
        <f>SUM(C29:E29)</f>
        <v>17215425</v>
      </c>
      <c r="G29" s="1480">
        <v>13991942</v>
      </c>
      <c r="H29" s="464">
        <v>3223483</v>
      </c>
      <c r="I29" s="423"/>
      <c r="J29" s="1290">
        <f>SUM(G29:I29)</f>
        <v>17215425</v>
      </c>
      <c r="K29" s="1334">
        <v>14000696</v>
      </c>
      <c r="L29" s="464">
        <v>3223483</v>
      </c>
      <c r="M29" s="423"/>
      <c r="N29" s="465">
        <f>SUM(K29:M29)</f>
        <v>17224179</v>
      </c>
      <c r="O29" s="1334">
        <v>14007073</v>
      </c>
      <c r="P29" s="464">
        <v>3223483</v>
      </c>
      <c r="Q29" s="423"/>
      <c r="R29" s="465">
        <f>SUM(O29:Q29)</f>
        <v>17230556</v>
      </c>
    </row>
    <row r="30" spans="1:18" s="10" customFormat="1" ht="12.75">
      <c r="A30" s="1490" t="s">
        <v>173</v>
      </c>
      <c r="B30" s="647" t="s">
        <v>737</v>
      </c>
      <c r="C30" s="464">
        <v>21116000</v>
      </c>
      <c r="D30" s="464">
        <f>SUM('15. Óvoda'!F59+'15. Óvoda'!F37)</f>
        <v>5800000</v>
      </c>
      <c r="E30" s="438"/>
      <c r="F30" s="465">
        <f>SUM(C30:E30)</f>
        <v>26916000</v>
      </c>
      <c r="G30" s="1480">
        <v>21116000</v>
      </c>
      <c r="H30" s="464">
        <v>5800000</v>
      </c>
      <c r="I30" s="438"/>
      <c r="J30" s="1290">
        <f>SUM(G30:I30)</f>
        <v>26916000</v>
      </c>
      <c r="K30" s="1334">
        <v>21359005</v>
      </c>
      <c r="L30" s="464">
        <v>5767045</v>
      </c>
      <c r="M30" s="438"/>
      <c r="N30" s="465">
        <f>SUM(K30:M30)</f>
        <v>27126050</v>
      </c>
      <c r="O30" s="1334">
        <v>21359005</v>
      </c>
      <c r="P30" s="464">
        <v>6168400</v>
      </c>
      <c r="Q30" s="438"/>
      <c r="R30" s="465">
        <f>SUM(O30:Q30)</f>
        <v>27527405</v>
      </c>
    </row>
    <row r="31" spans="1:18" s="10" customFormat="1" ht="12.75">
      <c r="A31" s="1490" t="s">
        <v>182</v>
      </c>
      <c r="B31" s="647" t="s">
        <v>738</v>
      </c>
      <c r="C31" s="814">
        <f>SUM(C32:C33)</f>
        <v>0</v>
      </c>
      <c r="D31" s="814">
        <f>SUM(D32:D33)</f>
        <v>500000</v>
      </c>
      <c r="E31" s="814">
        <f>SUM(E32:E33)</f>
        <v>0</v>
      </c>
      <c r="F31" s="465">
        <f>SUM(C31:E31)</f>
        <v>500000</v>
      </c>
      <c r="G31" s="1481">
        <f>SUM(G32:G33)</f>
        <v>0</v>
      </c>
      <c r="H31" s="814">
        <f>SUM(H32:H33)</f>
        <v>500000</v>
      </c>
      <c r="I31" s="814">
        <f>SUM(I32:I33)</f>
        <v>0</v>
      </c>
      <c r="J31" s="1290">
        <f>SUM(G31:I31)</f>
        <v>500000</v>
      </c>
      <c r="K31" s="1335">
        <f>SUM(K32:K33)</f>
        <v>0</v>
      </c>
      <c r="L31" s="814">
        <v>742955</v>
      </c>
      <c r="M31" s="814">
        <f>SUM(M32:M33)</f>
        <v>0</v>
      </c>
      <c r="N31" s="465">
        <f>SUM(K31:M31)</f>
        <v>742955</v>
      </c>
      <c r="O31" s="1335">
        <f>SUM(O32:O33)</f>
        <v>0</v>
      </c>
      <c r="P31" s="814">
        <v>935505</v>
      </c>
      <c r="Q31" s="814">
        <f>SUM(Q32:Q33)</f>
        <v>0</v>
      </c>
      <c r="R31" s="465">
        <f>SUM(O31:Q31)</f>
        <v>935505</v>
      </c>
    </row>
    <row r="32" spans="1:18" s="122" customFormat="1" ht="12.75">
      <c r="A32" s="1316"/>
      <c r="B32" s="778" t="s">
        <v>132</v>
      </c>
      <c r="C32" s="461"/>
      <c r="D32" s="778">
        <v>500000</v>
      </c>
      <c r="E32" s="778"/>
      <c r="F32" s="465">
        <f>SUM(C32:E32)</f>
        <v>500000</v>
      </c>
      <c r="G32" s="1482"/>
      <c r="H32" s="778">
        <v>500000</v>
      </c>
      <c r="I32" s="778"/>
      <c r="J32" s="1290">
        <f>SUM(G32:I32)</f>
        <v>500000</v>
      </c>
      <c r="K32" s="1336"/>
      <c r="L32" s="778">
        <v>742955</v>
      </c>
      <c r="M32" s="778"/>
      <c r="N32" s="465">
        <f>SUM(K32:M32)</f>
        <v>742955</v>
      </c>
      <c r="O32" s="1336"/>
      <c r="P32" s="778">
        <v>935505</v>
      </c>
      <c r="Q32" s="778"/>
      <c r="R32" s="465">
        <f>SUM(O32:Q32)</f>
        <v>935505</v>
      </c>
    </row>
    <row r="33" spans="1:18" s="122" customFormat="1" ht="13.5" thickBot="1">
      <c r="A33" s="1338"/>
      <c r="B33" s="789" t="s">
        <v>134</v>
      </c>
      <c r="C33" s="789"/>
      <c r="D33" s="789"/>
      <c r="E33" s="789"/>
      <c r="F33" s="1339"/>
      <c r="G33" s="1483"/>
      <c r="H33" s="789"/>
      <c r="I33" s="789"/>
      <c r="J33" s="1328"/>
      <c r="K33" s="1338"/>
      <c r="L33" s="789"/>
      <c r="M33" s="789"/>
      <c r="N33" s="1339"/>
      <c r="O33" s="1338"/>
      <c r="P33" s="789"/>
      <c r="Q33" s="789"/>
      <c r="R33" s="1339"/>
    </row>
    <row r="34" spans="1:18" ht="16.5" thickBot="1">
      <c r="A34" s="815"/>
      <c r="B34" s="816" t="s">
        <v>739</v>
      </c>
      <c r="C34" s="817">
        <f>SUM(C28:C31)</f>
        <v>104064863</v>
      </c>
      <c r="D34" s="817">
        <f>SUM(D28:D32)</f>
        <v>25829958</v>
      </c>
      <c r="E34" s="817">
        <f>SUM(E28:E31)</f>
        <v>0</v>
      </c>
      <c r="F34" s="818">
        <f>SUM(F28:F31)</f>
        <v>129394821</v>
      </c>
      <c r="G34" s="1484">
        <f>SUM(G28:G31)</f>
        <v>104064863</v>
      </c>
      <c r="H34" s="817">
        <f>SUM(H28:H32)</f>
        <v>25829958</v>
      </c>
      <c r="I34" s="817">
        <f>SUM(I28:I31)</f>
        <v>0</v>
      </c>
      <c r="J34" s="1294">
        <f>SUM(J28:J31)</f>
        <v>129394821</v>
      </c>
      <c r="K34" s="1322">
        <f>SUM(K28:K31)</f>
        <v>104361511</v>
      </c>
      <c r="L34" s="817">
        <f>SUM(L28:L32)</f>
        <v>26282913</v>
      </c>
      <c r="M34" s="817">
        <f aca="true" t="shared" si="11" ref="M34:R34">SUM(M28:M31)</f>
        <v>0</v>
      </c>
      <c r="N34" s="818">
        <f t="shared" si="11"/>
        <v>129901469</v>
      </c>
      <c r="O34" s="1322">
        <f t="shared" si="11"/>
        <v>103657584</v>
      </c>
      <c r="P34" s="817">
        <f t="shared" si="11"/>
        <v>26876868</v>
      </c>
      <c r="Q34" s="817">
        <f t="shared" si="11"/>
        <v>0</v>
      </c>
      <c r="R34" s="818">
        <f t="shared" si="11"/>
        <v>130534452</v>
      </c>
    </row>
  </sheetData>
  <sheetProtection/>
  <mergeCells count="12">
    <mergeCell ref="G3:K3"/>
    <mergeCell ref="Q3:R3"/>
    <mergeCell ref="A27:B27"/>
    <mergeCell ref="A10:B11"/>
    <mergeCell ref="C10:F10"/>
    <mergeCell ref="K10:N10"/>
    <mergeCell ref="O10:R10"/>
    <mergeCell ref="A1:R1"/>
    <mergeCell ref="A2:R2"/>
    <mergeCell ref="A6:R6"/>
    <mergeCell ref="G10:J10"/>
    <mergeCell ref="A22:B2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R28"/>
  <sheetViews>
    <sheetView showGridLines="0" view="pageBreakPreview" zoomScale="95" zoomScaleSheetLayoutView="95" zoomScalePageLayoutView="0" workbookViewId="0" topLeftCell="I1">
      <selection activeCell="R3" sqref="R3"/>
    </sheetView>
  </sheetViews>
  <sheetFormatPr defaultColWidth="9.140625" defaultRowHeight="12.75"/>
  <cols>
    <col min="1" max="1" width="5.7109375" style="0" customWidth="1"/>
    <col min="2" max="2" width="34.421875" style="0" customWidth="1"/>
    <col min="3" max="3" width="16.421875" style="0" customWidth="1"/>
    <col min="4" max="4" width="16.7109375" style="0" customWidth="1"/>
    <col min="5" max="5" width="13.7109375" style="0" customWidth="1"/>
    <col min="6" max="6" width="17.28125" style="0" customWidth="1"/>
    <col min="7" max="7" width="16.421875" style="0" customWidth="1"/>
    <col min="8" max="8" width="16.7109375" style="0" customWidth="1"/>
    <col min="9" max="9" width="13.7109375" style="0" customWidth="1"/>
    <col min="10" max="10" width="17.28125" style="0" customWidth="1"/>
    <col min="11" max="11" width="16.421875" style="0" customWidth="1"/>
    <col min="12" max="12" width="16.7109375" style="0" customWidth="1"/>
    <col min="13" max="13" width="13.7109375" style="0" customWidth="1"/>
    <col min="14" max="14" width="17.28125" style="0" customWidth="1"/>
    <col min="15" max="15" width="16.421875" style="0" customWidth="1"/>
    <col min="16" max="16" width="16.7109375" style="0" customWidth="1"/>
    <col min="17" max="17" width="13.7109375" style="0" customWidth="1"/>
    <col min="18" max="18" width="17.28125" style="0" customWidth="1"/>
  </cols>
  <sheetData>
    <row r="1" spans="1:18" ht="15">
      <c r="A1" s="1991" t="s">
        <v>742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  <c r="M1" s="1991"/>
      <c r="N1" s="1991"/>
      <c r="O1" s="1991"/>
      <c r="P1" s="1991"/>
      <c r="Q1" s="1991"/>
      <c r="R1" s="1991"/>
    </row>
    <row r="2" spans="1:18" ht="12.75">
      <c r="A2" s="1761" t="s">
        <v>1181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  <c r="P2" s="1761"/>
      <c r="Q2" s="1761"/>
      <c r="R2" s="1761"/>
    </row>
    <row r="3" spans="1:18" ht="12.75">
      <c r="A3" s="774"/>
      <c r="B3" s="774"/>
      <c r="C3" s="774"/>
      <c r="D3" s="774"/>
      <c r="E3" s="774"/>
      <c r="F3" s="774"/>
      <c r="G3" s="774"/>
      <c r="H3" s="1761" t="s">
        <v>1183</v>
      </c>
      <c r="I3" s="1761"/>
      <c r="J3" s="1761"/>
      <c r="K3" s="774"/>
      <c r="L3" s="774"/>
      <c r="M3" s="774"/>
      <c r="N3" s="774"/>
      <c r="O3" s="774"/>
      <c r="P3" s="774"/>
      <c r="Q3" s="774"/>
      <c r="R3" s="774" t="s">
        <v>1190</v>
      </c>
    </row>
    <row r="4" spans="1:18" ht="12.75">
      <c r="A4" s="774"/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</row>
    <row r="5" spans="1:18" ht="12.75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</row>
    <row r="6" spans="1:18" ht="29.25" customHeight="1">
      <c r="A6" s="2001" t="s">
        <v>1162</v>
      </c>
      <c r="B6" s="2001"/>
      <c r="C6" s="2001"/>
      <c r="D6" s="2001"/>
      <c r="E6" s="2001"/>
      <c r="F6" s="2001"/>
      <c r="G6" s="2001"/>
      <c r="H6" s="2001"/>
      <c r="I6" s="2001"/>
      <c r="J6" s="2001"/>
      <c r="K6" s="2001"/>
      <c r="L6" s="2001"/>
      <c r="M6" s="2001"/>
      <c r="N6" s="2001"/>
      <c r="O6" s="2001"/>
      <c r="P6" s="2001"/>
      <c r="Q6" s="2001"/>
      <c r="R6" s="2001"/>
    </row>
    <row r="9" spans="6:18" ht="13.5" thickBot="1">
      <c r="F9" s="925"/>
      <c r="J9" s="925"/>
      <c r="N9" s="925"/>
      <c r="R9" s="925" t="s">
        <v>214</v>
      </c>
    </row>
    <row r="10" spans="1:18" ht="12.75">
      <c r="A10" s="1994" t="s">
        <v>717</v>
      </c>
      <c r="B10" s="1995"/>
      <c r="C10" s="1998" t="s">
        <v>528</v>
      </c>
      <c r="D10" s="1998"/>
      <c r="E10" s="1998"/>
      <c r="F10" s="1999"/>
      <c r="G10" s="1998" t="s">
        <v>1139</v>
      </c>
      <c r="H10" s="1998"/>
      <c r="I10" s="1998"/>
      <c r="J10" s="1999"/>
      <c r="K10" s="1998" t="s">
        <v>1141</v>
      </c>
      <c r="L10" s="1998"/>
      <c r="M10" s="1998"/>
      <c r="N10" s="2003"/>
      <c r="O10" s="2000" t="s">
        <v>1164</v>
      </c>
      <c r="P10" s="1998"/>
      <c r="Q10" s="1998"/>
      <c r="R10" s="1999"/>
    </row>
    <row r="11" spans="1:18" s="4" customFormat="1" ht="39.75" customHeight="1" thickBot="1">
      <c r="A11" s="1996"/>
      <c r="B11" s="1997"/>
      <c r="C11" s="812" t="s">
        <v>718</v>
      </c>
      <c r="D11" s="812" t="s">
        <v>719</v>
      </c>
      <c r="E11" s="812" t="s">
        <v>720</v>
      </c>
      <c r="F11" s="813" t="s">
        <v>25</v>
      </c>
      <c r="G11" s="812" t="s">
        <v>718</v>
      </c>
      <c r="H11" s="812" t="s">
        <v>719</v>
      </c>
      <c r="I11" s="812" t="s">
        <v>720</v>
      </c>
      <c r="J11" s="813" t="s">
        <v>25</v>
      </c>
      <c r="K11" s="812" t="s">
        <v>718</v>
      </c>
      <c r="L11" s="812" t="s">
        <v>719</v>
      </c>
      <c r="M11" s="812" t="s">
        <v>720</v>
      </c>
      <c r="N11" s="1340" t="s">
        <v>25</v>
      </c>
      <c r="O11" s="1277" t="s">
        <v>718</v>
      </c>
      <c r="P11" s="812" t="s">
        <v>719</v>
      </c>
      <c r="Q11" s="812" t="s">
        <v>720</v>
      </c>
      <c r="R11" s="813" t="s">
        <v>25</v>
      </c>
    </row>
    <row r="12" spans="1:18" s="10" customFormat="1" ht="13.5" thickBot="1">
      <c r="A12" s="806"/>
      <c r="B12" s="783" t="s">
        <v>722</v>
      </c>
      <c r="C12" s="792">
        <f>SUM(C13:C15)</f>
        <v>0</v>
      </c>
      <c r="D12" s="792">
        <f>SUM(D13:D15)</f>
        <v>1217000</v>
      </c>
      <c r="E12" s="792">
        <v>0</v>
      </c>
      <c r="F12" s="793">
        <f>SUM(C12:E12)</f>
        <v>1217000</v>
      </c>
      <c r="G12" s="792">
        <f>SUM(G13:G15)</f>
        <v>0</v>
      </c>
      <c r="H12" s="792">
        <f>SUM(H13:H15)</f>
        <v>1217000</v>
      </c>
      <c r="I12" s="792">
        <v>0</v>
      </c>
      <c r="J12" s="793">
        <f>SUM(G12:I12)</f>
        <v>1217000</v>
      </c>
      <c r="K12" s="792">
        <f>SUM(K13:K15)</f>
        <v>0</v>
      </c>
      <c r="L12" s="792">
        <f>SUM(L13:L15)</f>
        <v>1217050</v>
      </c>
      <c r="M12" s="792">
        <v>0</v>
      </c>
      <c r="N12" s="1341">
        <f>SUM(K12:M12)</f>
        <v>1217050</v>
      </c>
      <c r="O12" s="1329">
        <f>SUM(O13:O15)</f>
        <v>0</v>
      </c>
      <c r="P12" s="792">
        <f>SUM(P13:P15)</f>
        <v>1217050</v>
      </c>
      <c r="Q12" s="792">
        <v>0</v>
      </c>
      <c r="R12" s="793">
        <f>SUM(O12:Q12)</f>
        <v>1217050</v>
      </c>
    </row>
    <row r="13" spans="1:18" s="122" customFormat="1" ht="12.75">
      <c r="A13" s="807"/>
      <c r="B13" s="776" t="s">
        <v>740</v>
      </c>
      <c r="C13" s="795"/>
      <c r="D13" s="796">
        <v>1217000</v>
      </c>
      <c r="E13" s="796"/>
      <c r="F13" s="796">
        <f>SUM(C13:E13)</f>
        <v>1217000</v>
      </c>
      <c r="G13" s="795"/>
      <c r="H13" s="796">
        <v>1217000</v>
      </c>
      <c r="I13" s="796"/>
      <c r="J13" s="796">
        <f>SUM(G13:I13)</f>
        <v>1217000</v>
      </c>
      <c r="K13" s="795"/>
      <c r="L13" s="796">
        <v>1217000</v>
      </c>
      <c r="M13" s="796"/>
      <c r="N13" s="1325">
        <f>SUM(K13:M13)</f>
        <v>1217000</v>
      </c>
      <c r="O13" s="1330"/>
      <c r="P13" s="796">
        <v>1217000</v>
      </c>
      <c r="Q13" s="796"/>
      <c r="R13" s="1331">
        <f>SUM(O13:Q13)</f>
        <v>1217000</v>
      </c>
    </row>
    <row r="14" spans="1:18" s="122" customFormat="1" ht="25.5">
      <c r="A14" s="808"/>
      <c r="B14" s="776" t="s">
        <v>726</v>
      </c>
      <c r="C14" s="797">
        <v>0</v>
      </c>
      <c r="D14" s="790"/>
      <c r="E14" s="790"/>
      <c r="F14" s="790">
        <f>SUM(C14:E14)</f>
        <v>0</v>
      </c>
      <c r="G14" s="797">
        <v>0</v>
      </c>
      <c r="H14" s="790"/>
      <c r="I14" s="790"/>
      <c r="J14" s="790">
        <f>SUM(G14:I14)</f>
        <v>0</v>
      </c>
      <c r="K14" s="797">
        <v>0</v>
      </c>
      <c r="L14" s="790"/>
      <c r="M14" s="790"/>
      <c r="N14" s="1326">
        <f>SUM(K14:M14)</f>
        <v>0</v>
      </c>
      <c r="O14" s="1332">
        <v>0</v>
      </c>
      <c r="P14" s="790"/>
      <c r="Q14" s="790"/>
      <c r="R14" s="1333">
        <f>SUM(O14:Q14)</f>
        <v>0</v>
      </c>
    </row>
    <row r="15" spans="1:18" s="122" customFormat="1" ht="13.5" thickBot="1">
      <c r="A15" s="808"/>
      <c r="B15" s="978" t="s">
        <v>741</v>
      </c>
      <c r="C15" s="798">
        <v>0</v>
      </c>
      <c r="D15" s="791"/>
      <c r="E15" s="791"/>
      <c r="F15" s="791">
        <f>SUM(C15:E15)</f>
        <v>0</v>
      </c>
      <c r="G15" s="798">
        <v>0</v>
      </c>
      <c r="H15" s="791"/>
      <c r="I15" s="791"/>
      <c r="J15" s="791">
        <f>SUM(G15:I15)</f>
        <v>0</v>
      </c>
      <c r="K15" s="798">
        <v>0</v>
      </c>
      <c r="L15" s="791">
        <v>50</v>
      </c>
      <c r="M15" s="791"/>
      <c r="N15" s="1624">
        <f>SUM(K15:M15)</f>
        <v>50</v>
      </c>
      <c r="O15" s="1626">
        <v>0</v>
      </c>
      <c r="P15" s="791">
        <v>50</v>
      </c>
      <c r="Q15" s="791"/>
      <c r="R15" s="1627">
        <f>SUM(O15:Q15)</f>
        <v>50</v>
      </c>
    </row>
    <row r="16" spans="1:18" s="554" customFormat="1" ht="16.5" thickBot="1">
      <c r="A16" s="981" t="s">
        <v>164</v>
      </c>
      <c r="B16" s="979" t="s">
        <v>485</v>
      </c>
      <c r="C16" s="799">
        <f aca="true" t="shared" si="0" ref="C16:J16">SUM(C12)</f>
        <v>0</v>
      </c>
      <c r="D16" s="799">
        <f t="shared" si="0"/>
        <v>1217000</v>
      </c>
      <c r="E16" s="799">
        <f t="shared" si="0"/>
        <v>0</v>
      </c>
      <c r="F16" s="799">
        <f t="shared" si="0"/>
        <v>1217000</v>
      </c>
      <c r="G16" s="799">
        <f t="shared" si="0"/>
        <v>0</v>
      </c>
      <c r="H16" s="799">
        <f t="shared" si="0"/>
        <v>1217000</v>
      </c>
      <c r="I16" s="799">
        <f t="shared" si="0"/>
        <v>0</v>
      </c>
      <c r="J16" s="799">
        <f t="shared" si="0"/>
        <v>1217000</v>
      </c>
      <c r="K16" s="799">
        <f aca="true" t="shared" si="1" ref="K16:R16">SUM(K12)</f>
        <v>0</v>
      </c>
      <c r="L16" s="799">
        <f t="shared" si="1"/>
        <v>1217050</v>
      </c>
      <c r="M16" s="799">
        <f t="shared" si="1"/>
        <v>0</v>
      </c>
      <c r="N16" s="1285">
        <f t="shared" si="1"/>
        <v>1217050</v>
      </c>
      <c r="O16" s="1305">
        <f t="shared" si="1"/>
        <v>0</v>
      </c>
      <c r="P16" s="799">
        <f t="shared" si="1"/>
        <v>1217050</v>
      </c>
      <c r="Q16" s="799">
        <f t="shared" si="1"/>
        <v>0</v>
      </c>
      <c r="R16" s="800">
        <f t="shared" si="1"/>
        <v>1217050</v>
      </c>
    </row>
    <row r="17" spans="1:18" ht="25.5">
      <c r="A17" s="422"/>
      <c r="B17" s="978" t="s">
        <v>729</v>
      </c>
      <c r="C17" s="801">
        <v>321658</v>
      </c>
      <c r="D17" s="801"/>
      <c r="E17" s="801"/>
      <c r="F17" s="801">
        <v>321658</v>
      </c>
      <c r="G17" s="801">
        <v>321658</v>
      </c>
      <c r="H17" s="801"/>
      <c r="I17" s="801"/>
      <c r="J17" s="801">
        <v>321658</v>
      </c>
      <c r="K17" s="801">
        <v>321658</v>
      </c>
      <c r="L17" s="801"/>
      <c r="M17" s="801"/>
      <c r="N17" s="1286">
        <v>321658</v>
      </c>
      <c r="O17" s="1306">
        <v>321658</v>
      </c>
      <c r="P17" s="801"/>
      <c r="Q17" s="801"/>
      <c r="R17" s="1307">
        <v>321658</v>
      </c>
    </row>
    <row r="18" spans="1:18" ht="12.75">
      <c r="A18" s="422"/>
      <c r="B18" s="980" t="s">
        <v>730</v>
      </c>
      <c r="C18" s="648">
        <v>321658</v>
      </c>
      <c r="D18" s="648"/>
      <c r="E18" s="648"/>
      <c r="F18" s="648">
        <v>321658</v>
      </c>
      <c r="G18" s="648">
        <v>321658</v>
      </c>
      <c r="H18" s="648"/>
      <c r="I18" s="648"/>
      <c r="J18" s="648">
        <v>321658</v>
      </c>
      <c r="K18" s="648">
        <v>321658</v>
      </c>
      <c r="L18" s="648"/>
      <c r="M18" s="648"/>
      <c r="N18" s="1625">
        <v>321658</v>
      </c>
      <c r="O18" s="1308">
        <v>321658</v>
      </c>
      <c r="P18" s="648"/>
      <c r="Q18" s="648"/>
      <c r="R18" s="1343">
        <v>321658</v>
      </c>
    </row>
    <row r="19" spans="1:18" ht="26.25" thickBot="1">
      <c r="A19" s="784"/>
      <c r="B19" s="785" t="s">
        <v>731</v>
      </c>
      <c r="C19" s="802">
        <f>SUM('16. Műv. ház'!F14)</f>
        <v>20492627</v>
      </c>
      <c r="D19" s="802"/>
      <c r="E19" s="802"/>
      <c r="F19" s="802">
        <f>SUM(C19:E19)</f>
        <v>20492627</v>
      </c>
      <c r="G19" s="802">
        <v>20492627</v>
      </c>
      <c r="H19" s="802"/>
      <c r="I19" s="802"/>
      <c r="J19" s="802">
        <f>SUM(G19:I19)</f>
        <v>20492627</v>
      </c>
      <c r="K19" s="802">
        <v>20667944</v>
      </c>
      <c r="L19" s="802"/>
      <c r="M19" s="802"/>
      <c r="N19" s="1348">
        <f>SUM(K19:M19)</f>
        <v>20667944</v>
      </c>
      <c r="O19" s="1309">
        <v>22985771</v>
      </c>
      <c r="P19" s="802"/>
      <c r="Q19" s="802"/>
      <c r="R19" s="1354">
        <f>SUM(O19:Q19)</f>
        <v>22985771</v>
      </c>
    </row>
    <row r="20" spans="1:18" ht="32.25" thickBot="1">
      <c r="A20" s="977" t="s">
        <v>166</v>
      </c>
      <c r="B20" s="788" t="s">
        <v>732</v>
      </c>
      <c r="C20" s="803">
        <f>SUM(C19+C18)</f>
        <v>20814285</v>
      </c>
      <c r="D20" s="803">
        <f>SUM(D18:D19)</f>
        <v>0</v>
      </c>
      <c r="E20" s="803">
        <f>SUM(E18:E19)</f>
        <v>0</v>
      </c>
      <c r="F20" s="803">
        <f>SUM(F18:F19)</f>
        <v>20814285</v>
      </c>
      <c r="G20" s="803">
        <f>SUM(G19+G18)</f>
        <v>20814285</v>
      </c>
      <c r="H20" s="803">
        <f>SUM(H18:H19)</f>
        <v>0</v>
      </c>
      <c r="I20" s="803">
        <f>SUM(I18:I19)</f>
        <v>0</v>
      </c>
      <c r="J20" s="803">
        <f>SUM(J18:J19)</f>
        <v>20814285</v>
      </c>
      <c r="K20" s="803">
        <f>SUM(K19+K18)</f>
        <v>20989602</v>
      </c>
      <c r="L20" s="803">
        <f>SUM(L18:L19)</f>
        <v>0</v>
      </c>
      <c r="M20" s="803">
        <f>SUM(M18:M19)</f>
        <v>0</v>
      </c>
      <c r="N20" s="1287">
        <f>SUM(N18:N19)</f>
        <v>20989602</v>
      </c>
      <c r="O20" s="1310">
        <f>SUM(O19+O18)</f>
        <v>23307429</v>
      </c>
      <c r="P20" s="803">
        <f>SUM(P18:P19)</f>
        <v>0</v>
      </c>
      <c r="Q20" s="803">
        <f>SUM(Q18:Q19)</f>
        <v>0</v>
      </c>
      <c r="R20" s="1311">
        <f>SUM(R18:R19)</f>
        <v>23307429</v>
      </c>
    </row>
    <row r="21" spans="1:18" ht="16.5" thickBot="1">
      <c r="A21" s="1992" t="s">
        <v>157</v>
      </c>
      <c r="B21" s="1993"/>
      <c r="C21" s="804">
        <f aca="true" t="shared" si="2" ref="C21:J21">SUM(C16+C20)</f>
        <v>20814285</v>
      </c>
      <c r="D21" s="804">
        <f t="shared" si="2"/>
        <v>1217000</v>
      </c>
      <c r="E21" s="804">
        <f t="shared" si="2"/>
        <v>0</v>
      </c>
      <c r="F21" s="805">
        <f t="shared" si="2"/>
        <v>22031285</v>
      </c>
      <c r="G21" s="804">
        <f t="shared" si="2"/>
        <v>20814285</v>
      </c>
      <c r="H21" s="804">
        <f t="shared" si="2"/>
        <v>1217000</v>
      </c>
      <c r="I21" s="804">
        <f t="shared" si="2"/>
        <v>0</v>
      </c>
      <c r="J21" s="805">
        <f t="shared" si="2"/>
        <v>22031285</v>
      </c>
      <c r="K21" s="804">
        <f aca="true" t="shared" si="3" ref="K21:R21">SUM(K16+K20)</f>
        <v>20989602</v>
      </c>
      <c r="L21" s="804">
        <f t="shared" si="3"/>
        <v>1217050</v>
      </c>
      <c r="M21" s="804">
        <f t="shared" si="3"/>
        <v>0</v>
      </c>
      <c r="N21" s="1288">
        <f t="shared" si="3"/>
        <v>22206652</v>
      </c>
      <c r="O21" s="1312">
        <f t="shared" si="3"/>
        <v>23307429</v>
      </c>
      <c r="P21" s="804">
        <f t="shared" si="3"/>
        <v>1217050</v>
      </c>
      <c r="Q21" s="804">
        <f t="shared" si="3"/>
        <v>0</v>
      </c>
      <c r="R21" s="805">
        <f t="shared" si="3"/>
        <v>24524479</v>
      </c>
    </row>
    <row r="22" spans="1:18" ht="12.75">
      <c r="A22" s="819" t="s">
        <v>164</v>
      </c>
      <c r="B22" s="777" t="s">
        <v>735</v>
      </c>
      <c r="C22" s="464">
        <f>SUM('16. Műv. ház'!F39)</f>
        <v>11352064</v>
      </c>
      <c r="D22" s="464"/>
      <c r="E22" s="780"/>
      <c r="F22" s="780">
        <f aca="true" t="shared" si="4" ref="F22:F27">SUM(C22:E22)</f>
        <v>11352064</v>
      </c>
      <c r="G22" s="464">
        <v>11352064</v>
      </c>
      <c r="H22" s="464"/>
      <c r="I22" s="780"/>
      <c r="J22" s="780">
        <f aca="true" t="shared" si="5" ref="J22:J27">SUM(G22:I22)</f>
        <v>11352064</v>
      </c>
      <c r="K22" s="464">
        <v>11498773</v>
      </c>
      <c r="L22" s="464"/>
      <c r="M22" s="780"/>
      <c r="N22" s="1289">
        <f aca="true" t="shared" si="6" ref="N22:N27">SUM(K22:M22)</f>
        <v>11498773</v>
      </c>
      <c r="O22" s="1334">
        <v>11597373</v>
      </c>
      <c r="P22" s="464"/>
      <c r="Q22" s="780"/>
      <c r="R22" s="1314">
        <f aca="true" t="shared" si="7" ref="R22:R27">SUM(O22:Q22)</f>
        <v>11597373</v>
      </c>
    </row>
    <row r="23" spans="1:18" ht="25.5">
      <c r="A23" s="820" t="s">
        <v>166</v>
      </c>
      <c r="B23" s="777" t="s">
        <v>736</v>
      </c>
      <c r="C23" s="464">
        <f>SUM('16. Műv. ház'!F40)</f>
        <v>2290286</v>
      </c>
      <c r="D23" s="438"/>
      <c r="E23" s="423"/>
      <c r="F23" s="780">
        <f t="shared" si="4"/>
        <v>2290286</v>
      </c>
      <c r="G23" s="464">
        <v>2290286</v>
      </c>
      <c r="H23" s="438"/>
      <c r="I23" s="423"/>
      <c r="J23" s="780">
        <f t="shared" si="5"/>
        <v>2290286</v>
      </c>
      <c r="K23" s="464">
        <v>2318894</v>
      </c>
      <c r="L23" s="438"/>
      <c r="M23" s="423"/>
      <c r="N23" s="1289">
        <f t="shared" si="6"/>
        <v>2318894</v>
      </c>
      <c r="O23" s="1334">
        <v>2338121</v>
      </c>
      <c r="P23" s="438"/>
      <c r="Q23" s="423"/>
      <c r="R23" s="1314">
        <f t="shared" si="7"/>
        <v>2338121</v>
      </c>
    </row>
    <row r="24" spans="1:18" s="10" customFormat="1" ht="12.75">
      <c r="A24" s="820" t="s">
        <v>173</v>
      </c>
      <c r="B24" s="647" t="s">
        <v>737</v>
      </c>
      <c r="C24" s="464">
        <v>7171935</v>
      </c>
      <c r="D24" s="438">
        <v>717000</v>
      </c>
      <c r="E24" s="438"/>
      <c r="F24" s="780">
        <f t="shared" si="4"/>
        <v>7888935</v>
      </c>
      <c r="G24" s="464">
        <v>7171935</v>
      </c>
      <c r="H24" s="438">
        <v>717000</v>
      </c>
      <c r="I24" s="438"/>
      <c r="J24" s="780">
        <f t="shared" si="5"/>
        <v>7888935</v>
      </c>
      <c r="K24" s="464">
        <v>7171935</v>
      </c>
      <c r="L24" s="438">
        <v>717050</v>
      </c>
      <c r="M24" s="438"/>
      <c r="N24" s="1289">
        <f t="shared" si="6"/>
        <v>7888985</v>
      </c>
      <c r="O24" s="1334">
        <v>9371935</v>
      </c>
      <c r="P24" s="438">
        <v>717050</v>
      </c>
      <c r="Q24" s="438"/>
      <c r="R24" s="1314">
        <f t="shared" si="7"/>
        <v>10088985</v>
      </c>
    </row>
    <row r="25" spans="1:18" s="10" customFormat="1" ht="12.75">
      <c r="A25" s="820" t="s">
        <v>182</v>
      </c>
      <c r="B25" s="647" t="s">
        <v>738</v>
      </c>
      <c r="C25" s="814"/>
      <c r="D25" s="814">
        <v>500000</v>
      </c>
      <c r="E25" s="814">
        <f>SUM(E26:E27)</f>
        <v>0</v>
      </c>
      <c r="F25" s="780">
        <f t="shared" si="4"/>
        <v>500000</v>
      </c>
      <c r="G25" s="814"/>
      <c r="H25" s="814">
        <v>500000</v>
      </c>
      <c r="I25" s="814">
        <f>SUM(I26:I27)</f>
        <v>0</v>
      </c>
      <c r="J25" s="780">
        <f t="shared" si="5"/>
        <v>500000</v>
      </c>
      <c r="K25" s="814"/>
      <c r="L25" s="814">
        <v>500000</v>
      </c>
      <c r="M25" s="814">
        <f>SUM(M26:M27)</f>
        <v>0</v>
      </c>
      <c r="N25" s="1289">
        <f t="shared" si="6"/>
        <v>500000</v>
      </c>
      <c r="O25" s="1335"/>
      <c r="P25" s="814">
        <v>500000</v>
      </c>
      <c r="Q25" s="814">
        <f>SUM(Q26:Q27)</f>
        <v>0</v>
      </c>
      <c r="R25" s="1314">
        <f t="shared" si="7"/>
        <v>500000</v>
      </c>
    </row>
    <row r="26" spans="1:18" s="122" customFormat="1" ht="12.75">
      <c r="A26" s="778"/>
      <c r="B26" s="778" t="s">
        <v>132</v>
      </c>
      <c r="C26" s="461"/>
      <c r="D26" s="778">
        <v>500000</v>
      </c>
      <c r="E26" s="778"/>
      <c r="F26" s="780">
        <f t="shared" si="4"/>
        <v>500000</v>
      </c>
      <c r="G26" s="461"/>
      <c r="H26" s="778">
        <v>500000</v>
      </c>
      <c r="I26" s="778"/>
      <c r="J26" s="780">
        <f t="shared" si="5"/>
        <v>500000</v>
      </c>
      <c r="K26" s="461"/>
      <c r="L26" s="778">
        <v>500000</v>
      </c>
      <c r="M26" s="778"/>
      <c r="N26" s="1289">
        <f t="shared" si="6"/>
        <v>500000</v>
      </c>
      <c r="O26" s="1336"/>
      <c r="P26" s="778">
        <v>500000</v>
      </c>
      <c r="Q26" s="778"/>
      <c r="R26" s="1314">
        <f t="shared" si="7"/>
        <v>500000</v>
      </c>
    </row>
    <row r="27" spans="1:18" s="122" customFormat="1" ht="13.5" thickBot="1">
      <c r="A27" s="789"/>
      <c r="B27" s="789" t="s">
        <v>134</v>
      </c>
      <c r="C27" s="599"/>
      <c r="D27" s="789"/>
      <c r="E27" s="789"/>
      <c r="F27" s="780">
        <f t="shared" si="4"/>
        <v>0</v>
      </c>
      <c r="G27" s="599"/>
      <c r="H27" s="789"/>
      <c r="I27" s="789"/>
      <c r="J27" s="780">
        <f t="shared" si="5"/>
        <v>0</v>
      </c>
      <c r="K27" s="599"/>
      <c r="L27" s="789"/>
      <c r="M27" s="789"/>
      <c r="N27" s="1289">
        <f t="shared" si="6"/>
        <v>0</v>
      </c>
      <c r="O27" s="1320"/>
      <c r="P27" s="789"/>
      <c r="Q27" s="789"/>
      <c r="R27" s="1314">
        <f t="shared" si="7"/>
        <v>0</v>
      </c>
    </row>
    <row r="28" spans="1:18" ht="16.5" thickBot="1">
      <c r="A28" s="815"/>
      <c r="B28" s="816" t="s">
        <v>739</v>
      </c>
      <c r="C28" s="817">
        <f>SUM(C22:C27)</f>
        <v>20814285</v>
      </c>
      <c r="D28" s="817">
        <f>SUM(D22:D25)</f>
        <v>1217000</v>
      </c>
      <c r="E28" s="817">
        <f>SUM(E22:E25)</f>
        <v>0</v>
      </c>
      <c r="F28" s="818">
        <f>SUM(F22:F25)</f>
        <v>22031285</v>
      </c>
      <c r="G28" s="817">
        <f>SUM(G22:G27)</f>
        <v>20814285</v>
      </c>
      <c r="H28" s="817">
        <f>SUM(H22:H25)</f>
        <v>1217000</v>
      </c>
      <c r="I28" s="817">
        <f>SUM(I22:I25)</f>
        <v>0</v>
      </c>
      <c r="J28" s="818">
        <f>SUM(J22:J25)</f>
        <v>22031285</v>
      </c>
      <c r="K28" s="817">
        <f>SUM(K22:K27)</f>
        <v>20989602</v>
      </c>
      <c r="L28" s="817">
        <f>SUM(L22:L25)</f>
        <v>1217050</v>
      </c>
      <c r="M28" s="817">
        <f>SUM(M22:M25)</f>
        <v>0</v>
      </c>
      <c r="N28" s="1294">
        <f>SUM(N22:N25)</f>
        <v>22206652</v>
      </c>
      <c r="O28" s="1322">
        <f>SUM(O22:O27)</f>
        <v>23307429</v>
      </c>
      <c r="P28" s="817">
        <f>SUM(P22:P25)</f>
        <v>1217050</v>
      </c>
      <c r="Q28" s="817">
        <f>SUM(Q22:Q25)</f>
        <v>0</v>
      </c>
      <c r="R28" s="818">
        <f>SUM(R22:R25)</f>
        <v>24524479</v>
      </c>
    </row>
  </sheetData>
  <sheetProtection/>
  <mergeCells count="10">
    <mergeCell ref="A1:R1"/>
    <mergeCell ref="K10:N10"/>
    <mergeCell ref="G10:J10"/>
    <mergeCell ref="A21:B21"/>
    <mergeCell ref="A10:B11"/>
    <mergeCell ref="C10:F10"/>
    <mergeCell ref="O10:R10"/>
    <mergeCell ref="A6:R6"/>
    <mergeCell ref="A2:R2"/>
    <mergeCell ref="H3:J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R31"/>
  <sheetViews>
    <sheetView showGridLines="0" view="pageBreakPreview" zoomScaleSheetLayoutView="100" zoomScalePageLayoutView="0" workbookViewId="0" topLeftCell="J1">
      <selection activeCell="P12" sqref="P1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9.00390625" style="0" customWidth="1"/>
    <col min="4" max="4" width="16.7109375" style="0" customWidth="1"/>
    <col min="5" max="5" width="16.8515625" style="0" customWidth="1"/>
    <col min="6" max="6" width="17.28125" style="0" customWidth="1"/>
    <col min="7" max="7" width="19.00390625" style="0" customWidth="1"/>
    <col min="8" max="8" width="16.7109375" style="0" customWidth="1"/>
    <col min="9" max="9" width="16.8515625" style="0" customWidth="1"/>
    <col min="10" max="10" width="17.28125" style="0" customWidth="1"/>
    <col min="11" max="11" width="19.00390625" style="0" customWidth="1"/>
    <col min="12" max="12" width="16.7109375" style="0" customWidth="1"/>
    <col min="13" max="13" width="16.8515625" style="0" customWidth="1"/>
    <col min="14" max="14" width="17.28125" style="0" customWidth="1"/>
    <col min="15" max="15" width="19.00390625" style="0" customWidth="1"/>
    <col min="16" max="16" width="16.7109375" style="0" customWidth="1"/>
    <col min="17" max="17" width="16.8515625" style="0" customWidth="1"/>
    <col min="18" max="18" width="17.28125" style="0" customWidth="1"/>
  </cols>
  <sheetData>
    <row r="1" spans="1:18" ht="15">
      <c r="A1" s="1991" t="s">
        <v>744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  <c r="M1" s="1991"/>
      <c r="N1" s="1991"/>
      <c r="O1" s="1991"/>
      <c r="P1" s="1991"/>
      <c r="Q1" s="1991"/>
      <c r="R1" s="1991"/>
    </row>
    <row r="2" spans="1:18" ht="12.75">
      <c r="A2" s="1761" t="s">
        <v>1181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  <c r="P2" s="1761"/>
      <c r="Q2" s="1761"/>
      <c r="R2" s="1761"/>
    </row>
    <row r="3" spans="1:18" ht="12.75">
      <c r="A3" s="774"/>
      <c r="B3" s="774"/>
      <c r="C3" s="774"/>
      <c r="D3" s="774"/>
      <c r="E3" s="774"/>
      <c r="F3" s="774"/>
      <c r="G3" s="1761" t="s">
        <v>1183</v>
      </c>
      <c r="H3" s="1761"/>
      <c r="I3" s="1761"/>
      <c r="J3" s="1761"/>
      <c r="K3" s="1761"/>
      <c r="L3" s="774"/>
      <c r="M3" s="774"/>
      <c r="N3" s="774"/>
      <c r="O3" s="774"/>
      <c r="P3" s="774"/>
      <c r="Q3" s="774"/>
      <c r="R3" s="774" t="s">
        <v>1191</v>
      </c>
    </row>
    <row r="4" spans="1:18" ht="12.75">
      <c r="A4" s="774"/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</row>
    <row r="5" spans="1:18" ht="12.75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</row>
    <row r="6" spans="1:18" ht="29.25" customHeight="1">
      <c r="A6" s="1753" t="s">
        <v>743</v>
      </c>
      <c r="B6" s="1753"/>
      <c r="C6" s="1753"/>
      <c r="D6" s="1753"/>
      <c r="E6" s="1753"/>
      <c r="F6" s="1753"/>
      <c r="G6" s="1753"/>
      <c r="H6" s="1753"/>
      <c r="I6" s="1753"/>
      <c r="J6" s="1753"/>
      <c r="K6" s="1753"/>
      <c r="L6" s="1753"/>
      <c r="M6" s="1753"/>
      <c r="N6" s="1753"/>
      <c r="O6" s="1753"/>
      <c r="P6" s="1753"/>
      <c r="Q6" s="1753"/>
      <c r="R6" s="1753"/>
    </row>
    <row r="9" spans="6:18" ht="13.5" thickBot="1">
      <c r="F9" s="925"/>
      <c r="J9" s="925"/>
      <c r="N9" s="925"/>
      <c r="R9" s="925" t="s">
        <v>214</v>
      </c>
    </row>
    <row r="10" spans="1:18" ht="12.75">
      <c r="A10" s="1994" t="s">
        <v>717</v>
      </c>
      <c r="B10" s="2007"/>
      <c r="C10" s="2000" t="s">
        <v>528</v>
      </c>
      <c r="D10" s="1998"/>
      <c r="E10" s="1998"/>
      <c r="F10" s="1999"/>
      <c r="G10" s="2000" t="s">
        <v>1139</v>
      </c>
      <c r="H10" s="1998"/>
      <c r="I10" s="1998"/>
      <c r="J10" s="1999"/>
      <c r="K10" s="2000" t="s">
        <v>1141</v>
      </c>
      <c r="L10" s="1998"/>
      <c r="M10" s="1998"/>
      <c r="N10" s="1999"/>
      <c r="O10" s="2000" t="s">
        <v>1164</v>
      </c>
      <c r="P10" s="1998"/>
      <c r="Q10" s="1998"/>
      <c r="R10" s="1999"/>
    </row>
    <row r="11" spans="1:18" s="4" customFormat="1" ht="26.25" customHeight="1" thickBot="1">
      <c r="A11" s="1996"/>
      <c r="B11" s="2008"/>
      <c r="C11" s="1277" t="s">
        <v>718</v>
      </c>
      <c r="D11" s="812" t="s">
        <v>719</v>
      </c>
      <c r="E11" s="812" t="s">
        <v>720</v>
      </c>
      <c r="F11" s="813" t="s">
        <v>25</v>
      </c>
      <c r="G11" s="1277" t="s">
        <v>718</v>
      </c>
      <c r="H11" s="812" t="s">
        <v>719</v>
      </c>
      <c r="I11" s="812" t="s">
        <v>720</v>
      </c>
      <c r="J11" s="813" t="s">
        <v>25</v>
      </c>
      <c r="K11" s="1277" t="s">
        <v>718</v>
      </c>
      <c r="L11" s="812" t="s">
        <v>719</v>
      </c>
      <c r="M11" s="812" t="s">
        <v>720</v>
      </c>
      <c r="N11" s="813" t="s">
        <v>25</v>
      </c>
      <c r="O11" s="1277" t="s">
        <v>718</v>
      </c>
      <c r="P11" s="812" t="s">
        <v>719</v>
      </c>
      <c r="Q11" s="812" t="s">
        <v>720</v>
      </c>
      <c r="R11" s="813" t="s">
        <v>25</v>
      </c>
    </row>
    <row r="12" spans="1:18" s="10" customFormat="1" ht="13.5" thickBot="1">
      <c r="A12" s="806" t="s">
        <v>164</v>
      </c>
      <c r="B12" s="1495" t="s">
        <v>722</v>
      </c>
      <c r="C12" s="1329">
        <f>SUM(C13:C15)</f>
        <v>0</v>
      </c>
      <c r="D12" s="792">
        <f>SUM(D13:D16)</f>
        <v>1212000</v>
      </c>
      <c r="E12" s="792">
        <f>SUM(E13:E16)</f>
        <v>0</v>
      </c>
      <c r="F12" s="793">
        <f>SUM(F13:F16)</f>
        <v>1212000</v>
      </c>
      <c r="G12" s="1329">
        <f>SUM(G13:G15)</f>
        <v>0</v>
      </c>
      <c r="H12" s="792">
        <f>SUM(H13:H16)</f>
        <v>1212000</v>
      </c>
      <c r="I12" s="792">
        <f>SUM(I13:I16)</f>
        <v>0</v>
      </c>
      <c r="J12" s="793">
        <f>SUM(J13:J16)</f>
        <v>1212000</v>
      </c>
      <c r="K12" s="1329">
        <f>SUM(K13:K15)</f>
        <v>0</v>
      </c>
      <c r="L12" s="792">
        <f>SUM(L13:L17)</f>
        <v>1212003</v>
      </c>
      <c r="M12" s="792">
        <f>SUM(M13:M17)</f>
        <v>0</v>
      </c>
      <c r="N12" s="792">
        <f>SUM(N13:N17)</f>
        <v>1212003</v>
      </c>
      <c r="O12" s="1329">
        <f>SUM(O13:O15)</f>
        <v>0</v>
      </c>
      <c r="P12" s="792">
        <f>SUM(P13:P17)</f>
        <v>1515227</v>
      </c>
      <c r="Q12" s="792">
        <f>SUM(Q13:Q17)</f>
        <v>0</v>
      </c>
      <c r="R12" s="792">
        <f>SUM(R13:R17)</f>
        <v>1515227</v>
      </c>
    </row>
    <row r="13" spans="1:18" s="122" customFormat="1" ht="12.75">
      <c r="A13" s="1486"/>
      <c r="B13" s="1496" t="s">
        <v>740</v>
      </c>
      <c r="C13" s="1330"/>
      <c r="D13" s="796">
        <f>SUM('17. Hivatal'!F11)</f>
        <v>212000</v>
      </c>
      <c r="E13" s="796"/>
      <c r="F13" s="1331">
        <f>SUM(C13:E13)</f>
        <v>212000</v>
      </c>
      <c r="G13" s="1330"/>
      <c r="H13" s="796">
        <v>212000</v>
      </c>
      <c r="I13" s="796"/>
      <c r="J13" s="1331">
        <f>SUM(G13:I13)</f>
        <v>212000</v>
      </c>
      <c r="K13" s="1330"/>
      <c r="L13" s="796">
        <v>212000</v>
      </c>
      <c r="M13" s="796"/>
      <c r="N13" s="1331">
        <f>SUM(K13:M13)</f>
        <v>212000</v>
      </c>
      <c r="O13" s="1330"/>
      <c r="P13" s="796">
        <v>212000</v>
      </c>
      <c r="Q13" s="796"/>
      <c r="R13" s="1331">
        <f>SUM(O13:Q13)</f>
        <v>212000</v>
      </c>
    </row>
    <row r="14" spans="1:18" s="122" customFormat="1" ht="25.5">
      <c r="A14" s="880"/>
      <c r="B14" s="1496" t="s">
        <v>745</v>
      </c>
      <c r="C14" s="1332"/>
      <c r="D14" s="796">
        <f>SUM('17. Hivatal'!F12)</f>
        <v>780000</v>
      </c>
      <c r="E14" s="790"/>
      <c r="F14" s="1333">
        <f>SUM(C14:E14)</f>
        <v>780000</v>
      </c>
      <c r="G14" s="1332"/>
      <c r="H14" s="796">
        <v>780000</v>
      </c>
      <c r="I14" s="790"/>
      <c r="J14" s="1333">
        <f>SUM(G14:I14)</f>
        <v>780000</v>
      </c>
      <c r="K14" s="1332"/>
      <c r="L14" s="796">
        <v>780000</v>
      </c>
      <c r="M14" s="790"/>
      <c r="N14" s="1333">
        <f>SUM(K14:M14)</f>
        <v>780000</v>
      </c>
      <c r="O14" s="1332"/>
      <c r="P14" s="796">
        <v>1003215</v>
      </c>
      <c r="Q14" s="790"/>
      <c r="R14" s="1333">
        <f>SUM(O14:Q14)</f>
        <v>1003215</v>
      </c>
    </row>
    <row r="15" spans="1:18" s="122" customFormat="1" ht="25.5">
      <c r="A15" s="880"/>
      <c r="B15" s="1496" t="s">
        <v>725</v>
      </c>
      <c r="C15" s="1332"/>
      <c r="D15" s="796">
        <f>SUM('17. Hivatal'!F13)</f>
        <v>220000</v>
      </c>
      <c r="E15" s="790"/>
      <c r="F15" s="1333">
        <f>SUM(C15:E15)</f>
        <v>220000</v>
      </c>
      <c r="G15" s="1332"/>
      <c r="H15" s="796">
        <v>220000</v>
      </c>
      <c r="I15" s="790"/>
      <c r="J15" s="1333">
        <f>SUM(G15:I15)</f>
        <v>220000</v>
      </c>
      <c r="K15" s="1332"/>
      <c r="L15" s="796">
        <v>220000</v>
      </c>
      <c r="M15" s="790"/>
      <c r="N15" s="1333">
        <f>SUM(K15:M15)</f>
        <v>220000</v>
      </c>
      <c r="O15" s="1332"/>
      <c r="P15" s="796">
        <v>300000</v>
      </c>
      <c r="Q15" s="790"/>
      <c r="R15" s="1333">
        <f>SUM(O15:Q15)</f>
        <v>300000</v>
      </c>
    </row>
    <row r="16" spans="1:18" s="122" customFormat="1" ht="25.5">
      <c r="A16" s="880"/>
      <c r="B16" s="1496" t="s">
        <v>726</v>
      </c>
      <c r="C16" s="1332"/>
      <c r="D16" s="790"/>
      <c r="E16" s="790"/>
      <c r="F16" s="1333"/>
      <c r="G16" s="1332"/>
      <c r="H16" s="790"/>
      <c r="I16" s="790"/>
      <c r="J16" s="1333"/>
      <c r="K16" s="1332"/>
      <c r="L16" s="790"/>
      <c r="M16" s="790"/>
      <c r="N16" s="1333">
        <f>SUM(K16:M16)</f>
        <v>0</v>
      </c>
      <c r="O16" s="1332"/>
      <c r="P16" s="790"/>
      <c r="Q16" s="790"/>
      <c r="R16" s="1333">
        <f>SUM(O16:Q16)</f>
        <v>0</v>
      </c>
    </row>
    <row r="17" spans="1:18" s="122" customFormat="1" ht="13.5" thickBot="1">
      <c r="A17" s="1628"/>
      <c r="B17" s="1629" t="s">
        <v>181</v>
      </c>
      <c r="C17" s="1342"/>
      <c r="D17" s="821"/>
      <c r="E17" s="821"/>
      <c r="F17" s="1464"/>
      <c r="G17" s="1342"/>
      <c r="H17" s="821"/>
      <c r="I17" s="821"/>
      <c r="J17" s="1464"/>
      <c r="K17" s="1342"/>
      <c r="L17" s="821">
        <v>3</v>
      </c>
      <c r="M17" s="821"/>
      <c r="N17" s="1627">
        <f>SUM(K17:M17)</f>
        <v>3</v>
      </c>
      <c r="O17" s="1342"/>
      <c r="P17" s="821">
        <v>12</v>
      </c>
      <c r="Q17" s="821"/>
      <c r="R17" s="1627">
        <f>SUM(O17:Q17)</f>
        <v>12</v>
      </c>
    </row>
    <row r="18" spans="1:18" s="10" customFormat="1" ht="26.25" thickBot="1">
      <c r="A18" s="806" t="s">
        <v>166</v>
      </c>
      <c r="B18" s="783" t="s">
        <v>1172</v>
      </c>
      <c r="C18" s="1634"/>
      <c r="D18" s="792"/>
      <c r="E18" s="792"/>
      <c r="F18" s="793"/>
      <c r="G18" s="1635"/>
      <c r="H18" s="792"/>
      <c r="I18" s="792"/>
      <c r="J18" s="793"/>
      <c r="K18" s="1634"/>
      <c r="L18" s="792"/>
      <c r="M18" s="792"/>
      <c r="N18" s="793"/>
      <c r="O18" s="1634"/>
      <c r="P18" s="792"/>
      <c r="Q18" s="792">
        <v>1156271</v>
      </c>
      <c r="R18" s="793">
        <f>SUM(Q18)</f>
        <v>1156271</v>
      </c>
    </row>
    <row r="19" spans="1:18" s="554" customFormat="1" ht="16.5" thickBot="1">
      <c r="A19" s="2009" t="s">
        <v>485</v>
      </c>
      <c r="B19" s="2010"/>
      <c r="C19" s="1630">
        <f aca="true" t="shared" si="0" ref="C19:J19">SUM(C12)</f>
        <v>0</v>
      </c>
      <c r="D19" s="1631">
        <f t="shared" si="0"/>
        <v>1212000</v>
      </c>
      <c r="E19" s="1631">
        <f t="shared" si="0"/>
        <v>0</v>
      </c>
      <c r="F19" s="1632">
        <f t="shared" si="0"/>
        <v>1212000</v>
      </c>
      <c r="G19" s="1630">
        <f t="shared" si="0"/>
        <v>0</v>
      </c>
      <c r="H19" s="1631">
        <f t="shared" si="0"/>
        <v>1212000</v>
      </c>
      <c r="I19" s="1631">
        <f t="shared" si="0"/>
        <v>0</v>
      </c>
      <c r="J19" s="1632">
        <f t="shared" si="0"/>
        <v>1212000</v>
      </c>
      <c r="K19" s="1633">
        <f aca="true" t="shared" si="1" ref="K19:P19">SUM(K12)</f>
        <v>0</v>
      </c>
      <c r="L19" s="1631">
        <f t="shared" si="1"/>
        <v>1212003</v>
      </c>
      <c r="M19" s="1631">
        <f t="shared" si="1"/>
        <v>0</v>
      </c>
      <c r="N19" s="1632">
        <f t="shared" si="1"/>
        <v>1212003</v>
      </c>
      <c r="O19" s="1633">
        <f t="shared" si="1"/>
        <v>0</v>
      </c>
      <c r="P19" s="1631">
        <f t="shared" si="1"/>
        <v>1515227</v>
      </c>
      <c r="Q19" s="1631">
        <f>SUM(Q18)</f>
        <v>1156271</v>
      </c>
      <c r="R19" s="1632">
        <f>SUM(R12)+R18</f>
        <v>2671498</v>
      </c>
    </row>
    <row r="20" spans="1:18" ht="25.5">
      <c r="A20" s="1487"/>
      <c r="B20" s="1496" t="s">
        <v>729</v>
      </c>
      <c r="C20" s="1492">
        <f>SUM('17. Hivatal'!F19)</f>
        <v>267350</v>
      </c>
      <c r="D20" s="1493"/>
      <c r="E20" s="1493"/>
      <c r="F20" s="1494">
        <f>SUM(C20:E20)</f>
        <v>267350</v>
      </c>
      <c r="G20" s="1306">
        <v>267350</v>
      </c>
      <c r="H20" s="801"/>
      <c r="I20" s="801"/>
      <c r="J20" s="1307">
        <f>SUM(G20:I20)</f>
        <v>267350</v>
      </c>
      <c r="K20" s="1306">
        <v>267350</v>
      </c>
      <c r="L20" s="801"/>
      <c r="M20" s="801"/>
      <c r="N20" s="1307">
        <f>SUM(K20:M20)</f>
        <v>267350</v>
      </c>
      <c r="O20" s="1306">
        <v>267350</v>
      </c>
      <c r="P20" s="801"/>
      <c r="Q20" s="801"/>
      <c r="R20" s="1307">
        <f>SUM(O20:Q20)</f>
        <v>267350</v>
      </c>
    </row>
    <row r="21" spans="1:18" ht="12.75">
      <c r="A21" s="1315"/>
      <c r="B21" s="1497" t="s">
        <v>730</v>
      </c>
      <c r="C21" s="1308">
        <f aca="true" t="shared" si="2" ref="C21:J21">SUM(C20)</f>
        <v>267350</v>
      </c>
      <c r="D21" s="648">
        <f t="shared" si="2"/>
        <v>0</v>
      </c>
      <c r="E21" s="648">
        <f t="shared" si="2"/>
        <v>0</v>
      </c>
      <c r="F21" s="1343">
        <f t="shared" si="2"/>
        <v>267350</v>
      </c>
      <c r="G21" s="1308">
        <f t="shared" si="2"/>
        <v>267350</v>
      </c>
      <c r="H21" s="648">
        <f t="shared" si="2"/>
        <v>0</v>
      </c>
      <c r="I21" s="648">
        <f t="shared" si="2"/>
        <v>0</v>
      </c>
      <c r="J21" s="1343">
        <f t="shared" si="2"/>
        <v>267350</v>
      </c>
      <c r="K21" s="1308">
        <f aca="true" t="shared" si="3" ref="K21:R21">SUM(K20)</f>
        <v>267350</v>
      </c>
      <c r="L21" s="648">
        <f t="shared" si="3"/>
        <v>0</v>
      </c>
      <c r="M21" s="648">
        <f t="shared" si="3"/>
        <v>0</v>
      </c>
      <c r="N21" s="1343">
        <f t="shared" si="3"/>
        <v>267350</v>
      </c>
      <c r="O21" s="1308">
        <f t="shared" si="3"/>
        <v>267350</v>
      </c>
      <c r="P21" s="648">
        <f t="shared" si="3"/>
        <v>0</v>
      </c>
      <c r="Q21" s="648">
        <f t="shared" si="3"/>
        <v>0</v>
      </c>
      <c r="R21" s="1343">
        <f t="shared" si="3"/>
        <v>267350</v>
      </c>
    </row>
    <row r="22" spans="1:18" ht="26.25" thickBot="1">
      <c r="A22" s="1488"/>
      <c r="B22" s="1498" t="s">
        <v>731</v>
      </c>
      <c r="C22" s="1309">
        <f>SUM('17. Hivatal'!F20)</f>
        <v>87468794</v>
      </c>
      <c r="D22" s="802"/>
      <c r="E22" s="802"/>
      <c r="F22" s="1307">
        <f>SUM(C22:E22)</f>
        <v>87468794</v>
      </c>
      <c r="G22" s="1309">
        <v>87468794</v>
      </c>
      <c r="H22" s="802"/>
      <c r="I22" s="802"/>
      <c r="J22" s="1307">
        <f>SUM(G22:I22)</f>
        <v>87468794</v>
      </c>
      <c r="K22" s="1309">
        <v>94927994</v>
      </c>
      <c r="L22" s="802"/>
      <c r="M22" s="802"/>
      <c r="N22" s="1307">
        <f>SUM(K22:M22)</f>
        <v>94927994</v>
      </c>
      <c r="O22" s="1309">
        <v>94927994</v>
      </c>
      <c r="P22" s="802"/>
      <c r="Q22" s="802"/>
      <c r="R22" s="1307">
        <f>SUM(O22:Q22)</f>
        <v>94927994</v>
      </c>
    </row>
    <row r="23" spans="1:18" ht="16.5" thickBot="1">
      <c r="A23" s="787"/>
      <c r="B23" s="1499" t="s">
        <v>732</v>
      </c>
      <c r="C23" s="1310">
        <f aca="true" t="shared" si="4" ref="C23:J23">SUM(C21:C22)</f>
        <v>87736144</v>
      </c>
      <c r="D23" s="803">
        <f t="shared" si="4"/>
        <v>0</v>
      </c>
      <c r="E23" s="803">
        <f t="shared" si="4"/>
        <v>0</v>
      </c>
      <c r="F23" s="1311">
        <f t="shared" si="4"/>
        <v>87736144</v>
      </c>
      <c r="G23" s="1310">
        <f t="shared" si="4"/>
        <v>87736144</v>
      </c>
      <c r="H23" s="803">
        <f t="shared" si="4"/>
        <v>0</v>
      </c>
      <c r="I23" s="803">
        <f t="shared" si="4"/>
        <v>0</v>
      </c>
      <c r="J23" s="1311">
        <f t="shared" si="4"/>
        <v>87736144</v>
      </c>
      <c r="K23" s="1310">
        <f aca="true" t="shared" si="5" ref="K23:R23">SUM(K21:K22)</f>
        <v>95195344</v>
      </c>
      <c r="L23" s="803">
        <f t="shared" si="5"/>
        <v>0</v>
      </c>
      <c r="M23" s="803">
        <f t="shared" si="5"/>
        <v>0</v>
      </c>
      <c r="N23" s="1311">
        <f t="shared" si="5"/>
        <v>95195344</v>
      </c>
      <c r="O23" s="1310">
        <f t="shared" si="5"/>
        <v>95195344</v>
      </c>
      <c r="P23" s="803">
        <f t="shared" si="5"/>
        <v>0</v>
      </c>
      <c r="Q23" s="803">
        <f t="shared" si="5"/>
        <v>0</v>
      </c>
      <c r="R23" s="1311">
        <f t="shared" si="5"/>
        <v>95195344</v>
      </c>
    </row>
    <row r="24" spans="1:18" ht="16.5" thickBot="1">
      <c r="A24" s="1992" t="s">
        <v>157</v>
      </c>
      <c r="B24" s="2006"/>
      <c r="C24" s="1312">
        <f aca="true" t="shared" si="6" ref="C24:J24">SUM(C19+C23)</f>
        <v>87736144</v>
      </c>
      <c r="D24" s="804">
        <f t="shared" si="6"/>
        <v>1212000</v>
      </c>
      <c r="E24" s="804">
        <f t="shared" si="6"/>
        <v>0</v>
      </c>
      <c r="F24" s="805">
        <f t="shared" si="6"/>
        <v>88948144</v>
      </c>
      <c r="G24" s="1312">
        <f t="shared" si="6"/>
        <v>87736144</v>
      </c>
      <c r="H24" s="804">
        <f t="shared" si="6"/>
        <v>1212000</v>
      </c>
      <c r="I24" s="804">
        <f t="shared" si="6"/>
        <v>0</v>
      </c>
      <c r="J24" s="805">
        <f t="shared" si="6"/>
        <v>88948144</v>
      </c>
      <c r="K24" s="1312">
        <f aca="true" t="shared" si="7" ref="K24:R24">SUM(K19+K23)</f>
        <v>95195344</v>
      </c>
      <c r="L24" s="804">
        <f t="shared" si="7"/>
        <v>1212003</v>
      </c>
      <c r="M24" s="804">
        <f t="shared" si="7"/>
        <v>0</v>
      </c>
      <c r="N24" s="805">
        <f t="shared" si="7"/>
        <v>96407347</v>
      </c>
      <c r="O24" s="1312">
        <f t="shared" si="7"/>
        <v>95195344</v>
      </c>
      <c r="P24" s="804">
        <f t="shared" si="7"/>
        <v>1515227</v>
      </c>
      <c r="Q24" s="804">
        <f t="shared" si="7"/>
        <v>1156271</v>
      </c>
      <c r="R24" s="805">
        <f t="shared" si="7"/>
        <v>97866842</v>
      </c>
    </row>
    <row r="25" spans="1:18" ht="12.75">
      <c r="A25" s="1489" t="s">
        <v>164</v>
      </c>
      <c r="B25" s="1497" t="s">
        <v>735</v>
      </c>
      <c r="C25" s="1334">
        <f>SUM('17. Hivatal'!F47)</f>
        <v>65148670</v>
      </c>
      <c r="D25" s="464"/>
      <c r="E25" s="780"/>
      <c r="F25" s="465">
        <f>SUM(C25:E25)</f>
        <v>65148670</v>
      </c>
      <c r="G25" s="1334">
        <v>65148670</v>
      </c>
      <c r="H25" s="464"/>
      <c r="I25" s="780"/>
      <c r="J25" s="465">
        <f>SUM(G25:I25)</f>
        <v>65148670</v>
      </c>
      <c r="K25" s="1334">
        <v>71022056</v>
      </c>
      <c r="L25" s="464"/>
      <c r="M25" s="780"/>
      <c r="N25" s="465">
        <f>SUM(K25:M25)</f>
        <v>71022056</v>
      </c>
      <c r="O25" s="1334">
        <v>71390678</v>
      </c>
      <c r="P25" s="464"/>
      <c r="Q25" s="780">
        <v>798787</v>
      </c>
      <c r="R25" s="465">
        <f>SUM(O25:Q25)</f>
        <v>72189465</v>
      </c>
    </row>
    <row r="26" spans="1:18" ht="25.5">
      <c r="A26" s="1490" t="s">
        <v>166</v>
      </c>
      <c r="B26" s="1497" t="s">
        <v>736</v>
      </c>
      <c r="C26" s="1334">
        <f>SUM('17. Hivatal'!F48)</f>
        <v>12590474</v>
      </c>
      <c r="D26" s="438"/>
      <c r="E26" s="423"/>
      <c r="F26" s="465">
        <f>SUM(C26:E26)</f>
        <v>12590474</v>
      </c>
      <c r="G26" s="1334">
        <v>12590474</v>
      </c>
      <c r="H26" s="438"/>
      <c r="I26" s="423"/>
      <c r="J26" s="465">
        <f>SUM(G26:I26)</f>
        <v>12590474</v>
      </c>
      <c r="K26" s="1334">
        <v>14176288</v>
      </c>
      <c r="L26" s="438"/>
      <c r="M26" s="423"/>
      <c r="N26" s="465">
        <f>SUM(K26:M26)</f>
        <v>14176288</v>
      </c>
      <c r="O26" s="1334">
        <v>13807666</v>
      </c>
      <c r="P26" s="438"/>
      <c r="Q26" s="423">
        <v>192545</v>
      </c>
      <c r="R26" s="465">
        <f>SUM(O26:Q26)</f>
        <v>14000211</v>
      </c>
    </row>
    <row r="27" spans="1:18" s="10" customFormat="1" ht="12.75">
      <c r="A27" s="1490" t="s">
        <v>173</v>
      </c>
      <c r="B27" s="1500" t="s">
        <v>737</v>
      </c>
      <c r="C27" s="1334">
        <v>9997000</v>
      </c>
      <c r="D27" s="438">
        <v>712000</v>
      </c>
      <c r="E27" s="438"/>
      <c r="F27" s="465">
        <f>SUM(C27:E27)</f>
        <v>10709000</v>
      </c>
      <c r="G27" s="1334">
        <v>9997000</v>
      </c>
      <c r="H27" s="438">
        <v>712000</v>
      </c>
      <c r="I27" s="438"/>
      <c r="J27" s="465">
        <f>SUM(G27:I27)</f>
        <v>10709000</v>
      </c>
      <c r="K27" s="1334">
        <v>9997000</v>
      </c>
      <c r="L27" s="438">
        <v>712003</v>
      </c>
      <c r="M27" s="438"/>
      <c r="N27" s="465">
        <f>SUM(K27:M27)</f>
        <v>10709003</v>
      </c>
      <c r="O27" s="1334">
        <v>9997000</v>
      </c>
      <c r="P27" s="438">
        <v>790437</v>
      </c>
      <c r="Q27" s="438">
        <v>164939</v>
      </c>
      <c r="R27" s="465">
        <f>SUM(O27:Q27)</f>
        <v>10952376</v>
      </c>
    </row>
    <row r="28" spans="1:18" s="10" customFormat="1" ht="12.75">
      <c r="A28" s="1490" t="s">
        <v>182</v>
      </c>
      <c r="B28" s="1500" t="s">
        <v>738</v>
      </c>
      <c r="C28" s="1335"/>
      <c r="D28" s="814">
        <v>500000</v>
      </c>
      <c r="E28" s="814"/>
      <c r="F28" s="465">
        <f>SUM(C28:E28)</f>
        <v>500000</v>
      </c>
      <c r="G28" s="1335"/>
      <c r="H28" s="814">
        <v>500000</v>
      </c>
      <c r="I28" s="814"/>
      <c r="J28" s="465">
        <f>SUM(G28:I28)</f>
        <v>500000</v>
      </c>
      <c r="K28" s="1335"/>
      <c r="L28" s="814">
        <v>500000</v>
      </c>
      <c r="M28" s="814"/>
      <c r="N28" s="465">
        <f>SUM(K28:M28)</f>
        <v>500000</v>
      </c>
      <c r="O28" s="1335"/>
      <c r="P28" s="814">
        <v>724790</v>
      </c>
      <c r="Q28" s="814"/>
      <c r="R28" s="465">
        <f>SUM(O28:Q28)</f>
        <v>724790</v>
      </c>
    </row>
    <row r="29" spans="1:18" s="122" customFormat="1" ht="12.75">
      <c r="A29" s="1316"/>
      <c r="B29" s="1337" t="s">
        <v>132</v>
      </c>
      <c r="C29" s="1336"/>
      <c r="D29" s="822">
        <v>500000</v>
      </c>
      <c r="E29" s="822"/>
      <c r="F29" s="1344"/>
      <c r="G29" s="1336"/>
      <c r="H29" s="822">
        <v>500000</v>
      </c>
      <c r="I29" s="822"/>
      <c r="J29" s="1344"/>
      <c r="K29" s="1336"/>
      <c r="L29" s="822">
        <v>500000</v>
      </c>
      <c r="M29" s="822"/>
      <c r="N29" s="1344"/>
      <c r="O29" s="1336"/>
      <c r="P29" s="822">
        <v>724790</v>
      </c>
      <c r="Q29" s="822"/>
      <c r="R29" s="1344"/>
    </row>
    <row r="30" spans="1:18" s="122" customFormat="1" ht="13.5" thickBot="1">
      <c r="A30" s="1338"/>
      <c r="B30" s="1339" t="s">
        <v>134</v>
      </c>
      <c r="C30" s="1338"/>
      <c r="D30" s="823"/>
      <c r="E30" s="823"/>
      <c r="F30" s="1345"/>
      <c r="G30" s="1338"/>
      <c r="H30" s="823"/>
      <c r="I30" s="823"/>
      <c r="J30" s="1345"/>
      <c r="K30" s="1338"/>
      <c r="L30" s="823"/>
      <c r="M30" s="823"/>
      <c r="N30" s="1345"/>
      <c r="O30" s="1338"/>
      <c r="P30" s="823"/>
      <c r="Q30" s="823"/>
      <c r="R30" s="1345"/>
    </row>
    <row r="31" spans="1:18" ht="16.5" thickBot="1">
      <c r="A31" s="815"/>
      <c r="B31" s="1501" t="s">
        <v>739</v>
      </c>
      <c r="C31" s="1322">
        <f aca="true" t="shared" si="8" ref="C31:J31">SUM(C25:C28)</f>
        <v>87736144</v>
      </c>
      <c r="D31" s="817">
        <f t="shared" si="8"/>
        <v>1212000</v>
      </c>
      <c r="E31" s="817">
        <f t="shared" si="8"/>
        <v>0</v>
      </c>
      <c r="F31" s="818">
        <f t="shared" si="8"/>
        <v>88948144</v>
      </c>
      <c r="G31" s="1322">
        <f t="shared" si="8"/>
        <v>87736144</v>
      </c>
      <c r="H31" s="817">
        <f t="shared" si="8"/>
        <v>1212000</v>
      </c>
      <c r="I31" s="817">
        <f t="shared" si="8"/>
        <v>0</v>
      </c>
      <c r="J31" s="818">
        <f t="shared" si="8"/>
        <v>88948144</v>
      </c>
      <c r="K31" s="1322">
        <f aca="true" t="shared" si="9" ref="K31:R31">SUM(K25:K28)</f>
        <v>95195344</v>
      </c>
      <c r="L31" s="817">
        <f t="shared" si="9"/>
        <v>1212003</v>
      </c>
      <c r="M31" s="817">
        <f t="shared" si="9"/>
        <v>0</v>
      </c>
      <c r="N31" s="818">
        <f t="shared" si="9"/>
        <v>96407347</v>
      </c>
      <c r="O31" s="1322">
        <f t="shared" si="9"/>
        <v>95195344</v>
      </c>
      <c r="P31" s="817">
        <f t="shared" si="9"/>
        <v>1515227</v>
      </c>
      <c r="Q31" s="817">
        <f t="shared" si="9"/>
        <v>1156271</v>
      </c>
      <c r="R31" s="818">
        <f t="shared" si="9"/>
        <v>97866842</v>
      </c>
    </row>
  </sheetData>
  <sheetProtection/>
  <mergeCells count="11">
    <mergeCell ref="G3:K3"/>
    <mergeCell ref="A2:R2"/>
    <mergeCell ref="A1:R1"/>
    <mergeCell ref="K10:N10"/>
    <mergeCell ref="G10:J10"/>
    <mergeCell ref="A24:B24"/>
    <mergeCell ref="A10:B11"/>
    <mergeCell ref="C10:F10"/>
    <mergeCell ref="A19:B19"/>
    <mergeCell ref="O10:R10"/>
    <mergeCell ref="A6:R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R32"/>
  <sheetViews>
    <sheetView showGridLines="0" zoomScalePageLayoutView="0" workbookViewId="0" topLeftCell="J1">
      <selection activeCell="P17" sqref="P17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6.57421875" style="0" customWidth="1"/>
    <col min="4" max="4" width="16.7109375" style="0" customWidth="1"/>
    <col min="5" max="5" width="14.140625" style="0" customWidth="1"/>
    <col min="6" max="6" width="17.28125" style="0" customWidth="1"/>
    <col min="7" max="7" width="16.57421875" style="0" customWidth="1"/>
    <col min="8" max="8" width="16.7109375" style="0" customWidth="1"/>
    <col min="9" max="9" width="14.140625" style="0" customWidth="1"/>
    <col min="10" max="10" width="17.28125" style="0" customWidth="1"/>
    <col min="11" max="11" width="16.57421875" style="0" customWidth="1"/>
    <col min="12" max="12" width="16.7109375" style="0" customWidth="1"/>
    <col min="13" max="13" width="14.140625" style="0" customWidth="1"/>
    <col min="14" max="14" width="17.28125" style="0" customWidth="1"/>
    <col min="15" max="15" width="16.57421875" style="0" customWidth="1"/>
    <col min="16" max="16" width="16.7109375" style="0" customWidth="1"/>
    <col min="17" max="17" width="14.140625" style="0" customWidth="1"/>
    <col min="18" max="18" width="17.28125" style="0" customWidth="1"/>
  </cols>
  <sheetData>
    <row r="1" spans="1:18" ht="15">
      <c r="A1" s="1991" t="s">
        <v>747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  <c r="M1" s="1991"/>
      <c r="N1" s="1991"/>
      <c r="O1" s="1991"/>
      <c r="P1" s="1991"/>
      <c r="Q1" s="1991"/>
      <c r="R1" s="1991"/>
    </row>
    <row r="2" spans="1:18" ht="12.75">
      <c r="A2" s="1761" t="s">
        <v>1181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  <c r="P2" s="1761"/>
      <c r="Q2" s="1761"/>
      <c r="R2" s="1761"/>
    </row>
    <row r="3" spans="1:18" ht="12.75">
      <c r="A3" s="774"/>
      <c r="B3" s="774"/>
      <c r="C3" s="774"/>
      <c r="D3" s="774"/>
      <c r="E3" s="774"/>
      <c r="F3" s="774"/>
      <c r="G3" s="774"/>
      <c r="H3" s="1761" t="s">
        <v>1183</v>
      </c>
      <c r="I3" s="1761"/>
      <c r="J3" s="1761"/>
      <c r="K3" s="774"/>
      <c r="L3" s="774"/>
      <c r="M3" s="774"/>
      <c r="N3" s="774"/>
      <c r="O3" s="774"/>
      <c r="P3" s="774"/>
      <c r="Q3" s="774"/>
      <c r="R3" s="774" t="s">
        <v>1192</v>
      </c>
    </row>
    <row r="4" spans="1:18" ht="12.75">
      <c r="A4" s="774"/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</row>
    <row r="5" spans="1:18" ht="12.75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</row>
    <row r="6" spans="1:18" ht="29.25" customHeight="1">
      <c r="A6" s="2001" t="s">
        <v>746</v>
      </c>
      <c r="B6" s="2001"/>
      <c r="C6" s="2001"/>
      <c r="D6" s="2001"/>
      <c r="E6" s="2001"/>
      <c r="F6" s="2001"/>
      <c r="G6" s="2001"/>
      <c r="H6" s="2001"/>
      <c r="I6" s="2001"/>
      <c r="J6" s="2001"/>
      <c r="K6" s="2001"/>
      <c r="L6" s="2001"/>
      <c r="M6" s="2001"/>
      <c r="N6" s="2001"/>
      <c r="O6" s="2001"/>
      <c r="P6" s="2001"/>
      <c r="Q6" s="2001"/>
      <c r="R6" s="2001"/>
    </row>
    <row r="9" spans="6:18" ht="13.5" thickBot="1">
      <c r="F9" s="925"/>
      <c r="J9" s="925"/>
      <c r="N9" s="925"/>
      <c r="R9" s="925" t="s">
        <v>214</v>
      </c>
    </row>
    <row r="10" spans="1:18" ht="12.75">
      <c r="A10" s="1994" t="s">
        <v>717</v>
      </c>
      <c r="B10" s="1995"/>
      <c r="C10" s="1998" t="s">
        <v>528</v>
      </c>
      <c r="D10" s="1998"/>
      <c r="E10" s="1998"/>
      <c r="F10" s="2003"/>
      <c r="G10" s="2000" t="s">
        <v>1139</v>
      </c>
      <c r="H10" s="1998"/>
      <c r="I10" s="1998"/>
      <c r="J10" s="1999"/>
      <c r="K10" s="2000" t="s">
        <v>1141</v>
      </c>
      <c r="L10" s="1998"/>
      <c r="M10" s="1998"/>
      <c r="N10" s="1999"/>
      <c r="O10" s="2000" t="s">
        <v>1164</v>
      </c>
      <c r="P10" s="1998"/>
      <c r="Q10" s="1998"/>
      <c r="R10" s="1999"/>
    </row>
    <row r="11" spans="1:18" s="4" customFormat="1" ht="26.25" customHeight="1" thickBot="1">
      <c r="A11" s="1996"/>
      <c r="B11" s="1997"/>
      <c r="C11" s="812" t="s">
        <v>718</v>
      </c>
      <c r="D11" s="779" t="s">
        <v>719</v>
      </c>
      <c r="E11" s="779" t="s">
        <v>720</v>
      </c>
      <c r="F11" s="1279" t="s">
        <v>25</v>
      </c>
      <c r="G11" s="1277" t="s">
        <v>718</v>
      </c>
      <c r="H11" s="779" t="s">
        <v>719</v>
      </c>
      <c r="I11" s="779" t="s">
        <v>720</v>
      </c>
      <c r="J11" s="826" t="s">
        <v>25</v>
      </c>
      <c r="K11" s="1277" t="s">
        <v>718</v>
      </c>
      <c r="L11" s="779" t="s">
        <v>719</v>
      </c>
      <c r="M11" s="779" t="s">
        <v>720</v>
      </c>
      <c r="N11" s="826" t="s">
        <v>25</v>
      </c>
      <c r="O11" s="1277" t="s">
        <v>718</v>
      </c>
      <c r="P11" s="779" t="s">
        <v>719</v>
      </c>
      <c r="Q11" s="779" t="s">
        <v>720</v>
      </c>
      <c r="R11" s="826" t="s">
        <v>25</v>
      </c>
    </row>
    <row r="12" spans="1:18" s="4" customFormat="1" ht="26.25" customHeight="1" thickBot="1">
      <c r="A12" s="900" t="s">
        <v>164</v>
      </c>
      <c r="B12" s="982" t="s">
        <v>800</v>
      </c>
      <c r="C12" s="983">
        <v>0</v>
      </c>
      <c r="D12" s="901">
        <v>0</v>
      </c>
      <c r="E12" s="902">
        <v>0</v>
      </c>
      <c r="F12" s="1323">
        <v>0</v>
      </c>
      <c r="G12" s="983">
        <v>0</v>
      </c>
      <c r="H12" s="901">
        <v>0</v>
      </c>
      <c r="I12" s="902">
        <v>0</v>
      </c>
      <c r="J12" s="984">
        <v>0</v>
      </c>
      <c r="K12" s="983">
        <v>0</v>
      </c>
      <c r="L12" s="901">
        <v>0</v>
      </c>
      <c r="M12" s="902">
        <v>0</v>
      </c>
      <c r="N12" s="984">
        <v>0</v>
      </c>
      <c r="O12" s="983">
        <v>0</v>
      </c>
      <c r="P12" s="901">
        <v>0</v>
      </c>
      <c r="Q12" s="902">
        <v>0</v>
      </c>
      <c r="R12" s="984">
        <v>0</v>
      </c>
    </row>
    <row r="13" spans="1:18" s="10" customFormat="1" ht="13.5" thickBot="1">
      <c r="A13" s="806" t="s">
        <v>166</v>
      </c>
      <c r="B13" s="783" t="s">
        <v>722</v>
      </c>
      <c r="C13" s="792">
        <f aca="true" t="shared" si="0" ref="C13:J13">SUM(C14:C19)</f>
        <v>8234591</v>
      </c>
      <c r="D13" s="810">
        <f t="shared" si="0"/>
        <v>10729409</v>
      </c>
      <c r="E13" s="810">
        <f t="shared" si="0"/>
        <v>0</v>
      </c>
      <c r="F13" s="1324">
        <f t="shared" si="0"/>
        <v>18964000</v>
      </c>
      <c r="G13" s="1329">
        <f t="shared" si="0"/>
        <v>8234591</v>
      </c>
      <c r="H13" s="810">
        <f t="shared" si="0"/>
        <v>10729409</v>
      </c>
      <c r="I13" s="810">
        <f t="shared" si="0"/>
        <v>0</v>
      </c>
      <c r="J13" s="811">
        <f t="shared" si="0"/>
        <v>18964000</v>
      </c>
      <c r="K13" s="1329">
        <f aca="true" t="shared" si="1" ref="K13:R13">SUM(K14:K19)</f>
        <v>8234591</v>
      </c>
      <c r="L13" s="810">
        <f t="shared" si="1"/>
        <v>15229509</v>
      </c>
      <c r="M13" s="810">
        <f t="shared" si="1"/>
        <v>0</v>
      </c>
      <c r="N13" s="811">
        <f t="shared" si="1"/>
        <v>23464100</v>
      </c>
      <c r="O13" s="1329">
        <f t="shared" si="1"/>
        <v>8234591</v>
      </c>
      <c r="P13" s="810">
        <f t="shared" si="1"/>
        <v>15240643</v>
      </c>
      <c r="Q13" s="810">
        <f t="shared" si="1"/>
        <v>0</v>
      </c>
      <c r="R13" s="811">
        <f t="shared" si="1"/>
        <v>23475234</v>
      </c>
    </row>
    <row r="14" spans="1:18" s="122" customFormat="1" ht="12.75">
      <c r="A14" s="807"/>
      <c r="B14" s="776" t="s">
        <v>748</v>
      </c>
      <c r="C14" s="795"/>
      <c r="D14" s="796">
        <f>SUM('18. VÜKI'!F13)</f>
        <v>150000</v>
      </c>
      <c r="E14" s="796"/>
      <c r="F14" s="1325">
        <f>SUM(C14:E14)</f>
        <v>150000</v>
      </c>
      <c r="G14" s="1330"/>
      <c r="H14" s="796">
        <v>150000</v>
      </c>
      <c r="I14" s="796"/>
      <c r="J14" s="1331">
        <f>SUM(G14:I14)</f>
        <v>150000</v>
      </c>
      <c r="K14" s="1330"/>
      <c r="L14" s="796">
        <v>144539</v>
      </c>
      <c r="M14" s="796"/>
      <c r="N14" s="1331">
        <f aca="true" t="shared" si="2" ref="N14:N19">SUM(K14:M14)</f>
        <v>144539</v>
      </c>
      <c r="O14" s="1330"/>
      <c r="P14" s="796">
        <v>144539</v>
      </c>
      <c r="Q14" s="796"/>
      <c r="R14" s="1331">
        <f aca="true" t="shared" si="3" ref="R14:R19">SUM(O14:Q14)</f>
        <v>144539</v>
      </c>
    </row>
    <row r="15" spans="1:18" s="122" customFormat="1" ht="12.75">
      <c r="A15" s="807"/>
      <c r="B15" s="1491" t="s">
        <v>1163</v>
      </c>
      <c r="C15" s="795"/>
      <c r="D15" s="796"/>
      <c r="E15" s="796"/>
      <c r="F15" s="1325"/>
      <c r="G15" s="1330"/>
      <c r="H15" s="796"/>
      <c r="I15" s="796"/>
      <c r="J15" s="1331"/>
      <c r="K15" s="1330"/>
      <c r="L15" s="796">
        <v>5461</v>
      </c>
      <c r="M15" s="796"/>
      <c r="N15" s="1331">
        <f t="shared" si="2"/>
        <v>5461</v>
      </c>
      <c r="O15" s="1330"/>
      <c r="P15" s="796">
        <v>16545</v>
      </c>
      <c r="Q15" s="796"/>
      <c r="R15" s="1331">
        <f t="shared" si="3"/>
        <v>16545</v>
      </c>
    </row>
    <row r="16" spans="1:18" s="122" customFormat="1" ht="12.75">
      <c r="A16" s="807"/>
      <c r="B16" s="776" t="s">
        <v>749</v>
      </c>
      <c r="C16" s="795"/>
      <c r="D16" s="796">
        <f>SUM('18. VÜKI'!F15)</f>
        <v>114000</v>
      </c>
      <c r="E16" s="796"/>
      <c r="F16" s="1325">
        <f>SUM(C16:E16)</f>
        <v>114000</v>
      </c>
      <c r="G16" s="1330"/>
      <c r="H16" s="796">
        <v>114000</v>
      </c>
      <c r="I16" s="796"/>
      <c r="J16" s="1331">
        <f>SUM(G16:I16)</f>
        <v>114000</v>
      </c>
      <c r="K16" s="1330"/>
      <c r="L16" s="796">
        <v>114000</v>
      </c>
      <c r="M16" s="796"/>
      <c r="N16" s="1331">
        <f t="shared" si="2"/>
        <v>114000</v>
      </c>
      <c r="O16" s="1330"/>
      <c r="P16" s="796">
        <v>114000</v>
      </c>
      <c r="Q16" s="796"/>
      <c r="R16" s="1331">
        <f t="shared" si="3"/>
        <v>114000</v>
      </c>
    </row>
    <row r="17" spans="1:18" s="122" customFormat="1" ht="12.75">
      <c r="A17" s="807"/>
      <c r="B17" s="776" t="s">
        <v>724</v>
      </c>
      <c r="C17" s="795">
        <v>8234591</v>
      </c>
      <c r="D17" s="796">
        <v>9965409</v>
      </c>
      <c r="E17" s="796"/>
      <c r="F17" s="1325">
        <f>SUM(C17:E17)</f>
        <v>18200000</v>
      </c>
      <c r="G17" s="1330">
        <v>8234591</v>
      </c>
      <c r="H17" s="796">
        <v>9965409</v>
      </c>
      <c r="I17" s="796"/>
      <c r="J17" s="1331">
        <f>SUM(G17:I17)</f>
        <v>18200000</v>
      </c>
      <c r="K17" s="1330">
        <v>8234591</v>
      </c>
      <c r="L17" s="796">
        <v>9965409</v>
      </c>
      <c r="M17" s="796"/>
      <c r="N17" s="1331">
        <f t="shared" si="2"/>
        <v>18200000</v>
      </c>
      <c r="O17" s="1330">
        <v>8234591</v>
      </c>
      <c r="P17" s="796">
        <v>9965409</v>
      </c>
      <c r="Q17" s="796"/>
      <c r="R17" s="1331">
        <f t="shared" si="3"/>
        <v>18200000</v>
      </c>
    </row>
    <row r="18" spans="1:18" s="122" customFormat="1" ht="25.5">
      <c r="A18" s="807"/>
      <c r="B18" s="776" t="s">
        <v>725</v>
      </c>
      <c r="C18" s="795"/>
      <c r="D18" s="796">
        <f>SUM('18. VÜKI'!F17)</f>
        <v>500000</v>
      </c>
      <c r="E18" s="796"/>
      <c r="F18" s="1325">
        <f>SUM(C18:E18)</f>
        <v>500000</v>
      </c>
      <c r="G18" s="1330"/>
      <c r="H18" s="796">
        <v>500000</v>
      </c>
      <c r="I18" s="796"/>
      <c r="J18" s="1331">
        <f>SUM(G18:I18)</f>
        <v>500000</v>
      </c>
      <c r="K18" s="1330"/>
      <c r="L18" s="796">
        <v>5000000</v>
      </c>
      <c r="M18" s="796"/>
      <c r="N18" s="1331">
        <f t="shared" si="2"/>
        <v>5000000</v>
      </c>
      <c r="O18" s="1330"/>
      <c r="P18" s="796">
        <v>5000000</v>
      </c>
      <c r="Q18" s="796"/>
      <c r="R18" s="1331">
        <f t="shared" si="3"/>
        <v>5000000</v>
      </c>
    </row>
    <row r="19" spans="1:18" s="122" customFormat="1" ht="13.5" thickBot="1">
      <c r="A19" s="808"/>
      <c r="B19" s="776" t="s">
        <v>741</v>
      </c>
      <c r="C19" s="797"/>
      <c r="D19" s="790"/>
      <c r="E19" s="790"/>
      <c r="F19" s="1326">
        <f>SUM(C19:E19)</f>
        <v>0</v>
      </c>
      <c r="G19" s="1332"/>
      <c r="H19" s="790"/>
      <c r="I19" s="790"/>
      <c r="J19" s="1333">
        <f>SUM(G19:I19)</f>
        <v>0</v>
      </c>
      <c r="K19" s="1332"/>
      <c r="L19" s="790">
        <v>100</v>
      </c>
      <c r="M19" s="790"/>
      <c r="N19" s="1333">
        <f t="shared" si="2"/>
        <v>100</v>
      </c>
      <c r="O19" s="1332"/>
      <c r="P19" s="790">
        <v>150</v>
      </c>
      <c r="Q19" s="790"/>
      <c r="R19" s="1333">
        <f t="shared" si="3"/>
        <v>150</v>
      </c>
    </row>
    <row r="20" spans="1:18" s="554" customFormat="1" ht="16.5" thickBot="1">
      <c r="A20" s="2004" t="s">
        <v>485</v>
      </c>
      <c r="B20" s="2005"/>
      <c r="C20" s="799">
        <f aca="true" t="shared" si="4" ref="C20:J20">SUM(C13)</f>
        <v>8234591</v>
      </c>
      <c r="D20" s="799">
        <f t="shared" si="4"/>
        <v>10729409</v>
      </c>
      <c r="E20" s="799">
        <f t="shared" si="4"/>
        <v>0</v>
      </c>
      <c r="F20" s="1285">
        <f t="shared" si="4"/>
        <v>18964000</v>
      </c>
      <c r="G20" s="1305">
        <f t="shared" si="4"/>
        <v>8234591</v>
      </c>
      <c r="H20" s="799">
        <f t="shared" si="4"/>
        <v>10729409</v>
      </c>
      <c r="I20" s="799">
        <f t="shared" si="4"/>
        <v>0</v>
      </c>
      <c r="J20" s="800">
        <f t="shared" si="4"/>
        <v>18964000</v>
      </c>
      <c r="K20" s="1305">
        <f aca="true" t="shared" si="5" ref="K20:R20">SUM(K13)</f>
        <v>8234591</v>
      </c>
      <c r="L20" s="799">
        <f t="shared" si="5"/>
        <v>15229509</v>
      </c>
      <c r="M20" s="799">
        <f t="shared" si="5"/>
        <v>0</v>
      </c>
      <c r="N20" s="800">
        <f t="shared" si="5"/>
        <v>23464100</v>
      </c>
      <c r="O20" s="1305">
        <f t="shared" si="5"/>
        <v>8234591</v>
      </c>
      <c r="P20" s="799">
        <f t="shared" si="5"/>
        <v>15240643</v>
      </c>
      <c r="Q20" s="799">
        <f t="shared" si="5"/>
        <v>0</v>
      </c>
      <c r="R20" s="800">
        <f t="shared" si="5"/>
        <v>23475234</v>
      </c>
    </row>
    <row r="21" spans="1:18" ht="25.5">
      <c r="A21" s="782"/>
      <c r="B21" s="776" t="s">
        <v>729</v>
      </c>
      <c r="C21" s="801">
        <f>SUM('18. VÜKI'!F21)</f>
        <v>1347397</v>
      </c>
      <c r="D21" s="801"/>
      <c r="E21" s="801"/>
      <c r="F21" s="1286">
        <f>SUM(C21:E21)</f>
        <v>1347397</v>
      </c>
      <c r="G21" s="1306">
        <v>1347397</v>
      </c>
      <c r="H21" s="801"/>
      <c r="I21" s="801"/>
      <c r="J21" s="1307">
        <f>SUM(G21:I21)</f>
        <v>1347397</v>
      </c>
      <c r="K21" s="1306">
        <v>1347397</v>
      </c>
      <c r="L21" s="801"/>
      <c r="M21" s="801"/>
      <c r="N21" s="1307">
        <f>SUM(K21:M21)</f>
        <v>1347397</v>
      </c>
      <c r="O21" s="1306">
        <v>1347397</v>
      </c>
      <c r="P21" s="801"/>
      <c r="Q21" s="801"/>
      <c r="R21" s="1307">
        <f>SUM(O21:Q21)</f>
        <v>1347397</v>
      </c>
    </row>
    <row r="22" spans="1:18" ht="12.75">
      <c r="A22" s="820" t="s">
        <v>173</v>
      </c>
      <c r="B22" s="777" t="s">
        <v>730</v>
      </c>
      <c r="C22" s="648">
        <f>SUM(C21)</f>
        <v>1347397</v>
      </c>
      <c r="D22" s="648"/>
      <c r="E22" s="648"/>
      <c r="F22" s="1286">
        <f>SUM(C22:E22)</f>
        <v>1347397</v>
      </c>
      <c r="G22" s="1308">
        <v>1347397</v>
      </c>
      <c r="H22" s="648"/>
      <c r="I22" s="648"/>
      <c r="J22" s="1307">
        <f>SUM(G22:I22)</f>
        <v>1347397</v>
      </c>
      <c r="K22" s="1308">
        <v>1347397</v>
      </c>
      <c r="L22" s="648"/>
      <c r="M22" s="648"/>
      <c r="N22" s="1307">
        <f>SUM(K22:M22)</f>
        <v>1347397</v>
      </c>
      <c r="O22" s="1308">
        <v>1347397</v>
      </c>
      <c r="P22" s="648"/>
      <c r="Q22" s="648"/>
      <c r="R22" s="1307">
        <f>SUM(O22:Q22)</f>
        <v>1347397</v>
      </c>
    </row>
    <row r="23" spans="1:18" ht="26.25" thickBot="1">
      <c r="A23" s="784"/>
      <c r="B23" s="785" t="s">
        <v>731</v>
      </c>
      <c r="C23" s="802">
        <f>SUM('18. VÜKI'!F22)</f>
        <v>77083353</v>
      </c>
      <c r="D23" s="802"/>
      <c r="E23" s="802"/>
      <c r="F23" s="1286">
        <f>SUM(C23:E23)</f>
        <v>77083353</v>
      </c>
      <c r="G23" s="1309">
        <v>77083353</v>
      </c>
      <c r="H23" s="802"/>
      <c r="I23" s="802"/>
      <c r="J23" s="1307">
        <f>SUM(G23:I23)</f>
        <v>77083353</v>
      </c>
      <c r="K23" s="1309">
        <v>69986315</v>
      </c>
      <c r="L23" s="802"/>
      <c r="M23" s="802"/>
      <c r="N23" s="1307">
        <f>SUM(K23:M23)</f>
        <v>69986315</v>
      </c>
      <c r="O23" s="1309">
        <v>70019655</v>
      </c>
      <c r="P23" s="802"/>
      <c r="Q23" s="802"/>
      <c r="R23" s="1307">
        <f>SUM(O23:Q23)</f>
        <v>70019655</v>
      </c>
    </row>
    <row r="24" spans="1:18" ht="16.5" thickBot="1">
      <c r="A24" s="787"/>
      <c r="B24" s="788" t="s">
        <v>732</v>
      </c>
      <c r="C24" s="803">
        <f aca="true" t="shared" si="6" ref="C24:J24">SUM(C22:C23)</f>
        <v>78430750</v>
      </c>
      <c r="D24" s="803">
        <f t="shared" si="6"/>
        <v>0</v>
      </c>
      <c r="E24" s="803">
        <f t="shared" si="6"/>
        <v>0</v>
      </c>
      <c r="F24" s="1287">
        <f t="shared" si="6"/>
        <v>78430750</v>
      </c>
      <c r="G24" s="1310">
        <f t="shared" si="6"/>
        <v>78430750</v>
      </c>
      <c r="H24" s="803">
        <f t="shared" si="6"/>
        <v>0</v>
      </c>
      <c r="I24" s="803">
        <f t="shared" si="6"/>
        <v>0</v>
      </c>
      <c r="J24" s="1311">
        <f t="shared" si="6"/>
        <v>78430750</v>
      </c>
      <c r="K24" s="1310">
        <f aca="true" t="shared" si="7" ref="K24:R24">SUM(K22:K23)</f>
        <v>71333712</v>
      </c>
      <c r="L24" s="803">
        <f t="shared" si="7"/>
        <v>0</v>
      </c>
      <c r="M24" s="803">
        <f t="shared" si="7"/>
        <v>0</v>
      </c>
      <c r="N24" s="1311">
        <f t="shared" si="7"/>
        <v>71333712</v>
      </c>
      <c r="O24" s="1310">
        <f t="shared" si="7"/>
        <v>71367052</v>
      </c>
      <c r="P24" s="803">
        <f t="shared" si="7"/>
        <v>0</v>
      </c>
      <c r="Q24" s="803">
        <f t="shared" si="7"/>
        <v>0</v>
      </c>
      <c r="R24" s="1311">
        <f t="shared" si="7"/>
        <v>71367052</v>
      </c>
    </row>
    <row r="25" spans="1:18" ht="16.5" thickBot="1">
      <c r="A25" s="1992" t="s">
        <v>157</v>
      </c>
      <c r="B25" s="1993"/>
      <c r="C25" s="804">
        <f aca="true" t="shared" si="8" ref="C25:J25">SUM(C20+C24)</f>
        <v>86665341</v>
      </c>
      <c r="D25" s="804">
        <f t="shared" si="8"/>
        <v>10729409</v>
      </c>
      <c r="E25" s="804">
        <f t="shared" si="8"/>
        <v>0</v>
      </c>
      <c r="F25" s="1288">
        <f t="shared" si="8"/>
        <v>97394750</v>
      </c>
      <c r="G25" s="1312">
        <f t="shared" si="8"/>
        <v>86665341</v>
      </c>
      <c r="H25" s="804">
        <f t="shared" si="8"/>
        <v>10729409</v>
      </c>
      <c r="I25" s="804">
        <f t="shared" si="8"/>
        <v>0</v>
      </c>
      <c r="J25" s="805">
        <f t="shared" si="8"/>
        <v>97394750</v>
      </c>
      <c r="K25" s="1312">
        <f aca="true" t="shared" si="9" ref="K25:R25">SUM(K20+K24)</f>
        <v>79568303</v>
      </c>
      <c r="L25" s="804">
        <f t="shared" si="9"/>
        <v>15229509</v>
      </c>
      <c r="M25" s="804">
        <f t="shared" si="9"/>
        <v>0</v>
      </c>
      <c r="N25" s="805">
        <f t="shared" si="9"/>
        <v>94797812</v>
      </c>
      <c r="O25" s="1312">
        <f t="shared" si="9"/>
        <v>79601643</v>
      </c>
      <c r="P25" s="804">
        <f t="shared" si="9"/>
        <v>15240643</v>
      </c>
      <c r="Q25" s="804">
        <f t="shared" si="9"/>
        <v>0</v>
      </c>
      <c r="R25" s="805">
        <f t="shared" si="9"/>
        <v>94842286</v>
      </c>
    </row>
    <row r="26" spans="1:18" ht="12.75">
      <c r="A26" s="819" t="s">
        <v>164</v>
      </c>
      <c r="B26" s="777" t="s">
        <v>735</v>
      </c>
      <c r="C26" s="464">
        <v>41680225</v>
      </c>
      <c r="D26" s="464">
        <f>SUM('18. VÜKI'!F36)</f>
        <v>3094751</v>
      </c>
      <c r="E26" s="780"/>
      <c r="F26" s="1290">
        <f>SUM(C26:E26)</f>
        <v>44774976</v>
      </c>
      <c r="G26" s="1334">
        <v>41680225</v>
      </c>
      <c r="H26" s="464">
        <v>3094751</v>
      </c>
      <c r="I26" s="780"/>
      <c r="J26" s="465">
        <f>SUM(G26:I26)</f>
        <v>44774976</v>
      </c>
      <c r="K26" s="1334">
        <v>39819949</v>
      </c>
      <c r="L26" s="464">
        <v>3094751</v>
      </c>
      <c r="M26" s="780"/>
      <c r="N26" s="465">
        <f>SUM(K26:M26)</f>
        <v>42914700</v>
      </c>
      <c r="O26" s="1334">
        <v>39534871</v>
      </c>
      <c r="P26" s="464">
        <v>3094751</v>
      </c>
      <c r="Q26" s="780"/>
      <c r="R26" s="465">
        <f>SUM(O26:Q26)</f>
        <v>42629622</v>
      </c>
    </row>
    <row r="27" spans="1:18" ht="25.5">
      <c r="A27" s="820" t="s">
        <v>166</v>
      </c>
      <c r="B27" s="777" t="s">
        <v>736</v>
      </c>
      <c r="C27" s="464">
        <v>8595116</v>
      </c>
      <c r="D27" s="464">
        <f>SUM('18. VÜKI'!F37)</f>
        <v>634658</v>
      </c>
      <c r="E27" s="423"/>
      <c r="F27" s="1290">
        <f>SUM(C27:E27)</f>
        <v>9229774</v>
      </c>
      <c r="G27" s="1334">
        <v>8595116</v>
      </c>
      <c r="H27" s="464">
        <v>634658</v>
      </c>
      <c r="I27" s="423"/>
      <c r="J27" s="465">
        <f>SUM(G27:I27)</f>
        <v>9229774</v>
      </c>
      <c r="K27" s="1334">
        <v>7858354</v>
      </c>
      <c r="L27" s="464">
        <v>634658</v>
      </c>
      <c r="M27" s="423"/>
      <c r="N27" s="465">
        <f>SUM(K27:M27)</f>
        <v>8493012</v>
      </c>
      <c r="O27" s="1334">
        <v>8176772</v>
      </c>
      <c r="P27" s="464">
        <v>634658</v>
      </c>
      <c r="Q27" s="423"/>
      <c r="R27" s="465">
        <f>SUM(O27:Q27)</f>
        <v>8811430</v>
      </c>
    </row>
    <row r="28" spans="1:18" s="10" customFormat="1" ht="12.75">
      <c r="A28" s="820" t="s">
        <v>173</v>
      </c>
      <c r="B28" s="647" t="s">
        <v>737</v>
      </c>
      <c r="C28" s="464">
        <v>36390000</v>
      </c>
      <c r="D28" s="464">
        <f>SUM('18. VÜKI'!F38)</f>
        <v>6000000</v>
      </c>
      <c r="E28" s="438"/>
      <c r="F28" s="1290">
        <f>SUM(C28:E28)</f>
        <v>42390000</v>
      </c>
      <c r="G28" s="1334">
        <v>36390000</v>
      </c>
      <c r="H28" s="464">
        <v>6000000</v>
      </c>
      <c r="I28" s="438"/>
      <c r="J28" s="465">
        <f>SUM(G28:I28)</f>
        <v>42390000</v>
      </c>
      <c r="K28" s="1334">
        <v>31890000</v>
      </c>
      <c r="L28" s="464">
        <v>10500100</v>
      </c>
      <c r="M28" s="438"/>
      <c r="N28" s="465">
        <f>SUM(K28:M28)</f>
        <v>42390100</v>
      </c>
      <c r="O28" s="1334">
        <v>31890000</v>
      </c>
      <c r="P28" s="464">
        <v>10511234</v>
      </c>
      <c r="Q28" s="438"/>
      <c r="R28" s="465">
        <f>SUM(O28:Q28)</f>
        <v>42401234</v>
      </c>
    </row>
    <row r="29" spans="1:18" s="10" customFormat="1" ht="12.75">
      <c r="A29" s="820" t="s">
        <v>182</v>
      </c>
      <c r="B29" s="647" t="s">
        <v>738</v>
      </c>
      <c r="C29" s="814"/>
      <c r="D29" s="814">
        <v>1000000</v>
      </c>
      <c r="E29" s="814">
        <f>SUM(E30:E31)</f>
        <v>0</v>
      </c>
      <c r="F29" s="1290">
        <f>SUM(C29:E29)</f>
        <v>1000000</v>
      </c>
      <c r="G29" s="1335"/>
      <c r="H29" s="814">
        <v>1000000</v>
      </c>
      <c r="I29" s="814">
        <f>SUM(I30:I31)</f>
        <v>0</v>
      </c>
      <c r="J29" s="465">
        <f>SUM(G29:I29)</f>
        <v>1000000</v>
      </c>
      <c r="K29" s="1335"/>
      <c r="L29" s="814">
        <v>1000000</v>
      </c>
      <c r="M29" s="814">
        <f>SUM(M30:M31)</f>
        <v>0</v>
      </c>
      <c r="N29" s="465">
        <f>SUM(K29:M29)</f>
        <v>1000000</v>
      </c>
      <c r="O29" s="1335"/>
      <c r="P29" s="814">
        <v>1000000</v>
      </c>
      <c r="Q29" s="814">
        <f>SUM(Q30:Q31)</f>
        <v>0</v>
      </c>
      <c r="R29" s="465">
        <f>SUM(O29:Q29)</f>
        <v>1000000</v>
      </c>
    </row>
    <row r="30" spans="1:18" s="122" customFormat="1" ht="12.75">
      <c r="A30" s="778"/>
      <c r="B30" s="778" t="s">
        <v>132</v>
      </c>
      <c r="C30" s="461"/>
      <c r="D30" s="778">
        <v>1000000</v>
      </c>
      <c r="E30" s="778"/>
      <c r="F30" s="1327"/>
      <c r="G30" s="1336"/>
      <c r="H30" s="778">
        <v>1000000</v>
      </c>
      <c r="I30" s="778"/>
      <c r="J30" s="1337"/>
      <c r="K30" s="1336"/>
      <c r="L30" s="778">
        <v>1000000</v>
      </c>
      <c r="M30" s="778"/>
      <c r="N30" s="1337"/>
      <c r="O30" s="1336"/>
      <c r="P30" s="778">
        <v>1000000</v>
      </c>
      <c r="Q30" s="778"/>
      <c r="R30" s="1337"/>
    </row>
    <row r="31" spans="1:18" s="122" customFormat="1" ht="13.5" thickBot="1">
      <c r="A31" s="789"/>
      <c r="B31" s="789" t="s">
        <v>134</v>
      </c>
      <c r="C31" s="789"/>
      <c r="D31" s="789"/>
      <c r="E31" s="789"/>
      <c r="F31" s="1328"/>
      <c r="G31" s="1338"/>
      <c r="H31" s="789"/>
      <c r="I31" s="789"/>
      <c r="J31" s="1339"/>
      <c r="K31" s="1338"/>
      <c r="L31" s="789"/>
      <c r="M31" s="789"/>
      <c r="N31" s="1339"/>
      <c r="O31" s="1338"/>
      <c r="P31" s="789"/>
      <c r="Q31" s="789"/>
      <c r="R31" s="1339"/>
    </row>
    <row r="32" spans="1:18" ht="16.5" thickBot="1">
      <c r="A32" s="815"/>
      <c r="B32" s="816" t="s">
        <v>739</v>
      </c>
      <c r="C32" s="817">
        <f aca="true" t="shared" si="10" ref="C32:J32">SUM(C26:C29)</f>
        <v>86665341</v>
      </c>
      <c r="D32" s="817">
        <f t="shared" si="10"/>
        <v>10729409</v>
      </c>
      <c r="E32" s="817">
        <f t="shared" si="10"/>
        <v>0</v>
      </c>
      <c r="F32" s="1294">
        <f t="shared" si="10"/>
        <v>97394750</v>
      </c>
      <c r="G32" s="1322">
        <f t="shared" si="10"/>
        <v>86665341</v>
      </c>
      <c r="H32" s="817">
        <f t="shared" si="10"/>
        <v>10729409</v>
      </c>
      <c r="I32" s="817">
        <f t="shared" si="10"/>
        <v>0</v>
      </c>
      <c r="J32" s="818">
        <f t="shared" si="10"/>
        <v>97394750</v>
      </c>
      <c r="K32" s="1322">
        <f aca="true" t="shared" si="11" ref="K32:R32">SUM(K26:K29)</f>
        <v>79568303</v>
      </c>
      <c r="L32" s="817">
        <f t="shared" si="11"/>
        <v>15229509</v>
      </c>
      <c r="M32" s="817">
        <f t="shared" si="11"/>
        <v>0</v>
      </c>
      <c r="N32" s="818">
        <f t="shared" si="11"/>
        <v>94797812</v>
      </c>
      <c r="O32" s="1322">
        <f t="shared" si="11"/>
        <v>79601643</v>
      </c>
      <c r="P32" s="817">
        <f t="shared" si="11"/>
        <v>15240643</v>
      </c>
      <c r="Q32" s="817">
        <f t="shared" si="11"/>
        <v>0</v>
      </c>
      <c r="R32" s="818">
        <f t="shared" si="11"/>
        <v>94842286</v>
      </c>
    </row>
  </sheetData>
  <sheetProtection/>
  <mergeCells count="11">
    <mergeCell ref="H3:J3"/>
    <mergeCell ref="A2:R2"/>
    <mergeCell ref="A1:R1"/>
    <mergeCell ref="K10:N10"/>
    <mergeCell ref="G10:J10"/>
    <mergeCell ref="A25:B25"/>
    <mergeCell ref="A10:B11"/>
    <mergeCell ref="C10:F10"/>
    <mergeCell ref="A20:B20"/>
    <mergeCell ref="O10:R10"/>
    <mergeCell ref="A6:R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R71"/>
  <sheetViews>
    <sheetView showGridLines="0" view="pageBreakPreview" zoomScale="106" zoomScaleSheetLayoutView="106" workbookViewId="0" topLeftCell="M1">
      <selection activeCell="R3" sqref="R3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20.140625" style="0" hidden="1" customWidth="1"/>
    <col min="4" max="4" width="17.421875" style="0" hidden="1" customWidth="1"/>
    <col min="5" max="5" width="14.421875" style="0" hidden="1" customWidth="1"/>
    <col min="6" max="6" width="19.140625" style="0" hidden="1" customWidth="1"/>
    <col min="7" max="7" width="21.421875" style="0" hidden="1" customWidth="1"/>
    <col min="8" max="8" width="20.00390625" style="0" hidden="1" customWidth="1"/>
    <col min="9" max="9" width="13.7109375" style="0" hidden="1" customWidth="1"/>
    <col min="10" max="10" width="20.7109375" style="0" hidden="1" customWidth="1"/>
    <col min="11" max="11" width="21.421875" style="0" customWidth="1"/>
    <col min="12" max="12" width="20.00390625" style="0" customWidth="1"/>
    <col min="13" max="13" width="13.7109375" style="0" customWidth="1"/>
    <col min="14" max="14" width="20.7109375" style="0" customWidth="1"/>
    <col min="15" max="15" width="21.421875" style="0" customWidth="1"/>
    <col min="16" max="16" width="20.00390625" style="0" customWidth="1"/>
    <col min="17" max="17" width="13.7109375" style="0" customWidth="1"/>
    <col min="18" max="18" width="20.7109375" style="0" customWidth="1"/>
  </cols>
  <sheetData>
    <row r="1" spans="1:18" ht="15">
      <c r="A1" s="1991" t="s">
        <v>751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  <c r="M1" s="1991"/>
      <c r="N1" s="1991"/>
      <c r="O1" s="1991"/>
      <c r="P1" s="1991"/>
      <c r="Q1" s="1991"/>
      <c r="R1" s="1991"/>
    </row>
    <row r="2" spans="1:18" ht="12.75">
      <c r="A2" s="1761" t="s">
        <v>1181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  <c r="P2" s="1761"/>
      <c r="Q2" s="1761"/>
      <c r="R2" s="1761"/>
    </row>
    <row r="3" spans="1:18" ht="12.75">
      <c r="A3" s="774"/>
      <c r="B3" s="774"/>
      <c r="C3" s="774"/>
      <c r="D3" s="774"/>
      <c r="E3" s="774"/>
      <c r="F3" s="774"/>
      <c r="G3" s="774"/>
      <c r="H3" s="774"/>
      <c r="I3" s="774"/>
      <c r="J3" s="774"/>
      <c r="K3" s="1761" t="s">
        <v>1183</v>
      </c>
      <c r="L3" s="1761"/>
      <c r="M3" s="1761"/>
      <c r="N3" s="1761"/>
      <c r="O3" s="1761"/>
      <c r="P3" s="774"/>
      <c r="Q3" s="774"/>
      <c r="R3" s="774" t="s">
        <v>1193</v>
      </c>
    </row>
    <row r="4" spans="1:18" ht="12.75">
      <c r="A4" s="774"/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</row>
    <row r="5" spans="1:18" ht="12.75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</row>
    <row r="6" spans="1:18" ht="29.25" customHeight="1">
      <c r="A6" s="2001" t="s">
        <v>750</v>
      </c>
      <c r="B6" s="2001"/>
      <c r="C6" s="2001"/>
      <c r="D6" s="2001"/>
      <c r="E6" s="2001"/>
      <c r="F6" s="2001"/>
      <c r="G6" s="2001"/>
      <c r="H6" s="2001"/>
      <c r="I6" s="2001"/>
      <c r="J6" s="2001"/>
      <c r="K6" s="2001"/>
      <c r="L6" s="2001"/>
      <c r="M6" s="2001"/>
      <c r="N6" s="2001"/>
      <c r="O6" s="2001"/>
      <c r="P6" s="2001"/>
      <c r="Q6" s="2001"/>
      <c r="R6" s="2001"/>
    </row>
    <row r="9" ht="13.5" thickBot="1">
      <c r="R9" t="s">
        <v>214</v>
      </c>
    </row>
    <row r="10" spans="1:18" ht="12.75">
      <c r="A10" s="1994" t="s">
        <v>717</v>
      </c>
      <c r="B10" s="1995"/>
      <c r="C10" s="1998" t="s">
        <v>528</v>
      </c>
      <c r="D10" s="1998"/>
      <c r="E10" s="1998"/>
      <c r="F10" s="2003"/>
      <c r="G10" s="2000" t="s">
        <v>1139</v>
      </c>
      <c r="H10" s="1998"/>
      <c r="I10" s="1998"/>
      <c r="J10" s="1999"/>
      <c r="K10" s="2000" t="s">
        <v>1141</v>
      </c>
      <c r="L10" s="1998"/>
      <c r="M10" s="1998"/>
      <c r="N10" s="1999"/>
      <c r="O10" s="2000" t="s">
        <v>1164</v>
      </c>
      <c r="P10" s="1998"/>
      <c r="Q10" s="1998"/>
      <c r="R10" s="1999"/>
    </row>
    <row r="11" spans="1:18" s="4" customFormat="1" ht="26.25" customHeight="1">
      <c r="A11" s="2011"/>
      <c r="B11" s="2012"/>
      <c r="C11" s="779" t="s">
        <v>718</v>
      </c>
      <c r="D11" s="779" t="s">
        <v>719</v>
      </c>
      <c r="E11" s="779" t="s">
        <v>720</v>
      </c>
      <c r="F11" s="1279" t="s">
        <v>25</v>
      </c>
      <c r="G11" s="1278" t="s">
        <v>718</v>
      </c>
      <c r="H11" s="779" t="s">
        <v>719</v>
      </c>
      <c r="I11" s="779" t="s">
        <v>720</v>
      </c>
      <c r="J11" s="826" t="s">
        <v>25</v>
      </c>
      <c r="K11" s="1278" t="s">
        <v>718</v>
      </c>
      <c r="L11" s="779" t="s">
        <v>719</v>
      </c>
      <c r="M11" s="779" t="s">
        <v>720</v>
      </c>
      <c r="N11" s="826" t="s">
        <v>25</v>
      </c>
      <c r="O11" s="1278" t="s">
        <v>718</v>
      </c>
      <c r="P11" s="779" t="s">
        <v>719</v>
      </c>
      <c r="Q11" s="779" t="s">
        <v>720</v>
      </c>
      <c r="R11" s="826" t="s">
        <v>25</v>
      </c>
    </row>
    <row r="12" spans="1:18" s="4" customFormat="1" ht="26.25" customHeight="1">
      <c r="A12" s="775"/>
      <c r="B12" s="776" t="s">
        <v>752</v>
      </c>
      <c r="C12" s="827">
        <f>SUM('19 önkormányzat'!F9)</f>
        <v>62276520</v>
      </c>
      <c r="D12" s="827"/>
      <c r="E12" s="827"/>
      <c r="F12" s="1280">
        <f aca="true" t="shared" si="0" ref="F12:F17">SUM(C12:E12)</f>
        <v>62276520</v>
      </c>
      <c r="G12" s="1295">
        <f>SUM('19 önkormányzat'!G9)</f>
        <v>62276520</v>
      </c>
      <c r="H12" s="827"/>
      <c r="I12" s="827"/>
      <c r="J12" s="1296">
        <f aca="true" t="shared" si="1" ref="J12:J17">SUM(G12:I12)</f>
        <v>62276520</v>
      </c>
      <c r="K12" s="1295">
        <f>SUM('19 önkormányzat'!H9)</f>
        <v>62276520</v>
      </c>
      <c r="L12" s="827"/>
      <c r="M12" s="827"/>
      <c r="N12" s="1296">
        <f aca="true" t="shared" si="2" ref="N12:N17">SUM(K12:M12)</f>
        <v>62276520</v>
      </c>
      <c r="O12" s="1295">
        <v>62276520</v>
      </c>
      <c r="P12" s="827"/>
      <c r="Q12" s="827"/>
      <c r="R12" s="1296">
        <f aca="true" t="shared" si="3" ref="R12:R17">SUM(O12:Q12)</f>
        <v>62276520</v>
      </c>
    </row>
    <row r="13" spans="1:18" s="4" customFormat="1" ht="26.25" customHeight="1">
      <c r="A13" s="775"/>
      <c r="B13" s="776" t="s">
        <v>753</v>
      </c>
      <c r="C13" s="827">
        <f>SUM('19 önkormányzat'!F10)</f>
        <v>72775566</v>
      </c>
      <c r="D13" s="827"/>
      <c r="E13" s="827"/>
      <c r="F13" s="1280">
        <f t="shared" si="0"/>
        <v>72775566</v>
      </c>
      <c r="G13" s="1295">
        <f>SUM('19 önkormányzat'!G10)</f>
        <v>72775566</v>
      </c>
      <c r="H13" s="827"/>
      <c r="I13" s="827"/>
      <c r="J13" s="1296">
        <f t="shared" si="1"/>
        <v>72775566</v>
      </c>
      <c r="K13" s="1295">
        <f>SUM('19 önkormányzat'!H10)</f>
        <v>72775566</v>
      </c>
      <c r="L13" s="827"/>
      <c r="M13" s="827"/>
      <c r="N13" s="1296">
        <f t="shared" si="2"/>
        <v>72775566</v>
      </c>
      <c r="O13" s="1295">
        <v>72775566</v>
      </c>
      <c r="P13" s="827"/>
      <c r="Q13" s="827"/>
      <c r="R13" s="1296">
        <f t="shared" si="3"/>
        <v>72775566</v>
      </c>
    </row>
    <row r="14" spans="1:18" s="4" customFormat="1" ht="26.25" customHeight="1">
      <c r="A14" s="775"/>
      <c r="B14" s="776" t="s">
        <v>754</v>
      </c>
      <c r="C14" s="827">
        <f>SUM('19 önkormányzat'!F11)</f>
        <v>58547790</v>
      </c>
      <c r="D14" s="827"/>
      <c r="E14" s="827"/>
      <c r="F14" s="1280">
        <f t="shared" si="0"/>
        <v>58547790</v>
      </c>
      <c r="G14" s="1295">
        <f>SUM('19 önkormányzat'!G11)</f>
        <v>58547790</v>
      </c>
      <c r="H14" s="827"/>
      <c r="I14" s="827"/>
      <c r="J14" s="1296">
        <f t="shared" si="1"/>
        <v>58547790</v>
      </c>
      <c r="K14" s="1295">
        <f>SUM('19 önkormányzat'!H11)</f>
        <v>58547790</v>
      </c>
      <c r="L14" s="827"/>
      <c r="M14" s="827"/>
      <c r="N14" s="1296">
        <f t="shared" si="2"/>
        <v>58547790</v>
      </c>
      <c r="O14" s="1295">
        <v>58547790</v>
      </c>
      <c r="P14" s="827"/>
      <c r="Q14" s="827"/>
      <c r="R14" s="1296">
        <f t="shared" si="3"/>
        <v>58547790</v>
      </c>
    </row>
    <row r="15" spans="1:18" s="4" customFormat="1" ht="26.25" customHeight="1">
      <c r="A15" s="775"/>
      <c r="B15" s="776" t="s">
        <v>755</v>
      </c>
      <c r="C15" s="827">
        <f>SUM('19 önkormányzat'!F12)</f>
        <v>4227740</v>
      </c>
      <c r="D15" s="827"/>
      <c r="E15" s="827"/>
      <c r="F15" s="1280">
        <f t="shared" si="0"/>
        <v>4227740</v>
      </c>
      <c r="G15" s="1295">
        <f>SUM('19 önkormányzat'!G12)</f>
        <v>4227740</v>
      </c>
      <c r="H15" s="827"/>
      <c r="I15" s="827"/>
      <c r="J15" s="1296">
        <f t="shared" si="1"/>
        <v>4227740</v>
      </c>
      <c r="K15" s="1295">
        <f>SUM('19 önkormányzat'!H12)</f>
        <v>4227740</v>
      </c>
      <c r="L15" s="827"/>
      <c r="M15" s="827"/>
      <c r="N15" s="1296">
        <f t="shared" si="2"/>
        <v>4227740</v>
      </c>
      <c r="O15" s="1295">
        <v>4227740</v>
      </c>
      <c r="P15" s="827"/>
      <c r="Q15" s="827"/>
      <c r="R15" s="1296">
        <f t="shared" si="3"/>
        <v>4227740</v>
      </c>
    </row>
    <row r="16" spans="1:18" s="4" customFormat="1" ht="26.25" customHeight="1">
      <c r="A16" s="775"/>
      <c r="B16" s="776" t="s">
        <v>756</v>
      </c>
      <c r="C16" s="827">
        <f>SUM('19 önkormányzat'!F13)</f>
        <v>0</v>
      </c>
      <c r="D16" s="827"/>
      <c r="E16" s="827"/>
      <c r="F16" s="1280">
        <f t="shared" si="0"/>
        <v>0</v>
      </c>
      <c r="G16" s="1295">
        <f>SUM('19 önkormányzat'!G13)</f>
        <v>0</v>
      </c>
      <c r="H16" s="827"/>
      <c r="I16" s="827"/>
      <c r="J16" s="1296">
        <f t="shared" si="1"/>
        <v>0</v>
      </c>
      <c r="K16" s="1295">
        <f>SUM('19 önkormányzat'!H13)</f>
        <v>7459200</v>
      </c>
      <c r="L16" s="827"/>
      <c r="M16" s="827"/>
      <c r="N16" s="1296">
        <f t="shared" si="2"/>
        <v>7459200</v>
      </c>
      <c r="O16" s="1295">
        <v>7459200</v>
      </c>
      <c r="P16" s="827"/>
      <c r="Q16" s="827"/>
      <c r="R16" s="1296">
        <f t="shared" si="3"/>
        <v>7459200</v>
      </c>
    </row>
    <row r="17" spans="1:18" s="4" customFormat="1" ht="25.5">
      <c r="A17" s="775"/>
      <c r="B17" s="776" t="s">
        <v>757</v>
      </c>
      <c r="C17" s="827"/>
      <c r="D17" s="827"/>
      <c r="E17" s="827"/>
      <c r="F17" s="1280">
        <f t="shared" si="0"/>
        <v>0</v>
      </c>
      <c r="G17" s="1295"/>
      <c r="H17" s="827"/>
      <c r="I17" s="827"/>
      <c r="J17" s="1296">
        <f t="shared" si="1"/>
        <v>0</v>
      </c>
      <c r="K17" s="1295">
        <f>SUM('19 önkormányzat'!H14)</f>
        <v>0</v>
      </c>
      <c r="L17" s="827"/>
      <c r="M17" s="827"/>
      <c r="N17" s="1296">
        <f t="shared" si="2"/>
        <v>0</v>
      </c>
      <c r="O17" s="1295">
        <f>SUM('19 önkormányzat'!L14)</f>
        <v>0</v>
      </c>
      <c r="P17" s="827"/>
      <c r="Q17" s="827"/>
      <c r="R17" s="1296">
        <f t="shared" si="3"/>
        <v>0</v>
      </c>
    </row>
    <row r="18" spans="1:18" s="4" customFormat="1" ht="26.25" customHeight="1">
      <c r="A18" s="775"/>
      <c r="B18" s="824" t="s">
        <v>758</v>
      </c>
      <c r="C18" s="828">
        <f aca="true" t="shared" si="4" ref="C18:J18">SUM(C12:C17)</f>
        <v>197827616</v>
      </c>
      <c r="D18" s="828">
        <f t="shared" si="4"/>
        <v>0</v>
      </c>
      <c r="E18" s="828">
        <f t="shared" si="4"/>
        <v>0</v>
      </c>
      <c r="F18" s="1281">
        <f t="shared" si="4"/>
        <v>197827616</v>
      </c>
      <c r="G18" s="1297">
        <f t="shared" si="4"/>
        <v>197827616</v>
      </c>
      <c r="H18" s="828">
        <f t="shared" si="4"/>
        <v>0</v>
      </c>
      <c r="I18" s="828">
        <f t="shared" si="4"/>
        <v>0</v>
      </c>
      <c r="J18" s="1298">
        <f t="shared" si="4"/>
        <v>197827616</v>
      </c>
      <c r="K18" s="1297">
        <f aca="true" t="shared" si="5" ref="K18:R18">SUM(K12:K17)</f>
        <v>205286816</v>
      </c>
      <c r="L18" s="828">
        <f t="shared" si="5"/>
        <v>0</v>
      </c>
      <c r="M18" s="828">
        <f t="shared" si="5"/>
        <v>0</v>
      </c>
      <c r="N18" s="1298">
        <f t="shared" si="5"/>
        <v>205286816</v>
      </c>
      <c r="O18" s="1297">
        <f t="shared" si="5"/>
        <v>205286816</v>
      </c>
      <c r="P18" s="828">
        <f t="shared" si="5"/>
        <v>0</v>
      </c>
      <c r="Q18" s="828">
        <f t="shared" si="5"/>
        <v>0</v>
      </c>
      <c r="R18" s="1298">
        <f t="shared" si="5"/>
        <v>205286816</v>
      </c>
    </row>
    <row r="19" spans="1:18" s="830" customFormat="1" ht="26.25" customHeight="1">
      <c r="A19" s="829"/>
      <c r="B19" s="824" t="s">
        <v>759</v>
      </c>
      <c r="C19" s="828"/>
      <c r="D19" s="828">
        <f>SUM('19 önkormányzat'!F16)</f>
        <v>6848850</v>
      </c>
      <c r="E19" s="828"/>
      <c r="F19" s="1281">
        <f>SUM(C19:E19)</f>
        <v>6848850</v>
      </c>
      <c r="G19" s="1297"/>
      <c r="H19" s="828">
        <f>SUM('19 önkormányzat'!G16)</f>
        <v>6848850</v>
      </c>
      <c r="I19" s="828"/>
      <c r="J19" s="1298">
        <f>SUM(G19:I19)</f>
        <v>6848850</v>
      </c>
      <c r="K19" s="1297"/>
      <c r="L19" s="828">
        <f>SUM('19 önkormányzat'!H16)</f>
        <v>13257607</v>
      </c>
      <c r="M19" s="828"/>
      <c r="N19" s="1298">
        <f>SUM(K19:M19)</f>
        <v>13257607</v>
      </c>
      <c r="O19" s="1297"/>
      <c r="P19" s="828">
        <v>13257607</v>
      </c>
      <c r="Q19" s="828"/>
      <c r="R19" s="1298">
        <f>SUM(O19:Q19)</f>
        <v>13257607</v>
      </c>
    </row>
    <row r="20" spans="1:18" s="4" customFormat="1" ht="12.75">
      <c r="A20" s="775"/>
      <c r="B20" s="825" t="s">
        <v>760</v>
      </c>
      <c r="C20" s="827"/>
      <c r="D20" s="827"/>
      <c r="E20" s="827"/>
      <c r="F20" s="1280"/>
      <c r="G20" s="1295"/>
      <c r="H20" s="827"/>
      <c r="I20" s="827"/>
      <c r="J20" s="1296"/>
      <c r="K20" s="1295"/>
      <c r="L20" s="827"/>
      <c r="M20" s="827"/>
      <c r="N20" s="1296"/>
      <c r="O20" s="1295"/>
      <c r="P20" s="827"/>
      <c r="Q20" s="827"/>
      <c r="R20" s="1296"/>
    </row>
    <row r="21" spans="1:18" s="4" customFormat="1" ht="31.5">
      <c r="A21" s="775" t="s">
        <v>164</v>
      </c>
      <c r="B21" s="786" t="s">
        <v>761</v>
      </c>
      <c r="C21" s="832">
        <f aca="true" t="shared" si="6" ref="C21:J21">SUM(C18+C19)</f>
        <v>197827616</v>
      </c>
      <c r="D21" s="832">
        <f t="shared" si="6"/>
        <v>6848850</v>
      </c>
      <c r="E21" s="832">
        <f t="shared" si="6"/>
        <v>0</v>
      </c>
      <c r="F21" s="1282">
        <f t="shared" si="6"/>
        <v>204676466</v>
      </c>
      <c r="G21" s="1299">
        <f t="shared" si="6"/>
        <v>197827616</v>
      </c>
      <c r="H21" s="832">
        <f t="shared" si="6"/>
        <v>6848850</v>
      </c>
      <c r="I21" s="832">
        <f t="shared" si="6"/>
        <v>0</v>
      </c>
      <c r="J21" s="1300">
        <f t="shared" si="6"/>
        <v>204676466</v>
      </c>
      <c r="K21" s="1299">
        <f aca="true" t="shared" si="7" ref="K21:R21">SUM(K18+K19)</f>
        <v>205286816</v>
      </c>
      <c r="L21" s="832">
        <f t="shared" si="7"/>
        <v>13257607</v>
      </c>
      <c r="M21" s="832">
        <f t="shared" si="7"/>
        <v>0</v>
      </c>
      <c r="N21" s="1300">
        <f t="shared" si="7"/>
        <v>218544423</v>
      </c>
      <c r="O21" s="1299">
        <f t="shared" si="7"/>
        <v>205286816</v>
      </c>
      <c r="P21" s="832">
        <f t="shared" si="7"/>
        <v>13257607</v>
      </c>
      <c r="Q21" s="832">
        <f t="shared" si="7"/>
        <v>0</v>
      </c>
      <c r="R21" s="1300">
        <f t="shared" si="7"/>
        <v>218544423</v>
      </c>
    </row>
    <row r="22" spans="1:18" s="4" customFormat="1" ht="31.5">
      <c r="A22" s="775" t="s">
        <v>166</v>
      </c>
      <c r="B22" s="786" t="s">
        <v>167</v>
      </c>
      <c r="C22" s="832">
        <v>0</v>
      </c>
      <c r="D22" s="832">
        <v>0</v>
      </c>
      <c r="E22" s="832">
        <v>0</v>
      </c>
      <c r="F22" s="1282">
        <v>0</v>
      </c>
      <c r="G22" s="1299">
        <v>0</v>
      </c>
      <c r="H22" s="832">
        <v>0</v>
      </c>
      <c r="I22" s="832">
        <v>0</v>
      </c>
      <c r="J22" s="1300">
        <v>0</v>
      </c>
      <c r="K22" s="1299">
        <v>0</v>
      </c>
      <c r="L22" s="832">
        <v>0</v>
      </c>
      <c r="M22" s="832">
        <v>0</v>
      </c>
      <c r="N22" s="1300">
        <v>0</v>
      </c>
      <c r="O22" s="1299">
        <v>0</v>
      </c>
      <c r="P22" s="832">
        <v>0</v>
      </c>
      <c r="Q22" s="832">
        <v>0</v>
      </c>
      <c r="R22" s="1300">
        <v>0</v>
      </c>
    </row>
    <row r="23" spans="1:18" s="4" customFormat="1" ht="12.75">
      <c r="A23" s="775"/>
      <c r="B23" s="824" t="s">
        <v>762</v>
      </c>
      <c r="C23" s="827"/>
      <c r="D23" s="827"/>
      <c r="E23" s="827"/>
      <c r="F23" s="1280">
        <f>SUM(C23:E23)</f>
        <v>0</v>
      </c>
      <c r="G23" s="1295"/>
      <c r="H23" s="827"/>
      <c r="I23" s="827"/>
      <c r="J23" s="1296">
        <f>SUM(G23:I23)</f>
        <v>0</v>
      </c>
      <c r="K23" s="1295"/>
      <c r="L23" s="827"/>
      <c r="M23" s="827"/>
      <c r="N23" s="1296">
        <f>SUM(K23:M23)</f>
        <v>0</v>
      </c>
      <c r="O23" s="1295"/>
      <c r="P23" s="827"/>
      <c r="Q23" s="827"/>
      <c r="R23" s="1296">
        <f>SUM(O23:Q23)</f>
        <v>0</v>
      </c>
    </row>
    <row r="24" spans="1:18" s="4" customFormat="1" ht="12.75">
      <c r="A24" s="775"/>
      <c r="B24" s="776" t="s">
        <v>763</v>
      </c>
      <c r="C24" s="827">
        <f>SUM('19 önkormányzat'!F26)</f>
        <v>7013063</v>
      </c>
      <c r="D24" s="827"/>
      <c r="E24" s="827"/>
      <c r="F24" s="1280">
        <f>SUM(C24:E24)</f>
        <v>7013063</v>
      </c>
      <c r="G24" s="1295">
        <f>SUM('19 önkormányzat'!G26)</f>
        <v>7013063</v>
      </c>
      <c r="H24" s="827"/>
      <c r="I24" s="827"/>
      <c r="J24" s="1296">
        <f>SUM(G24:I24)</f>
        <v>7013063</v>
      </c>
      <c r="K24" s="1295">
        <f>SUM('19 önkormányzat'!H26)</f>
        <v>7013063</v>
      </c>
      <c r="L24" s="827"/>
      <c r="M24" s="827"/>
      <c r="N24" s="1296">
        <f>SUM(K24:M24)</f>
        <v>7013063</v>
      </c>
      <c r="O24" s="1295">
        <f>SUM('19 önkormányzat'!I26)</f>
        <v>7013063</v>
      </c>
      <c r="P24" s="827"/>
      <c r="Q24" s="827"/>
      <c r="R24" s="1296">
        <f>SUM(O24:Q24)</f>
        <v>7013063</v>
      </c>
    </row>
    <row r="25" spans="1:18" s="4" customFormat="1" ht="12.75">
      <c r="A25" s="775"/>
      <c r="B25" s="776" t="s">
        <v>764</v>
      </c>
      <c r="C25" s="827">
        <f>SUM('19 önkormányzat'!F27)</f>
        <v>150581381</v>
      </c>
      <c r="D25" s="827"/>
      <c r="E25" s="827"/>
      <c r="F25" s="1280">
        <f>SUM(C25:E25)</f>
        <v>150581381</v>
      </c>
      <c r="G25" s="1295">
        <f>SUM('19 önkormányzat'!G27)</f>
        <v>150581381</v>
      </c>
      <c r="H25" s="827"/>
      <c r="I25" s="827"/>
      <c r="J25" s="1296">
        <f>SUM(G25:I25)</f>
        <v>150581381</v>
      </c>
      <c r="K25" s="1295">
        <f>SUM('19 önkormányzat'!H27)</f>
        <v>150581381</v>
      </c>
      <c r="L25" s="827"/>
      <c r="M25" s="827"/>
      <c r="N25" s="1296">
        <f>SUM(K25:M25)</f>
        <v>150581381</v>
      </c>
      <c r="O25" s="1295">
        <f>SUM('19 önkormányzat'!I27)</f>
        <v>150581381</v>
      </c>
      <c r="P25" s="827"/>
      <c r="Q25" s="827"/>
      <c r="R25" s="1296">
        <f>SUM(O25:Q25)</f>
        <v>150581381</v>
      </c>
    </row>
    <row r="26" spans="1:18" s="4" customFormat="1" ht="25.5">
      <c r="A26" s="775"/>
      <c r="B26" s="776" t="s">
        <v>765</v>
      </c>
      <c r="C26" s="827">
        <f>SUM('19 önkormányzat'!F28)</f>
        <v>10353962</v>
      </c>
      <c r="D26" s="827"/>
      <c r="E26" s="827"/>
      <c r="F26" s="1280">
        <f>SUM(C26:E26)</f>
        <v>10353962</v>
      </c>
      <c r="G26" s="1295">
        <f>SUM('19 önkormányzat'!G28)</f>
        <v>10353962</v>
      </c>
      <c r="H26" s="827"/>
      <c r="I26" s="827"/>
      <c r="J26" s="1296">
        <f>SUM(G26:I26)</f>
        <v>10353962</v>
      </c>
      <c r="K26" s="1295">
        <f>SUM('19 önkormányzat'!H28)</f>
        <v>10353962</v>
      </c>
      <c r="L26" s="827"/>
      <c r="M26" s="827"/>
      <c r="N26" s="1296">
        <f>SUM(K26:M26)</f>
        <v>10353962</v>
      </c>
      <c r="O26" s="1295">
        <f>SUM('19 önkormányzat'!I28)</f>
        <v>10353962</v>
      </c>
      <c r="P26" s="827"/>
      <c r="Q26" s="827"/>
      <c r="R26" s="1296">
        <f>SUM(O26:Q26)</f>
        <v>10353962</v>
      </c>
    </row>
    <row r="27" spans="1:18" s="4" customFormat="1" ht="12.75">
      <c r="A27" s="775"/>
      <c r="B27" s="824" t="s">
        <v>766</v>
      </c>
      <c r="C27" s="827">
        <f>SUM('19 önkormányzat'!F29)</f>
        <v>0</v>
      </c>
      <c r="D27" s="827">
        <f>SUM(D24:D26)</f>
        <v>0</v>
      </c>
      <c r="E27" s="827">
        <f>SUM(E24:E26)</f>
        <v>0</v>
      </c>
      <c r="F27" s="1280"/>
      <c r="G27" s="1295">
        <f>SUM('19 önkormányzat'!G29)</f>
        <v>0</v>
      </c>
      <c r="H27" s="827">
        <f>SUM(H24:H26)</f>
        <v>0</v>
      </c>
      <c r="I27" s="827">
        <f>SUM(I24:I26)</f>
        <v>0</v>
      </c>
      <c r="J27" s="1296"/>
      <c r="K27" s="1295">
        <f>SUM('19 önkormányzat'!H29)</f>
        <v>0</v>
      </c>
      <c r="L27" s="827">
        <f>SUM(L24:L26)</f>
        <v>0</v>
      </c>
      <c r="M27" s="827">
        <f>SUM(M24:M26)</f>
        <v>0</v>
      </c>
      <c r="N27" s="1296"/>
      <c r="O27" s="1295">
        <f>SUM('19 önkormányzat'!I29)</f>
        <v>0</v>
      </c>
      <c r="P27" s="827">
        <f>SUM(P24:P26)</f>
        <v>0</v>
      </c>
      <c r="Q27" s="827">
        <f>SUM(Q24:Q26)</f>
        <v>0</v>
      </c>
      <c r="R27" s="1296"/>
    </row>
    <row r="28" spans="1:18" s="4" customFormat="1" ht="12.75">
      <c r="A28" s="775"/>
      <c r="B28" s="824" t="s">
        <v>767</v>
      </c>
      <c r="C28" s="827">
        <f>SUM('19 önkormányzat'!F30)</f>
        <v>502981</v>
      </c>
      <c r="D28" s="827"/>
      <c r="E28" s="827">
        <f>SUM('19 önkormányzat'!H30)</f>
        <v>502981</v>
      </c>
      <c r="F28" s="1280">
        <f>SUM(C28:E28)</f>
        <v>1005962</v>
      </c>
      <c r="G28" s="1295">
        <f>SUM('19 önkormányzat'!G30)</f>
        <v>502981</v>
      </c>
      <c r="H28" s="1295">
        <f>SUM('19 önkormányzat'!H30)</f>
        <v>502981</v>
      </c>
      <c r="I28" s="827">
        <f>SUM('19 önkormányzat'!L30)</f>
        <v>0</v>
      </c>
      <c r="J28" s="1296">
        <f>SUM(G28:I28)</f>
        <v>1005962</v>
      </c>
      <c r="K28" s="1295">
        <f>SUM('19 önkormányzat'!H30)</f>
        <v>502981</v>
      </c>
      <c r="L28" s="1295"/>
      <c r="M28" s="827"/>
      <c r="N28" s="1296">
        <f>SUM(K28:M28)</f>
        <v>502981</v>
      </c>
      <c r="O28" s="1295">
        <f>SUM('19 önkormányzat'!I30)</f>
        <v>502981</v>
      </c>
      <c r="P28" s="1295"/>
      <c r="Q28" s="827"/>
      <c r="R28" s="1296">
        <f>SUM(O28:Q28)</f>
        <v>502981</v>
      </c>
    </row>
    <row r="29" spans="1:18" s="4" customFormat="1" ht="15.75">
      <c r="A29" s="775" t="s">
        <v>166</v>
      </c>
      <c r="B29" s="786" t="s">
        <v>768</v>
      </c>
      <c r="C29" s="831">
        <f aca="true" t="shared" si="8" ref="C29:J29">SUM(C24+C25+C26+C28)</f>
        <v>168451387</v>
      </c>
      <c r="D29" s="831">
        <f t="shared" si="8"/>
        <v>0</v>
      </c>
      <c r="E29" s="831">
        <f t="shared" si="8"/>
        <v>502981</v>
      </c>
      <c r="F29" s="1283">
        <f t="shared" si="8"/>
        <v>168954368</v>
      </c>
      <c r="G29" s="1301">
        <f t="shared" si="8"/>
        <v>168451387</v>
      </c>
      <c r="H29" s="831">
        <f t="shared" si="8"/>
        <v>502981</v>
      </c>
      <c r="I29" s="831">
        <f t="shared" si="8"/>
        <v>0</v>
      </c>
      <c r="J29" s="1302">
        <f t="shared" si="8"/>
        <v>168954368</v>
      </c>
      <c r="K29" s="1301">
        <f aca="true" t="shared" si="9" ref="K29:R29">SUM(K24+K25+K26+K28)</f>
        <v>168451387</v>
      </c>
      <c r="L29" s="831">
        <f t="shared" si="9"/>
        <v>0</v>
      </c>
      <c r="M29" s="831">
        <f t="shared" si="9"/>
        <v>0</v>
      </c>
      <c r="N29" s="1302">
        <f t="shared" si="9"/>
        <v>168451387</v>
      </c>
      <c r="O29" s="1301">
        <f t="shared" si="9"/>
        <v>168451387</v>
      </c>
      <c r="P29" s="831">
        <f t="shared" si="9"/>
        <v>0</v>
      </c>
      <c r="Q29" s="831">
        <f t="shared" si="9"/>
        <v>0</v>
      </c>
      <c r="R29" s="1302">
        <f t="shared" si="9"/>
        <v>168451387</v>
      </c>
    </row>
    <row r="30" spans="1:18" s="4" customFormat="1" ht="12.75">
      <c r="A30" s="775"/>
      <c r="B30" s="776" t="s">
        <v>748</v>
      </c>
      <c r="C30" s="827">
        <f>SUM('19 önkormányzat'!F32)</f>
        <v>3345228</v>
      </c>
      <c r="D30" s="827"/>
      <c r="E30" s="827"/>
      <c r="F30" s="1280">
        <f aca="true" t="shared" si="10" ref="F30:F37">SUM(C30:E30)</f>
        <v>3345228</v>
      </c>
      <c r="G30" s="1295">
        <f>SUM('19 önkormányzat'!G32)</f>
        <v>3345228</v>
      </c>
      <c r="H30" s="827"/>
      <c r="I30" s="827"/>
      <c r="J30" s="1296">
        <f aca="true" t="shared" si="11" ref="J30:J35">SUM(G30:I30)</f>
        <v>3345228</v>
      </c>
      <c r="K30" s="1295">
        <f>SUM('19 önkormányzat'!H32)</f>
        <v>3345228</v>
      </c>
      <c r="L30" s="827"/>
      <c r="M30" s="827"/>
      <c r="N30" s="1296">
        <f aca="true" t="shared" si="12" ref="N30:N35">SUM(K30:M30)</f>
        <v>3345228</v>
      </c>
      <c r="O30" s="1295">
        <f>SUM('19 önkormányzat'!I32)</f>
        <v>3345228</v>
      </c>
      <c r="P30" s="827"/>
      <c r="Q30" s="827"/>
      <c r="R30" s="1296">
        <f aca="true" t="shared" si="13" ref="R30:R36">SUM(O30:Q30)</f>
        <v>3345228</v>
      </c>
    </row>
    <row r="31" spans="1:18" s="4" customFormat="1" ht="25.5">
      <c r="A31" s="775"/>
      <c r="B31" s="776" t="s">
        <v>769</v>
      </c>
      <c r="C31" s="827">
        <f>SUM('19 önkormányzat'!F33)</f>
        <v>4000000</v>
      </c>
      <c r="D31" s="827"/>
      <c r="E31" s="827"/>
      <c r="F31" s="1280">
        <f t="shared" si="10"/>
        <v>4000000</v>
      </c>
      <c r="G31" s="1295">
        <f>SUM('19 önkormányzat'!G33)</f>
        <v>7217231</v>
      </c>
      <c r="H31" s="827"/>
      <c r="I31" s="827"/>
      <c r="J31" s="1296">
        <f t="shared" si="11"/>
        <v>7217231</v>
      </c>
      <c r="K31" s="1295">
        <f>SUM('19 önkormányzat'!H33)</f>
        <v>7217231</v>
      </c>
      <c r="L31" s="827"/>
      <c r="M31" s="827"/>
      <c r="N31" s="1296">
        <f t="shared" si="12"/>
        <v>7217231</v>
      </c>
      <c r="O31" s="1295">
        <f>SUM('19 önkormányzat'!I33)</f>
        <v>7217231</v>
      </c>
      <c r="P31" s="827"/>
      <c r="Q31" s="827"/>
      <c r="R31" s="1296">
        <f t="shared" si="13"/>
        <v>7217231</v>
      </c>
    </row>
    <row r="32" spans="1:18" s="4" customFormat="1" ht="12.75">
      <c r="A32" s="775"/>
      <c r="B32" s="776" t="s">
        <v>770</v>
      </c>
      <c r="C32" s="827">
        <f>SUM('19 önkormányzat'!F34)</f>
        <v>2400000</v>
      </c>
      <c r="D32" s="827"/>
      <c r="E32" s="827"/>
      <c r="F32" s="1280">
        <f t="shared" si="10"/>
        <v>2400000</v>
      </c>
      <c r="G32" s="1295">
        <f>SUM('19 önkormányzat'!G34)</f>
        <v>2400000</v>
      </c>
      <c r="H32" s="827"/>
      <c r="I32" s="827"/>
      <c r="J32" s="1296">
        <f t="shared" si="11"/>
        <v>2400000</v>
      </c>
      <c r="K32" s="1295">
        <f>SUM('19 önkormányzat'!H34)</f>
        <v>2400000</v>
      </c>
      <c r="L32" s="827"/>
      <c r="M32" s="827"/>
      <c r="N32" s="1296">
        <f t="shared" si="12"/>
        <v>2400000</v>
      </c>
      <c r="O32" s="1295">
        <f>SUM('19 önkormányzat'!I34)</f>
        <v>2400000</v>
      </c>
      <c r="P32" s="827"/>
      <c r="Q32" s="827"/>
      <c r="R32" s="1296">
        <f t="shared" si="13"/>
        <v>2400000</v>
      </c>
    </row>
    <row r="33" spans="1:18" s="4" customFormat="1" ht="25.5">
      <c r="A33" s="775"/>
      <c r="B33" s="776" t="s">
        <v>725</v>
      </c>
      <c r="C33" s="827">
        <f>SUM('19 önkormányzat'!F35)</f>
        <v>6000000</v>
      </c>
      <c r="D33" s="827"/>
      <c r="E33" s="827"/>
      <c r="F33" s="1280">
        <f t="shared" si="10"/>
        <v>6000000</v>
      </c>
      <c r="G33" s="1295">
        <f>SUM('19 önkormányzat'!G35)</f>
        <v>6000000</v>
      </c>
      <c r="H33" s="827"/>
      <c r="I33" s="827"/>
      <c r="J33" s="1296">
        <f t="shared" si="11"/>
        <v>6000000</v>
      </c>
      <c r="K33" s="1295">
        <f>SUM('19 önkormányzat'!H35)</f>
        <v>6000000</v>
      </c>
      <c r="L33" s="827"/>
      <c r="M33" s="827"/>
      <c r="N33" s="1296">
        <f t="shared" si="12"/>
        <v>6000000</v>
      </c>
      <c r="O33" s="1295">
        <f>SUM('19 önkormányzat'!I35)</f>
        <v>9780000</v>
      </c>
      <c r="P33" s="827"/>
      <c r="Q33" s="827"/>
      <c r="R33" s="1296">
        <f t="shared" si="13"/>
        <v>9780000</v>
      </c>
    </row>
    <row r="34" spans="1:18" s="4" customFormat="1" ht="26.25" customHeight="1">
      <c r="A34" s="775"/>
      <c r="B34" s="776" t="s">
        <v>771</v>
      </c>
      <c r="C34" s="827">
        <f>SUM('19 önkormányzat'!F36)</f>
        <v>0</v>
      </c>
      <c r="D34" s="827"/>
      <c r="E34" s="827"/>
      <c r="F34" s="1280">
        <f t="shared" si="10"/>
        <v>0</v>
      </c>
      <c r="G34" s="1295">
        <f>SUM('19 önkormányzat'!J36)</f>
        <v>0</v>
      </c>
      <c r="H34" s="827"/>
      <c r="I34" s="827"/>
      <c r="J34" s="1296">
        <f t="shared" si="11"/>
        <v>0</v>
      </c>
      <c r="K34" s="1295">
        <f>SUM('19 önkormányzat'!H36)</f>
        <v>0</v>
      </c>
      <c r="L34" s="827"/>
      <c r="M34" s="827"/>
      <c r="N34" s="1296">
        <f t="shared" si="12"/>
        <v>0</v>
      </c>
      <c r="O34" s="1295">
        <f>SUM('19 önkormányzat'!I36)</f>
        <v>0</v>
      </c>
      <c r="P34" s="827"/>
      <c r="Q34" s="827"/>
      <c r="R34" s="1296">
        <f t="shared" si="13"/>
        <v>0</v>
      </c>
    </row>
    <row r="35" spans="1:18" s="4" customFormat="1" ht="26.25" customHeight="1">
      <c r="A35" s="775"/>
      <c r="B35" s="776" t="s">
        <v>772</v>
      </c>
      <c r="C35" s="827"/>
      <c r="D35" s="827"/>
      <c r="E35" s="827"/>
      <c r="F35" s="1280">
        <f t="shared" si="10"/>
        <v>0</v>
      </c>
      <c r="G35" s="1295"/>
      <c r="H35" s="827"/>
      <c r="I35" s="827"/>
      <c r="J35" s="1296">
        <f t="shared" si="11"/>
        <v>0</v>
      </c>
      <c r="K35" s="1295">
        <f>SUM('19 önkormányzat'!H37)</f>
        <v>0</v>
      </c>
      <c r="L35" s="827"/>
      <c r="M35" s="827"/>
      <c r="N35" s="1296">
        <f t="shared" si="12"/>
        <v>0</v>
      </c>
      <c r="O35" s="1295">
        <f>SUM('19 önkormányzat'!I37)</f>
        <v>5</v>
      </c>
      <c r="P35" s="827"/>
      <c r="Q35" s="827"/>
      <c r="R35" s="1296">
        <f t="shared" si="13"/>
        <v>5</v>
      </c>
    </row>
    <row r="36" spans="1:18" s="4" customFormat="1" ht="12.75">
      <c r="A36" s="775"/>
      <c r="B36" s="903" t="s">
        <v>821</v>
      </c>
      <c r="C36" s="827"/>
      <c r="D36" s="827"/>
      <c r="E36" s="827"/>
      <c r="F36" s="1280"/>
      <c r="G36" s="1295"/>
      <c r="H36" s="827"/>
      <c r="I36" s="827"/>
      <c r="J36" s="1296"/>
      <c r="K36" s="1295">
        <f>SUM('19 önkormányzat'!H38)</f>
        <v>0</v>
      </c>
      <c r="L36" s="827"/>
      <c r="M36" s="827"/>
      <c r="N36" s="1296"/>
      <c r="O36" s="1295">
        <f>SUM('19 önkormányzat'!I38)</f>
        <v>113750</v>
      </c>
      <c r="P36" s="827"/>
      <c r="Q36" s="827"/>
      <c r="R36" s="1296">
        <f t="shared" si="13"/>
        <v>113750</v>
      </c>
    </row>
    <row r="37" spans="1:18" s="4" customFormat="1" ht="12.75">
      <c r="A37" s="775"/>
      <c r="B37" s="776" t="s">
        <v>727</v>
      </c>
      <c r="C37" s="827"/>
      <c r="D37" s="827"/>
      <c r="E37" s="827"/>
      <c r="F37" s="1280">
        <f t="shared" si="10"/>
        <v>0</v>
      </c>
      <c r="G37" s="1295"/>
      <c r="H37" s="827"/>
      <c r="I37" s="827"/>
      <c r="J37" s="1296">
        <f>SUM(G37:I37)</f>
        <v>0</v>
      </c>
      <c r="K37" s="1295">
        <f>SUM('19 önkormányzat'!H39)</f>
        <v>25243</v>
      </c>
      <c r="L37" s="827"/>
      <c r="M37" s="827"/>
      <c r="N37" s="1296">
        <f>SUM(K37:M37)</f>
        <v>25243</v>
      </c>
      <c r="O37" s="1295">
        <f>SUM('19 önkormányzat'!I39)</f>
        <v>2442485</v>
      </c>
      <c r="P37" s="827"/>
      <c r="Q37" s="827"/>
      <c r="R37" s="1296">
        <f>SUM(O37:Q37)</f>
        <v>2442485</v>
      </c>
    </row>
    <row r="38" spans="1:18" s="4" customFormat="1" ht="15.75">
      <c r="A38" s="775" t="s">
        <v>173</v>
      </c>
      <c r="B38" s="786" t="s">
        <v>722</v>
      </c>
      <c r="C38" s="831">
        <f aca="true" t="shared" si="14" ref="C38:J38">SUM(C30:C37)</f>
        <v>15745228</v>
      </c>
      <c r="D38" s="831">
        <f t="shared" si="14"/>
        <v>0</v>
      </c>
      <c r="E38" s="831">
        <f t="shared" si="14"/>
        <v>0</v>
      </c>
      <c r="F38" s="1283">
        <f t="shared" si="14"/>
        <v>15745228</v>
      </c>
      <c r="G38" s="1301">
        <f t="shared" si="14"/>
        <v>18962459</v>
      </c>
      <c r="H38" s="831">
        <f t="shared" si="14"/>
        <v>0</v>
      </c>
      <c r="I38" s="831">
        <f t="shared" si="14"/>
        <v>0</v>
      </c>
      <c r="J38" s="1302">
        <f t="shared" si="14"/>
        <v>18962459</v>
      </c>
      <c r="K38" s="1301">
        <f aca="true" t="shared" si="15" ref="K38:R38">SUM(K30:K37)</f>
        <v>18987702</v>
      </c>
      <c r="L38" s="831">
        <f t="shared" si="15"/>
        <v>0</v>
      </c>
      <c r="M38" s="831">
        <f t="shared" si="15"/>
        <v>0</v>
      </c>
      <c r="N38" s="1302">
        <f t="shared" si="15"/>
        <v>18987702</v>
      </c>
      <c r="O38" s="1301">
        <f t="shared" si="15"/>
        <v>25298699</v>
      </c>
      <c r="P38" s="831">
        <f t="shared" si="15"/>
        <v>0</v>
      </c>
      <c r="Q38" s="831">
        <f t="shared" si="15"/>
        <v>0</v>
      </c>
      <c r="R38" s="1302">
        <f t="shared" si="15"/>
        <v>25298699</v>
      </c>
    </row>
    <row r="39" spans="1:18" s="4" customFormat="1" ht="12.75">
      <c r="A39" s="775"/>
      <c r="B39" s="776" t="s">
        <v>773</v>
      </c>
      <c r="C39" s="827"/>
      <c r="D39" s="827">
        <f>SUM('19 önkormányzat'!F41)</f>
        <v>24150568</v>
      </c>
      <c r="E39" s="827"/>
      <c r="F39" s="1280">
        <f>SUM(C39:E39)</f>
        <v>24150568</v>
      </c>
      <c r="G39" s="1295"/>
      <c r="H39" s="827">
        <v>24150568</v>
      </c>
      <c r="I39" s="827"/>
      <c r="J39" s="1296">
        <f>SUM(G39:I39)</f>
        <v>24150568</v>
      </c>
      <c r="K39" s="1295"/>
      <c r="L39" s="827">
        <v>24150568</v>
      </c>
      <c r="M39" s="827"/>
      <c r="N39" s="1296">
        <f>SUM(K39:M39)</f>
        <v>24150568</v>
      </c>
      <c r="O39" s="1295"/>
      <c r="P39" s="827">
        <v>38150568</v>
      </c>
      <c r="Q39" s="827"/>
      <c r="R39" s="1296">
        <f>SUM(O39:Q39)</f>
        <v>38150568</v>
      </c>
    </row>
    <row r="40" spans="1:18" s="4" customFormat="1" ht="12.75">
      <c r="A40" s="775"/>
      <c r="B40" s="776" t="s">
        <v>774</v>
      </c>
      <c r="C40" s="827"/>
      <c r="D40" s="827"/>
      <c r="E40" s="827"/>
      <c r="F40" s="1280">
        <f>SUM(C40:E40)</f>
        <v>0</v>
      </c>
      <c r="G40" s="1295"/>
      <c r="H40" s="827"/>
      <c r="I40" s="827"/>
      <c r="J40" s="1296">
        <f>SUM(G40:I40)</f>
        <v>0</v>
      </c>
      <c r="K40" s="1295"/>
      <c r="L40" s="827">
        <v>2364</v>
      </c>
      <c r="M40" s="827"/>
      <c r="N40" s="1296">
        <f>SUM(K40:M40)</f>
        <v>2364</v>
      </c>
      <c r="O40" s="1295"/>
      <c r="P40" s="827">
        <v>2364</v>
      </c>
      <c r="Q40" s="827"/>
      <c r="R40" s="1296">
        <f>SUM(O40:Q40)</f>
        <v>2364</v>
      </c>
    </row>
    <row r="41" spans="1:18" s="4" customFormat="1" ht="15.75">
      <c r="A41" s="775" t="s">
        <v>182</v>
      </c>
      <c r="B41" s="786" t="s">
        <v>775</v>
      </c>
      <c r="C41" s="831">
        <f aca="true" t="shared" si="16" ref="C41:J41">SUM(C39:C40)</f>
        <v>0</v>
      </c>
      <c r="D41" s="831">
        <f t="shared" si="16"/>
        <v>24150568</v>
      </c>
      <c r="E41" s="831">
        <f t="shared" si="16"/>
        <v>0</v>
      </c>
      <c r="F41" s="1283">
        <f t="shared" si="16"/>
        <v>24150568</v>
      </c>
      <c r="G41" s="1301">
        <f t="shared" si="16"/>
        <v>0</v>
      </c>
      <c r="H41" s="831">
        <f t="shared" si="16"/>
        <v>24150568</v>
      </c>
      <c r="I41" s="831">
        <f t="shared" si="16"/>
        <v>0</v>
      </c>
      <c r="J41" s="1302">
        <f t="shared" si="16"/>
        <v>24150568</v>
      </c>
      <c r="K41" s="1301">
        <f aca="true" t="shared" si="17" ref="K41:R41">SUM(K39:K40)</f>
        <v>0</v>
      </c>
      <c r="L41" s="831">
        <f t="shared" si="17"/>
        <v>24152932</v>
      </c>
      <c r="M41" s="831">
        <f t="shared" si="17"/>
        <v>0</v>
      </c>
      <c r="N41" s="1302">
        <f t="shared" si="17"/>
        <v>24152932</v>
      </c>
      <c r="O41" s="1301">
        <f t="shared" si="17"/>
        <v>0</v>
      </c>
      <c r="P41" s="831">
        <f t="shared" si="17"/>
        <v>38152932</v>
      </c>
      <c r="Q41" s="831">
        <f t="shared" si="17"/>
        <v>0</v>
      </c>
      <c r="R41" s="1302">
        <f t="shared" si="17"/>
        <v>38152932</v>
      </c>
    </row>
    <row r="42" spans="1:18" s="4" customFormat="1" ht="26.25" customHeight="1">
      <c r="A42" s="775"/>
      <c r="B42" s="776" t="s">
        <v>776</v>
      </c>
      <c r="C42" s="827"/>
      <c r="D42" s="827">
        <v>78000</v>
      </c>
      <c r="E42" s="827"/>
      <c r="F42" s="1280">
        <f>SUM(C42:E42)</f>
        <v>78000</v>
      </c>
      <c r="G42" s="1295"/>
      <c r="H42" s="827">
        <v>78000</v>
      </c>
      <c r="I42" s="827"/>
      <c r="J42" s="1296">
        <f>SUM(G42:I42)</f>
        <v>78000</v>
      </c>
      <c r="K42" s="1295"/>
      <c r="L42" s="827">
        <v>78000</v>
      </c>
      <c r="M42" s="827"/>
      <c r="N42" s="1296">
        <f>SUM(K42:M42)</f>
        <v>78000</v>
      </c>
      <c r="O42" s="1295"/>
      <c r="P42" s="827">
        <v>78000</v>
      </c>
      <c r="Q42" s="827"/>
      <c r="R42" s="1296">
        <f>SUM(O42:Q42)</f>
        <v>78000</v>
      </c>
    </row>
    <row r="43" spans="1:18" s="4" customFormat="1" ht="12.75">
      <c r="A43" s="775"/>
      <c r="B43" s="825" t="s">
        <v>777</v>
      </c>
      <c r="C43" s="827"/>
      <c r="D43" s="827"/>
      <c r="E43" s="827"/>
      <c r="F43" s="1280">
        <f>SUM(C43:E43)</f>
        <v>0</v>
      </c>
      <c r="G43" s="1295"/>
      <c r="H43" s="827"/>
      <c r="I43" s="827"/>
      <c r="J43" s="1296">
        <f>SUM(G43:I43)</f>
        <v>0</v>
      </c>
      <c r="K43" s="1295"/>
      <c r="L43" s="827"/>
      <c r="M43" s="827"/>
      <c r="N43" s="1296">
        <f>SUM(K43:M43)</f>
        <v>0</v>
      </c>
      <c r="O43" s="1295"/>
      <c r="P43" s="827"/>
      <c r="Q43" s="827"/>
      <c r="R43" s="1296">
        <f>SUM(O43:Q43)</f>
        <v>0</v>
      </c>
    </row>
    <row r="44" spans="1:18" s="4" customFormat="1" ht="26.25" customHeight="1">
      <c r="A44" s="775"/>
      <c r="B44" s="776" t="s">
        <v>778</v>
      </c>
      <c r="C44" s="827"/>
      <c r="D44" s="827"/>
      <c r="E44" s="827"/>
      <c r="F44" s="1280">
        <f>SUM(C44:E44)</f>
        <v>0</v>
      </c>
      <c r="G44" s="1295"/>
      <c r="H44" s="827"/>
      <c r="I44" s="827"/>
      <c r="J44" s="1296">
        <f>SUM(G44:I44)</f>
        <v>0</v>
      </c>
      <c r="K44" s="1295"/>
      <c r="L44" s="827"/>
      <c r="M44" s="827"/>
      <c r="N44" s="1296">
        <f>SUM(K44:M44)</f>
        <v>0</v>
      </c>
      <c r="O44" s="1295"/>
      <c r="P44" s="827"/>
      <c r="Q44" s="827"/>
      <c r="R44" s="1296">
        <f>SUM(O44:Q44)</f>
        <v>0</v>
      </c>
    </row>
    <row r="45" spans="1:18" s="4" customFormat="1" ht="12.75">
      <c r="A45" s="775"/>
      <c r="B45" s="825" t="s">
        <v>779</v>
      </c>
      <c r="C45" s="827"/>
      <c r="D45" s="827"/>
      <c r="E45" s="827"/>
      <c r="F45" s="1280">
        <f>SUM(C45:E45)</f>
        <v>0</v>
      </c>
      <c r="G45" s="1295"/>
      <c r="H45" s="827"/>
      <c r="I45" s="827"/>
      <c r="J45" s="1296">
        <f>SUM(G45:I45)</f>
        <v>0</v>
      </c>
      <c r="K45" s="1295"/>
      <c r="L45" s="827"/>
      <c r="M45" s="827"/>
      <c r="N45" s="1296">
        <f>SUM(K45:M45)</f>
        <v>0</v>
      </c>
      <c r="O45" s="1295"/>
      <c r="P45" s="827"/>
      <c r="Q45" s="827"/>
      <c r="R45" s="1296">
        <f>SUM(O45:Q45)</f>
        <v>0</v>
      </c>
    </row>
    <row r="46" spans="1:18" s="4" customFormat="1" ht="31.5">
      <c r="A46" s="775" t="s">
        <v>183</v>
      </c>
      <c r="B46" s="786" t="s">
        <v>780</v>
      </c>
      <c r="C46" s="831">
        <f aca="true" t="shared" si="18" ref="C46:J46">SUM(C42+C44)</f>
        <v>0</v>
      </c>
      <c r="D46" s="831">
        <f t="shared" si="18"/>
        <v>78000</v>
      </c>
      <c r="E46" s="831">
        <f t="shared" si="18"/>
        <v>0</v>
      </c>
      <c r="F46" s="1283">
        <f t="shared" si="18"/>
        <v>78000</v>
      </c>
      <c r="G46" s="1301">
        <f t="shared" si="18"/>
        <v>0</v>
      </c>
      <c r="H46" s="831">
        <f t="shared" si="18"/>
        <v>78000</v>
      </c>
      <c r="I46" s="831">
        <f t="shared" si="18"/>
        <v>0</v>
      </c>
      <c r="J46" s="1302">
        <f t="shared" si="18"/>
        <v>78000</v>
      </c>
      <c r="K46" s="1301">
        <f aca="true" t="shared" si="19" ref="K46:R46">SUM(K42+K44)</f>
        <v>0</v>
      </c>
      <c r="L46" s="831">
        <f t="shared" si="19"/>
        <v>78000</v>
      </c>
      <c r="M46" s="831">
        <f t="shared" si="19"/>
        <v>0</v>
      </c>
      <c r="N46" s="1302">
        <f t="shared" si="19"/>
        <v>78000</v>
      </c>
      <c r="O46" s="1301">
        <f t="shared" si="19"/>
        <v>0</v>
      </c>
      <c r="P46" s="831">
        <f t="shared" si="19"/>
        <v>78000</v>
      </c>
      <c r="Q46" s="831">
        <f t="shared" si="19"/>
        <v>0</v>
      </c>
      <c r="R46" s="1302">
        <f t="shared" si="19"/>
        <v>78000</v>
      </c>
    </row>
    <row r="47" spans="1:18" s="4" customFormat="1" ht="26.25" customHeight="1">
      <c r="A47" s="775"/>
      <c r="B47" s="776" t="s">
        <v>781</v>
      </c>
      <c r="C47" s="775"/>
      <c r="D47" s="775"/>
      <c r="E47" s="775"/>
      <c r="F47" s="1284"/>
      <c r="G47" s="1303"/>
      <c r="H47" s="775"/>
      <c r="I47" s="775"/>
      <c r="J47" s="1304"/>
      <c r="K47" s="1303"/>
      <c r="L47" s="775"/>
      <c r="M47" s="775"/>
      <c r="N47" s="1304"/>
      <c r="O47" s="1303"/>
      <c r="P47" s="775"/>
      <c r="Q47" s="775"/>
      <c r="R47" s="1304"/>
    </row>
    <row r="48" spans="1:18" s="4" customFormat="1" ht="32.25" thickBot="1">
      <c r="A48" s="775" t="s">
        <v>184</v>
      </c>
      <c r="B48" s="786" t="s">
        <v>782</v>
      </c>
      <c r="C48" s="775"/>
      <c r="D48" s="775"/>
      <c r="E48" s="775"/>
      <c r="F48" s="1284"/>
      <c r="G48" s="1303"/>
      <c r="H48" s="775"/>
      <c r="I48" s="775"/>
      <c r="J48" s="1304"/>
      <c r="K48" s="1303"/>
      <c r="L48" s="775"/>
      <c r="M48" s="775"/>
      <c r="N48" s="1304"/>
      <c r="O48" s="1303"/>
      <c r="P48" s="775"/>
      <c r="Q48" s="775"/>
      <c r="R48" s="1304"/>
    </row>
    <row r="49" spans="1:18" s="554" customFormat="1" ht="16.5" thickBot="1">
      <c r="A49" s="2004" t="s">
        <v>485</v>
      </c>
      <c r="B49" s="2005"/>
      <c r="C49" s="799">
        <f aca="true" t="shared" si="20" ref="C49:J49">SUM(C21+C29+C38+C41+C46+C48)</f>
        <v>382024231</v>
      </c>
      <c r="D49" s="799">
        <f t="shared" si="20"/>
        <v>31077418</v>
      </c>
      <c r="E49" s="799">
        <f t="shared" si="20"/>
        <v>502981</v>
      </c>
      <c r="F49" s="1285">
        <f t="shared" si="20"/>
        <v>413604630</v>
      </c>
      <c r="G49" s="1305">
        <f t="shared" si="20"/>
        <v>385241462</v>
      </c>
      <c r="H49" s="799">
        <f t="shared" si="20"/>
        <v>31580399</v>
      </c>
      <c r="I49" s="799">
        <f t="shared" si="20"/>
        <v>0</v>
      </c>
      <c r="J49" s="800">
        <f t="shared" si="20"/>
        <v>416821861</v>
      </c>
      <c r="K49" s="1305">
        <f aca="true" t="shared" si="21" ref="K49:R49">SUM(K21+K29+K38+K41+K46+K48)</f>
        <v>392725905</v>
      </c>
      <c r="L49" s="799">
        <f t="shared" si="21"/>
        <v>37488539</v>
      </c>
      <c r="M49" s="799">
        <f t="shared" si="21"/>
        <v>0</v>
      </c>
      <c r="N49" s="800">
        <f t="shared" si="21"/>
        <v>430214444</v>
      </c>
      <c r="O49" s="1305">
        <f t="shared" si="21"/>
        <v>399036902</v>
      </c>
      <c r="P49" s="799">
        <f t="shared" si="21"/>
        <v>51488539</v>
      </c>
      <c r="Q49" s="799">
        <f t="shared" si="21"/>
        <v>0</v>
      </c>
      <c r="R49" s="800">
        <f t="shared" si="21"/>
        <v>450525441</v>
      </c>
    </row>
    <row r="50" spans="1:18" ht="25.5">
      <c r="A50" s="782"/>
      <c r="B50" s="776" t="s">
        <v>729</v>
      </c>
      <c r="C50" s="801">
        <f>SUM('19 önkormányzat'!F52)</f>
        <v>654580501</v>
      </c>
      <c r="D50" s="801"/>
      <c r="E50" s="801"/>
      <c r="F50" s="1286">
        <f>SUM(C50:E50)</f>
        <v>654580501</v>
      </c>
      <c r="G50" s="1306">
        <f>SUM('19 önkormányzat'!G52)</f>
        <v>651363270</v>
      </c>
      <c r="H50" s="801"/>
      <c r="I50" s="801"/>
      <c r="J50" s="1307">
        <f>SUM(G50:I50)</f>
        <v>651363270</v>
      </c>
      <c r="K50" s="1306">
        <f>SUM('19 önkormányzat'!H52)</f>
        <v>651363270</v>
      </c>
      <c r="L50" s="801"/>
      <c r="M50" s="801"/>
      <c r="N50" s="1307">
        <f>SUM(K50:M50)</f>
        <v>651363270</v>
      </c>
      <c r="O50" s="1306">
        <f>SUM('19 önkormányzat'!I52)</f>
        <v>651363270</v>
      </c>
      <c r="P50" s="801"/>
      <c r="Q50" s="801"/>
      <c r="R50" s="1307">
        <f>SUM(O50:Q50)</f>
        <v>651363270</v>
      </c>
    </row>
    <row r="51" spans="1:18" ht="12.75">
      <c r="A51" s="422"/>
      <c r="B51" s="777" t="s">
        <v>730</v>
      </c>
      <c r="C51" s="648">
        <f>SUM(C50)</f>
        <v>654580501</v>
      </c>
      <c r="D51" s="648"/>
      <c r="E51" s="648"/>
      <c r="F51" s="1286">
        <f>SUM(C51:E51)</f>
        <v>654580501</v>
      </c>
      <c r="G51" s="1308">
        <f>SUM(G50)</f>
        <v>651363270</v>
      </c>
      <c r="H51" s="648"/>
      <c r="I51" s="648"/>
      <c r="J51" s="1307">
        <f>SUM(G51:I51)</f>
        <v>651363270</v>
      </c>
      <c r="K51" s="1308">
        <f>SUM(K50)</f>
        <v>651363270</v>
      </c>
      <c r="L51" s="648"/>
      <c r="M51" s="648"/>
      <c r="N51" s="1307">
        <f>SUM(K51:M51)</f>
        <v>651363270</v>
      </c>
      <c r="O51" s="1308">
        <f>SUM(O50)</f>
        <v>651363270</v>
      </c>
      <c r="P51" s="648"/>
      <c r="Q51" s="648"/>
      <c r="R51" s="1307">
        <f>SUM(O51:Q51)</f>
        <v>651363270</v>
      </c>
    </row>
    <row r="52" spans="1:18" ht="13.5" thickBot="1">
      <c r="A52" s="784"/>
      <c r="B52" s="833" t="s">
        <v>783</v>
      </c>
      <c r="C52" s="802">
        <f>SUM('19 önkormányzat'!F55)</f>
        <v>7035063</v>
      </c>
      <c r="D52" s="802"/>
      <c r="E52" s="802"/>
      <c r="F52" s="1286">
        <f>SUM(C52:E52)</f>
        <v>7035063</v>
      </c>
      <c r="G52" s="1309">
        <f>SUM('19 önkormányzat'!G55)</f>
        <v>7035063</v>
      </c>
      <c r="H52" s="802"/>
      <c r="I52" s="802"/>
      <c r="J52" s="1307">
        <f>SUM(G52:I52)</f>
        <v>7035063</v>
      </c>
      <c r="K52" s="1309">
        <f>SUM('19 önkormányzat'!H55)</f>
        <v>7035063</v>
      </c>
      <c r="L52" s="802"/>
      <c r="M52" s="802"/>
      <c r="N52" s="1307">
        <f>SUM(K52:M52)</f>
        <v>7035063</v>
      </c>
      <c r="O52" s="1309">
        <f>SUM('19 önkormányzat'!I55)</f>
        <v>7035063</v>
      </c>
      <c r="P52" s="802"/>
      <c r="Q52" s="802"/>
      <c r="R52" s="1307">
        <f>SUM(O52:Q52)</f>
        <v>7035063</v>
      </c>
    </row>
    <row r="53" spans="1:18" ht="16.5" thickBot="1">
      <c r="A53" s="787"/>
      <c r="B53" s="788" t="s">
        <v>732</v>
      </c>
      <c r="C53" s="803">
        <f>SUM(C51+C52)</f>
        <v>661615564</v>
      </c>
      <c r="D53" s="803">
        <f>SUM(D51:D52)</f>
        <v>0</v>
      </c>
      <c r="E53" s="803">
        <f>SUM(E51:E52)</f>
        <v>0</v>
      </c>
      <c r="F53" s="1287">
        <f>SUM(F51:F52)</f>
        <v>661615564</v>
      </c>
      <c r="G53" s="1310">
        <f>SUM(G51+G52)</f>
        <v>658398333</v>
      </c>
      <c r="H53" s="803">
        <f>SUM(H51:H52)</f>
        <v>0</v>
      </c>
      <c r="I53" s="803">
        <f>SUM(I51:I52)</f>
        <v>0</v>
      </c>
      <c r="J53" s="1311">
        <f>SUM(J51:J52)</f>
        <v>658398333</v>
      </c>
      <c r="K53" s="1310">
        <f>SUM(K51+K52)</f>
        <v>658398333</v>
      </c>
      <c r="L53" s="803">
        <f>SUM(L51:L52)</f>
        <v>0</v>
      </c>
      <c r="M53" s="803">
        <f>SUM(M51:M52)</f>
        <v>0</v>
      </c>
      <c r="N53" s="1311">
        <f>SUM(N51:N52)</f>
        <v>658398333</v>
      </c>
      <c r="O53" s="1310">
        <f>SUM(O51+O52)</f>
        <v>658398333</v>
      </c>
      <c r="P53" s="803">
        <f>SUM(P51:P52)</f>
        <v>0</v>
      </c>
      <c r="Q53" s="803">
        <f>SUM(Q51:Q52)</f>
        <v>0</v>
      </c>
      <c r="R53" s="1311">
        <f>SUM(R51:R52)</f>
        <v>658398333</v>
      </c>
    </row>
    <row r="54" spans="1:18" ht="16.5" thickBot="1">
      <c r="A54" s="1992" t="s">
        <v>157</v>
      </c>
      <c r="B54" s="1993"/>
      <c r="C54" s="804">
        <f aca="true" t="shared" si="22" ref="C54:J54">SUM(C49+C53)</f>
        <v>1043639795</v>
      </c>
      <c r="D54" s="804">
        <f t="shared" si="22"/>
        <v>31077418</v>
      </c>
      <c r="E54" s="804">
        <f t="shared" si="22"/>
        <v>502981</v>
      </c>
      <c r="F54" s="1288">
        <f t="shared" si="22"/>
        <v>1075220194</v>
      </c>
      <c r="G54" s="1312">
        <f t="shared" si="22"/>
        <v>1043639795</v>
      </c>
      <c r="H54" s="804">
        <f t="shared" si="22"/>
        <v>31580399</v>
      </c>
      <c r="I54" s="804">
        <f t="shared" si="22"/>
        <v>0</v>
      </c>
      <c r="J54" s="805">
        <f t="shared" si="22"/>
        <v>1075220194</v>
      </c>
      <c r="K54" s="1312">
        <f aca="true" t="shared" si="23" ref="K54:R54">SUM(K49+K53)</f>
        <v>1051124238</v>
      </c>
      <c r="L54" s="804">
        <f t="shared" si="23"/>
        <v>37488539</v>
      </c>
      <c r="M54" s="804">
        <f t="shared" si="23"/>
        <v>0</v>
      </c>
      <c r="N54" s="805">
        <f t="shared" si="23"/>
        <v>1088612777</v>
      </c>
      <c r="O54" s="1312">
        <f t="shared" si="23"/>
        <v>1057435235</v>
      </c>
      <c r="P54" s="804">
        <f t="shared" si="23"/>
        <v>51488539</v>
      </c>
      <c r="Q54" s="804">
        <f t="shared" si="23"/>
        <v>0</v>
      </c>
      <c r="R54" s="805">
        <f t="shared" si="23"/>
        <v>1108923774</v>
      </c>
    </row>
    <row r="55" spans="1:18" ht="12.75">
      <c r="A55" s="819" t="s">
        <v>164</v>
      </c>
      <c r="B55" s="777" t="s">
        <v>735</v>
      </c>
      <c r="C55" s="780">
        <v>17646224</v>
      </c>
      <c r="D55" s="780">
        <f>SUM('19 önkormányzat'!F123)</f>
        <v>8231088</v>
      </c>
      <c r="E55" s="780"/>
      <c r="F55" s="1289">
        <f>SUM(C55:E55)</f>
        <v>25877312</v>
      </c>
      <c r="G55" s="1313">
        <v>17646224</v>
      </c>
      <c r="H55" s="780">
        <v>8231088</v>
      </c>
      <c r="I55" s="780"/>
      <c r="J55" s="1314">
        <f aca="true" t="shared" si="24" ref="J55:J61">SUM(G55:I55)</f>
        <v>25877312</v>
      </c>
      <c r="K55" s="1313">
        <v>17646224</v>
      </c>
      <c r="L55" s="780">
        <v>8231088</v>
      </c>
      <c r="M55" s="780"/>
      <c r="N55" s="1314">
        <f aca="true" t="shared" si="25" ref="N55:N61">SUM(K55:M55)</f>
        <v>25877312</v>
      </c>
      <c r="O55" s="1313">
        <v>17646224</v>
      </c>
      <c r="P55" s="780">
        <v>8231088</v>
      </c>
      <c r="Q55" s="780"/>
      <c r="R55" s="1314">
        <f>SUM(O55:Q55)</f>
        <v>25877312</v>
      </c>
    </row>
    <row r="56" spans="1:18" ht="25.5">
      <c r="A56" s="820" t="s">
        <v>166</v>
      </c>
      <c r="B56" s="777" t="s">
        <v>736</v>
      </c>
      <c r="C56" s="780">
        <v>3484045</v>
      </c>
      <c r="D56" s="780">
        <f>SUM('19 önkormányzat'!F124)</f>
        <v>1606480</v>
      </c>
      <c r="E56" s="423"/>
      <c r="F56" s="1289">
        <f>SUM(C56:E56)</f>
        <v>5090525</v>
      </c>
      <c r="G56" s="1313">
        <v>3484045</v>
      </c>
      <c r="H56" s="780">
        <v>1606480</v>
      </c>
      <c r="I56" s="423"/>
      <c r="J56" s="1314">
        <f t="shared" si="24"/>
        <v>5090525</v>
      </c>
      <c r="K56" s="1313">
        <v>3484045</v>
      </c>
      <c r="L56" s="780">
        <v>1606480</v>
      </c>
      <c r="M56" s="423"/>
      <c r="N56" s="1314">
        <f t="shared" si="25"/>
        <v>5090525</v>
      </c>
      <c r="O56" s="1313">
        <v>3484045</v>
      </c>
      <c r="P56" s="780">
        <v>1606480</v>
      </c>
      <c r="Q56" s="423"/>
      <c r="R56" s="1314">
        <f>SUM(O56:Q56)</f>
        <v>5090525</v>
      </c>
    </row>
    <row r="57" spans="1:18" s="10" customFormat="1" ht="12.75">
      <c r="A57" s="820" t="s">
        <v>173</v>
      </c>
      <c r="B57" s="647" t="s">
        <v>737</v>
      </c>
      <c r="C57" s="780">
        <f>SUM('19 önkormányzat'!F138)</f>
        <v>34022339</v>
      </c>
      <c r="D57" s="423"/>
      <c r="E57" s="423"/>
      <c r="F57" s="1289">
        <f>SUM(C57:E57)</f>
        <v>34022339</v>
      </c>
      <c r="G57" s="1313">
        <f>SUM('19 önkormányzat'!G138)</f>
        <v>34022339</v>
      </c>
      <c r="H57" s="423"/>
      <c r="I57" s="423"/>
      <c r="J57" s="1314">
        <f t="shared" si="24"/>
        <v>34022339</v>
      </c>
      <c r="K57" s="1313">
        <f>SUM('19 önkormányzat'!H138)</f>
        <v>39629018</v>
      </c>
      <c r="L57" s="423"/>
      <c r="M57" s="423"/>
      <c r="N57" s="1314">
        <f t="shared" si="25"/>
        <v>39629018</v>
      </c>
      <c r="O57" s="1313">
        <f>SUM('19 önkormányzat'!I138)</f>
        <v>45115833</v>
      </c>
      <c r="P57" s="423"/>
      <c r="Q57" s="423"/>
      <c r="R57" s="1314">
        <f>SUM(O57:Q57)</f>
        <v>45115833</v>
      </c>
    </row>
    <row r="58" spans="1:18" s="10" customFormat="1" ht="12.75">
      <c r="A58" s="820" t="s">
        <v>182</v>
      </c>
      <c r="B58" s="647" t="s">
        <v>785</v>
      </c>
      <c r="C58" s="780">
        <f>SUM('19 önkormányzat'!F139)</f>
        <v>4162000</v>
      </c>
      <c r="D58" s="423"/>
      <c r="E58" s="423"/>
      <c r="F58" s="1289">
        <f aca="true" t="shared" si="26" ref="F58:F65">SUM(C58:E58)</f>
        <v>4162000</v>
      </c>
      <c r="G58" s="1313">
        <f>SUM('19 önkormányzat'!G139)</f>
        <v>4162000</v>
      </c>
      <c r="H58" s="423"/>
      <c r="I58" s="423"/>
      <c r="J58" s="1314">
        <f t="shared" si="24"/>
        <v>4162000</v>
      </c>
      <c r="K58" s="1313">
        <f>SUM('19 önkormányzat'!H139)</f>
        <v>4162000</v>
      </c>
      <c r="L58" s="423"/>
      <c r="M58" s="423"/>
      <c r="N58" s="1314">
        <f t="shared" si="25"/>
        <v>4162000</v>
      </c>
      <c r="O58" s="1313">
        <f>SUM('19 önkormányzat'!I139)</f>
        <v>4162000</v>
      </c>
      <c r="P58" s="423"/>
      <c r="Q58" s="423"/>
      <c r="R58" s="1314">
        <f>SUM(O58:Q58)</f>
        <v>4162000</v>
      </c>
    </row>
    <row r="59" spans="1:18" s="10" customFormat="1" ht="12.75">
      <c r="A59" s="820" t="s">
        <v>183</v>
      </c>
      <c r="B59" s="647" t="s">
        <v>217</v>
      </c>
      <c r="C59" s="780">
        <f>SUM('19 önkormányzat'!F140)</f>
        <v>649730501</v>
      </c>
      <c r="D59" s="423"/>
      <c r="E59" s="423"/>
      <c r="F59" s="1289">
        <f t="shared" si="26"/>
        <v>649730501</v>
      </c>
      <c r="G59" s="1313">
        <f>SUM('19 önkormányzat'!G140)</f>
        <v>649730501</v>
      </c>
      <c r="H59" s="423"/>
      <c r="I59" s="423"/>
      <c r="J59" s="1314">
        <f t="shared" si="24"/>
        <v>649730501</v>
      </c>
      <c r="K59" s="1313">
        <f>SUM('19 önkormányzat'!H140)</f>
        <v>644615355</v>
      </c>
      <c r="L59" s="423"/>
      <c r="M59" s="423"/>
      <c r="N59" s="1314">
        <f t="shared" si="25"/>
        <v>644615355</v>
      </c>
      <c r="O59" s="1313">
        <f>SUM('19 önkormányzat'!I140)</f>
        <v>642488982</v>
      </c>
      <c r="P59" s="423"/>
      <c r="Q59" s="423"/>
      <c r="R59" s="1314">
        <f>SUM(O59:Q59)</f>
        <v>642488982</v>
      </c>
    </row>
    <row r="60" spans="1:18" s="10" customFormat="1" ht="12.75">
      <c r="A60" s="820" t="s">
        <v>184</v>
      </c>
      <c r="B60" s="647" t="s">
        <v>478</v>
      </c>
      <c r="C60" s="780"/>
      <c r="D60" s="423"/>
      <c r="E60" s="423"/>
      <c r="F60" s="1289"/>
      <c r="G60" s="1313"/>
      <c r="H60" s="423"/>
      <c r="I60" s="423"/>
      <c r="J60" s="1314"/>
      <c r="K60" s="1313">
        <v>116897</v>
      </c>
      <c r="L60" s="423"/>
      <c r="M60" s="423"/>
      <c r="N60" s="1314">
        <v>116897</v>
      </c>
      <c r="O60" s="1313">
        <v>2482037</v>
      </c>
      <c r="P60" s="423"/>
      <c r="Q60" s="423"/>
      <c r="R60" s="1314">
        <v>2482037</v>
      </c>
    </row>
    <row r="61" spans="1:18" s="10" customFormat="1" ht="12.75">
      <c r="A61" s="820" t="s">
        <v>186</v>
      </c>
      <c r="B61" s="647" t="s">
        <v>786</v>
      </c>
      <c r="C61" s="780">
        <f>SUM('19 önkormányzat'!F141)</f>
        <v>32887850</v>
      </c>
      <c r="D61" s="423"/>
      <c r="E61" s="423"/>
      <c r="F61" s="1289">
        <f t="shared" si="26"/>
        <v>32887850</v>
      </c>
      <c r="G61" s="1313">
        <f>SUM('19 önkormányzat'!G141)</f>
        <v>32887850</v>
      </c>
      <c r="H61" s="423"/>
      <c r="I61" s="423"/>
      <c r="J61" s="1314">
        <f t="shared" si="24"/>
        <v>32887850</v>
      </c>
      <c r="K61" s="1313">
        <f>SUM('19 önkormányzat'!H141)</f>
        <v>38852413</v>
      </c>
      <c r="L61" s="423"/>
      <c r="M61" s="423"/>
      <c r="N61" s="1314">
        <f t="shared" si="25"/>
        <v>38852413</v>
      </c>
      <c r="O61" s="1313">
        <f>SUM('19 önkormányzat'!I141)</f>
        <v>38917253</v>
      </c>
      <c r="P61" s="423"/>
      <c r="Q61" s="423"/>
      <c r="R61" s="1314">
        <f>SUM(O61:Q61)</f>
        <v>38917253</v>
      </c>
    </row>
    <row r="62" spans="1:18" s="10" customFormat="1" ht="12.75">
      <c r="A62" s="820" t="s">
        <v>189</v>
      </c>
      <c r="B62" s="647" t="s">
        <v>784</v>
      </c>
      <c r="C62" s="422"/>
      <c r="D62" s="780">
        <f>SUM('19 önkormányzat'!F142)</f>
        <v>3300000</v>
      </c>
      <c r="E62" s="1276"/>
      <c r="F62" s="1289">
        <f>SUM(D62:E62)</f>
        <v>3300000</v>
      </c>
      <c r="G62" s="1315"/>
      <c r="H62" s="780">
        <v>3300000</v>
      </c>
      <c r="I62" s="1276"/>
      <c r="J62" s="1314">
        <f>SUM(H62:I62)</f>
        <v>3300000</v>
      </c>
      <c r="K62" s="1315"/>
      <c r="L62" s="780">
        <v>9569777</v>
      </c>
      <c r="M62" s="1276"/>
      <c r="N62" s="1314">
        <f>SUM(L62:M62)</f>
        <v>9569777</v>
      </c>
      <c r="O62" s="1315"/>
      <c r="P62" s="780">
        <f>SUM(P63:P64)</f>
        <v>21111383</v>
      </c>
      <c r="Q62" s="1276"/>
      <c r="R62" s="1314">
        <f>SUM(P62:Q62)</f>
        <v>21111383</v>
      </c>
    </row>
    <row r="63" spans="1:18" s="122" customFormat="1" ht="12.75">
      <c r="A63" s="778"/>
      <c r="B63" s="778" t="s">
        <v>132</v>
      </c>
      <c r="C63" s="778"/>
      <c r="D63" s="780">
        <f>SUM('19 önkormányzat'!F143)</f>
        <v>2000000</v>
      </c>
      <c r="E63" s="778"/>
      <c r="F63" s="1289">
        <f>SUM(D63:E63)</f>
        <v>2000000</v>
      </c>
      <c r="G63" s="1316"/>
      <c r="H63" s="780">
        <v>2000000</v>
      </c>
      <c r="I63" s="778"/>
      <c r="J63" s="1314">
        <f>SUM(H63:I63)</f>
        <v>2000000</v>
      </c>
      <c r="K63" s="1316"/>
      <c r="L63" s="780">
        <v>8269777</v>
      </c>
      <c r="M63" s="778"/>
      <c r="N63" s="1314">
        <f>SUM(L63:M63)</f>
        <v>8269777</v>
      </c>
      <c r="O63" s="1316"/>
      <c r="P63" s="780">
        <v>19811383</v>
      </c>
      <c r="Q63" s="778"/>
      <c r="R63" s="1314">
        <f>SUM(P63:Q63)</f>
        <v>19811383</v>
      </c>
    </row>
    <row r="64" spans="1:18" s="122" customFormat="1" ht="12.75">
      <c r="A64" s="778"/>
      <c r="B64" s="778" t="s">
        <v>134</v>
      </c>
      <c r="C64" s="778"/>
      <c r="D64" s="780">
        <f>SUM('19 önkormányzat'!F144)</f>
        <v>1300000</v>
      </c>
      <c r="E64" s="778"/>
      <c r="F64" s="1289">
        <f>SUM(D64:E64)</f>
        <v>1300000</v>
      </c>
      <c r="G64" s="1316"/>
      <c r="H64" s="780">
        <v>1300000</v>
      </c>
      <c r="I64" s="778"/>
      <c r="J64" s="1314">
        <f>SUM(H64:I64)</f>
        <v>1300000</v>
      </c>
      <c r="K64" s="1316"/>
      <c r="L64" s="780">
        <v>1300000</v>
      </c>
      <c r="M64" s="778"/>
      <c r="N64" s="1314">
        <f>SUM(L64:M64)</f>
        <v>1300000</v>
      </c>
      <c r="O64" s="1316"/>
      <c r="P64" s="780">
        <v>1300000</v>
      </c>
      <c r="Q64" s="778"/>
      <c r="R64" s="1314">
        <f>SUM(P64:Q64)</f>
        <v>1300000</v>
      </c>
    </row>
    <row r="65" spans="1:18" s="10" customFormat="1" ht="12.75">
      <c r="A65" s="647" t="s">
        <v>191</v>
      </c>
      <c r="B65" s="647" t="s">
        <v>787</v>
      </c>
      <c r="C65" s="438">
        <f>SUM('19 önkormányzat'!F145)</f>
        <v>0</v>
      </c>
      <c r="D65" s="647"/>
      <c r="E65" s="647"/>
      <c r="F65" s="1290">
        <f t="shared" si="26"/>
        <v>0</v>
      </c>
      <c r="G65" s="1317">
        <f>SUM('19 önkormányzat'!J145)</f>
        <v>0</v>
      </c>
      <c r="H65" s="647"/>
      <c r="I65" s="647"/>
      <c r="J65" s="465">
        <f>SUM(G65:I65)</f>
        <v>0</v>
      </c>
      <c r="K65" s="1317">
        <f>SUM('19 önkormányzat'!N145)</f>
        <v>0</v>
      </c>
      <c r="L65" s="647"/>
      <c r="M65" s="647"/>
      <c r="N65" s="465">
        <f>SUM(K65:M65)</f>
        <v>0</v>
      </c>
      <c r="O65" s="1317">
        <f>SUM('19 önkormányzat'!R145)</f>
        <v>0</v>
      </c>
      <c r="P65" s="647"/>
      <c r="Q65" s="647"/>
      <c r="R65" s="465">
        <f>SUM(O65:Q65)</f>
        <v>0</v>
      </c>
    </row>
    <row r="66" spans="1:18" ht="15.75">
      <c r="A66" s="834"/>
      <c r="B66" s="835" t="s">
        <v>739</v>
      </c>
      <c r="C66" s="836">
        <f>SUM(C55:C62)</f>
        <v>741932959</v>
      </c>
      <c r="D66" s="836">
        <f>SUM(D55:D61)</f>
        <v>9837568</v>
      </c>
      <c r="E66" s="836">
        <f>SUM(E55:E62)</f>
        <v>0</v>
      </c>
      <c r="F66" s="1291">
        <f>SUM(F55:F62)</f>
        <v>755070527</v>
      </c>
      <c r="G66" s="1318">
        <f>SUM(G55:G62)</f>
        <v>741932959</v>
      </c>
      <c r="H66" s="836">
        <f>SUM(H55:H61)</f>
        <v>9837568</v>
      </c>
      <c r="I66" s="836">
        <f aca="true" t="shared" si="27" ref="I66:N66">SUM(I55:I62)</f>
        <v>0</v>
      </c>
      <c r="J66" s="837">
        <f t="shared" si="27"/>
        <v>755070527</v>
      </c>
      <c r="K66" s="1318">
        <f t="shared" si="27"/>
        <v>748505952</v>
      </c>
      <c r="L66" s="836">
        <f t="shared" si="27"/>
        <v>19407345</v>
      </c>
      <c r="M66" s="836">
        <f t="shared" si="27"/>
        <v>0</v>
      </c>
      <c r="N66" s="837">
        <f t="shared" si="27"/>
        <v>767913297</v>
      </c>
      <c r="O66" s="1318">
        <f>SUM(O55:O62)</f>
        <v>754296374</v>
      </c>
      <c r="P66" s="836">
        <f>SUM(P55:P62)</f>
        <v>30948951</v>
      </c>
      <c r="Q66" s="836">
        <f>SUM(Q55:Q62)</f>
        <v>0</v>
      </c>
      <c r="R66" s="837">
        <f>SUM(R55:R62)</f>
        <v>785245325</v>
      </c>
    </row>
    <row r="67" spans="1:18" ht="25.5">
      <c r="A67" s="422"/>
      <c r="B67" s="776" t="s">
        <v>788</v>
      </c>
      <c r="C67" s="423">
        <v>7035063</v>
      </c>
      <c r="D67" s="423"/>
      <c r="E67" s="423"/>
      <c r="F67" s="1292">
        <f>SUM(C67:E67)</f>
        <v>7035063</v>
      </c>
      <c r="G67" s="1319">
        <v>7035063</v>
      </c>
      <c r="H67" s="423"/>
      <c r="I67" s="423"/>
      <c r="J67" s="458">
        <f>SUM(G67:I67)</f>
        <v>7035063</v>
      </c>
      <c r="K67" s="1319">
        <v>7496735</v>
      </c>
      <c r="L67" s="423"/>
      <c r="M67" s="423"/>
      <c r="N67" s="458">
        <f>SUM(K67:M67)</f>
        <v>7496735</v>
      </c>
      <c r="O67" s="1319">
        <v>8085459</v>
      </c>
      <c r="P67" s="423"/>
      <c r="Q67" s="423"/>
      <c r="R67" s="458">
        <f>SUM(O67:Q67)</f>
        <v>8085459</v>
      </c>
    </row>
    <row r="68" spans="1:18" ht="25.5">
      <c r="A68" s="422"/>
      <c r="B68" s="776" t="s">
        <v>789</v>
      </c>
      <c r="C68" s="423">
        <v>303485341</v>
      </c>
      <c r="D68" s="423">
        <v>12426282</v>
      </c>
      <c r="E68" s="423"/>
      <c r="F68" s="1292">
        <f>SUM(C68:E68)</f>
        <v>315911623</v>
      </c>
      <c r="G68" s="1319">
        <v>303485341</v>
      </c>
      <c r="H68" s="423">
        <v>12426282</v>
      </c>
      <c r="I68" s="423"/>
      <c r="J68" s="458">
        <f>SUM(G68:I68)</f>
        <v>315911623</v>
      </c>
      <c r="K68" s="1319">
        <v>295121551</v>
      </c>
      <c r="L68" s="423">
        <v>18081194</v>
      </c>
      <c r="M68" s="423"/>
      <c r="N68" s="458">
        <f>SUM(K68:M68)</f>
        <v>313202745</v>
      </c>
      <c r="O68" s="1319">
        <v>295053402</v>
      </c>
      <c r="P68" s="423">
        <v>20539588</v>
      </c>
      <c r="Q68" s="423"/>
      <c r="R68" s="458">
        <f>SUM(O68:Q68)</f>
        <v>315592990</v>
      </c>
    </row>
    <row r="69" spans="1:18" ht="12.75">
      <c r="A69" s="422"/>
      <c r="B69" s="824" t="s">
        <v>790</v>
      </c>
      <c r="C69" s="423">
        <f>SUM(C67:C68)</f>
        <v>310520404</v>
      </c>
      <c r="D69" s="423">
        <f>SUM(D67:D68)</f>
        <v>12426282</v>
      </c>
      <c r="E69" s="423"/>
      <c r="F69" s="1292">
        <f>SUM(C69:E69)</f>
        <v>322946686</v>
      </c>
      <c r="G69" s="1319">
        <f>SUM(G67:G68)</f>
        <v>310520404</v>
      </c>
      <c r="H69" s="423">
        <f>SUM(H67:H68)</f>
        <v>12426282</v>
      </c>
      <c r="I69" s="423"/>
      <c r="J69" s="458">
        <f>SUM(G69:I69)</f>
        <v>322946686</v>
      </c>
      <c r="K69" s="1319">
        <f>SUM(K67:K68)</f>
        <v>302618286</v>
      </c>
      <c r="L69" s="423">
        <f>SUM(L67:L68)</f>
        <v>18081194</v>
      </c>
      <c r="M69" s="423"/>
      <c r="N69" s="458">
        <f>SUM(K69:M69)</f>
        <v>320699480</v>
      </c>
      <c r="O69" s="1319">
        <f>SUM(O67:O68)</f>
        <v>303138861</v>
      </c>
      <c r="P69" s="423">
        <f>SUM(P67:P68)</f>
        <v>20539588</v>
      </c>
      <c r="Q69" s="423"/>
      <c r="R69" s="458">
        <f>SUM(O69:Q69)</f>
        <v>323678449</v>
      </c>
    </row>
    <row r="70" spans="1:18" ht="16.5" thickBot="1">
      <c r="A70" s="784"/>
      <c r="B70" s="839" t="s">
        <v>791</v>
      </c>
      <c r="C70" s="599">
        <f>SUM(C69)</f>
        <v>310520404</v>
      </c>
      <c r="D70" s="599">
        <f>SUM(D69)</f>
        <v>12426282</v>
      </c>
      <c r="E70" s="599">
        <f>SUM(E67:E68)</f>
        <v>0</v>
      </c>
      <c r="F70" s="1293">
        <f>SUM(F69)</f>
        <v>322946686</v>
      </c>
      <c r="G70" s="1320">
        <f>SUM(G69)</f>
        <v>310520404</v>
      </c>
      <c r="H70" s="599">
        <f>SUM(H69)</f>
        <v>12426282</v>
      </c>
      <c r="I70" s="599">
        <f>SUM(I67:I68)</f>
        <v>0</v>
      </c>
      <c r="J70" s="1321">
        <f>SUM(J69)</f>
        <v>322946686</v>
      </c>
      <c r="K70" s="1320">
        <f>SUM(K69)</f>
        <v>302618286</v>
      </c>
      <c r="L70" s="599">
        <f>SUM(L69)</f>
        <v>18081194</v>
      </c>
      <c r="M70" s="599">
        <f>SUM(M67:M68)</f>
        <v>0</v>
      </c>
      <c r="N70" s="1321">
        <f>SUM(N69)</f>
        <v>320699480</v>
      </c>
      <c r="O70" s="1320">
        <f>SUM(O69)</f>
        <v>303138861</v>
      </c>
      <c r="P70" s="599">
        <f>SUM(P69)</f>
        <v>20539588</v>
      </c>
      <c r="Q70" s="599">
        <f>SUM(Q67:Q68)</f>
        <v>0</v>
      </c>
      <c r="R70" s="1321">
        <f>SUM(R69)</f>
        <v>323678449</v>
      </c>
    </row>
    <row r="71" spans="1:18" s="838" customFormat="1" ht="16.5" thickBot="1">
      <c r="A71" s="1992" t="s">
        <v>119</v>
      </c>
      <c r="B71" s="1993"/>
      <c r="C71" s="817">
        <f>SUM(C66+C70)</f>
        <v>1052453363</v>
      </c>
      <c r="D71" s="817">
        <f>SUM(D66+D70)</f>
        <v>22263850</v>
      </c>
      <c r="E71" s="817">
        <f>SUM(E66+E70)</f>
        <v>0</v>
      </c>
      <c r="F71" s="1294">
        <f>SUM(C71+D71)</f>
        <v>1074717213</v>
      </c>
      <c r="G71" s="1322">
        <f>SUM(G66+G70)</f>
        <v>1052453363</v>
      </c>
      <c r="H71" s="817">
        <f>SUM(H66+H70)</f>
        <v>22263850</v>
      </c>
      <c r="I71" s="817">
        <f>SUM(I66+I70)</f>
        <v>0</v>
      </c>
      <c r="J71" s="818">
        <f>SUM(G71+H71)</f>
        <v>1074717213</v>
      </c>
      <c r="K71" s="1322">
        <f>SUM(K66+K70)</f>
        <v>1051124238</v>
      </c>
      <c r="L71" s="817">
        <f>SUM(L66+L70)</f>
        <v>37488539</v>
      </c>
      <c r="M71" s="817">
        <f>SUM(M66+M70)</f>
        <v>0</v>
      </c>
      <c r="N71" s="818">
        <f>SUM(K71+L71)</f>
        <v>1088612777</v>
      </c>
      <c r="O71" s="1322">
        <f>SUM(O66+O70)</f>
        <v>1057435235</v>
      </c>
      <c r="P71" s="817">
        <f>SUM(P66+P70)</f>
        <v>51488539</v>
      </c>
      <c r="Q71" s="817">
        <f>SUM(Q66+Q70)</f>
        <v>0</v>
      </c>
      <c r="R71" s="818">
        <f>SUM(O71+P71)</f>
        <v>1108923774</v>
      </c>
    </row>
  </sheetData>
  <sheetProtection/>
  <mergeCells count="12">
    <mergeCell ref="O10:R10"/>
    <mergeCell ref="K3:O3"/>
    <mergeCell ref="A6:R6"/>
    <mergeCell ref="A2:R2"/>
    <mergeCell ref="A1:R1"/>
    <mergeCell ref="K10:N10"/>
    <mergeCell ref="G10:J10"/>
    <mergeCell ref="A71:B71"/>
    <mergeCell ref="A54:B54"/>
    <mergeCell ref="A10:B11"/>
    <mergeCell ref="C10:F10"/>
    <mergeCell ref="A49:B49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3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18" customWidth="1"/>
    <col min="2" max="2" width="16.00390625" style="18" customWidth="1"/>
    <col min="3" max="4" width="11.57421875" style="18" customWidth="1"/>
    <col min="5" max="5" width="13.7109375" style="18" customWidth="1"/>
    <col min="6" max="16384" width="11.57421875" style="18" customWidth="1"/>
  </cols>
  <sheetData>
    <row r="1" spans="4:5" ht="12.75" customHeight="1">
      <c r="D1" s="1655" t="s">
        <v>551</v>
      </c>
      <c r="E1" s="1655"/>
    </row>
    <row r="2" spans="2:5" ht="12.75" customHeight="1">
      <c r="B2" s="2013" t="s">
        <v>1</v>
      </c>
      <c r="C2" s="2013"/>
      <c r="D2" s="2013"/>
      <c r="E2" s="2013"/>
    </row>
    <row r="3" spans="1:2" ht="29.25" customHeight="1">
      <c r="A3" s="45"/>
      <c r="B3" s="45"/>
    </row>
    <row r="4" spans="1:5" ht="12.75" customHeight="1">
      <c r="A4" s="2014" t="s">
        <v>2</v>
      </c>
      <c r="B4" s="2014"/>
      <c r="C4" s="2014"/>
      <c r="D4" s="2014"/>
      <c r="E4" s="2014"/>
    </row>
    <row r="5" spans="1:5" ht="12.75" customHeight="1">
      <c r="A5" s="1656" t="s">
        <v>552</v>
      </c>
      <c r="B5" s="1656"/>
      <c r="C5" s="1656"/>
      <c r="D5" s="1656"/>
      <c r="E5" s="1656"/>
    </row>
    <row r="6" spans="1:3" ht="27" customHeight="1">
      <c r="A6" s="260"/>
      <c r="B6" s="260"/>
      <c r="C6" s="260"/>
    </row>
    <row r="7" spans="1:5" ht="13.5" customHeight="1">
      <c r="A7" s="260"/>
      <c r="B7" s="260"/>
      <c r="C7" s="260"/>
      <c r="D7" s="1651" t="s">
        <v>5</v>
      </c>
      <c r="E7" s="1651"/>
    </row>
    <row r="8" spans="1:5" ht="12.75" customHeight="1">
      <c r="A8" s="2015" t="s">
        <v>526</v>
      </c>
      <c r="B8" s="2016" t="s">
        <v>527</v>
      </c>
      <c r="C8" s="2017" t="s">
        <v>553</v>
      </c>
      <c r="D8" s="2017"/>
      <c r="E8" s="2017"/>
    </row>
    <row r="9" spans="1:5" ht="33.75" customHeight="1">
      <c r="A9" s="2015"/>
      <c r="B9" s="2016"/>
      <c r="C9" s="261" t="s">
        <v>529</v>
      </c>
      <c r="D9" s="261" t="s">
        <v>530</v>
      </c>
      <c r="E9" s="262" t="s">
        <v>531</v>
      </c>
    </row>
    <row r="10" spans="1:5" ht="15" customHeight="1">
      <c r="A10" s="263" t="s">
        <v>2</v>
      </c>
      <c r="B10" s="264">
        <f>C10+D10+E10</f>
        <v>210979</v>
      </c>
      <c r="C10" s="265">
        <f>SUM(C11:C14)</f>
        <v>202719</v>
      </c>
      <c r="D10" s="265">
        <f>SUM(D11:D14)</f>
        <v>8260</v>
      </c>
      <c r="E10" s="266">
        <f>SUM(E11:E14)</f>
        <v>0</v>
      </c>
    </row>
    <row r="11" spans="1:5" s="270" customFormat="1" ht="15" customHeight="1">
      <c r="A11" s="267" t="s">
        <v>554</v>
      </c>
      <c r="B11" s="268"/>
      <c r="C11" s="268">
        <v>202719</v>
      </c>
      <c r="D11" s="268"/>
      <c r="E11" s="269"/>
    </row>
    <row r="12" spans="1:5" s="270" customFormat="1" ht="15" customHeight="1">
      <c r="A12" s="267" t="s">
        <v>555</v>
      </c>
      <c r="B12" s="268"/>
      <c r="C12" s="268"/>
      <c r="D12" s="268">
        <v>610</v>
      </c>
      <c r="E12" s="269"/>
    </row>
    <row r="13" spans="1:5" s="270" customFormat="1" ht="15" customHeight="1">
      <c r="A13" s="271" t="s">
        <v>556</v>
      </c>
      <c r="B13" s="272"/>
      <c r="C13" s="268"/>
      <c r="D13" s="272">
        <v>7650</v>
      </c>
      <c r="E13" s="269"/>
    </row>
    <row r="14" spans="1:5" s="270" customFormat="1" ht="15" customHeight="1">
      <c r="A14" s="267" t="s">
        <v>557</v>
      </c>
      <c r="B14" s="268"/>
      <c r="C14" s="268"/>
      <c r="D14" s="268"/>
      <c r="E14" s="269" t="s">
        <v>558</v>
      </c>
    </row>
    <row r="15" spans="1:5" ht="15" customHeight="1">
      <c r="A15" s="273" t="s">
        <v>237</v>
      </c>
      <c r="B15" s="264">
        <f>C15+D15+E15</f>
        <v>112004</v>
      </c>
      <c r="C15" s="264">
        <f>SUM(C16:C17)</f>
        <v>91520</v>
      </c>
      <c r="D15" s="264">
        <f>SUM(D16:D17)</f>
        <v>0</v>
      </c>
      <c r="E15" s="274">
        <f>SUM(E16:E17)</f>
        <v>20484</v>
      </c>
    </row>
    <row r="16" spans="1:5" s="270" customFormat="1" ht="15" customHeight="1">
      <c r="A16" s="271" t="s">
        <v>559</v>
      </c>
      <c r="B16" s="272"/>
      <c r="C16" s="268">
        <v>68282</v>
      </c>
      <c r="D16" s="272"/>
      <c r="E16" s="275">
        <v>20484</v>
      </c>
    </row>
    <row r="17" spans="1:5" s="270" customFormat="1" ht="15" customHeight="1">
      <c r="A17" s="271" t="s">
        <v>560</v>
      </c>
      <c r="B17" s="272"/>
      <c r="C17" s="268">
        <v>23238</v>
      </c>
      <c r="D17" s="272"/>
      <c r="E17" s="275"/>
    </row>
    <row r="18" spans="1:5" ht="15" customHeight="1">
      <c r="A18" s="273" t="s">
        <v>561</v>
      </c>
      <c r="B18" s="264">
        <v>80345</v>
      </c>
      <c r="C18" s="276">
        <f>SUM(C19:C20)</f>
        <v>72285</v>
      </c>
      <c r="D18" s="276">
        <f>SUM(D19:D20)</f>
        <v>8060</v>
      </c>
      <c r="E18" s="277">
        <f>SUM(E19:E20)</f>
        <v>0</v>
      </c>
    </row>
    <row r="19" spans="1:5" s="270" customFormat="1" ht="15" customHeight="1">
      <c r="A19" s="271" t="s">
        <v>562</v>
      </c>
      <c r="B19" s="272"/>
      <c r="C19" s="268">
        <v>72285</v>
      </c>
      <c r="D19" s="272"/>
      <c r="E19" s="275"/>
    </row>
    <row r="20" spans="1:5" s="270" customFormat="1" ht="15" customHeight="1">
      <c r="A20" s="271" t="s">
        <v>563</v>
      </c>
      <c r="B20" s="272"/>
      <c r="C20" s="268"/>
      <c r="D20" s="272">
        <v>8060</v>
      </c>
      <c r="E20" s="275"/>
    </row>
    <row r="21" spans="1:5" ht="15" customHeight="1">
      <c r="A21" s="273" t="s">
        <v>564</v>
      </c>
      <c r="B21" s="264">
        <v>16681</v>
      </c>
      <c r="C21" s="264">
        <f>B21</f>
        <v>16681</v>
      </c>
      <c r="D21" s="264"/>
      <c r="E21" s="274"/>
    </row>
    <row r="22" spans="1:5" ht="15" customHeight="1">
      <c r="A22" s="273" t="s">
        <v>241</v>
      </c>
      <c r="B22" s="264">
        <v>10850</v>
      </c>
      <c r="C22" s="264">
        <f>B22</f>
        <v>10850</v>
      </c>
      <c r="D22" s="264"/>
      <c r="E22" s="274"/>
    </row>
    <row r="23" spans="1:5" s="20" customFormat="1" ht="15" customHeight="1">
      <c r="A23" s="278" t="s">
        <v>25</v>
      </c>
      <c r="B23" s="279">
        <f>B10+B15+B18+B21+B22</f>
        <v>430859</v>
      </c>
      <c r="C23" s="279">
        <f>C10+C15+C18+C21+C22</f>
        <v>394055</v>
      </c>
      <c r="D23" s="279">
        <f>D10+D15+D18+D21+D22</f>
        <v>16320</v>
      </c>
      <c r="E23" s="279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G52"/>
  <sheetViews>
    <sheetView view="pageBreakPreview" zoomScale="60" zoomScalePageLayoutView="0" workbookViewId="0" topLeftCell="A1">
      <selection activeCell="A4" sqref="A4:G4"/>
    </sheetView>
  </sheetViews>
  <sheetFormatPr defaultColWidth="9.140625" defaultRowHeight="12.75"/>
  <cols>
    <col min="2" max="2" width="67.57421875" style="0" customWidth="1"/>
    <col min="3" max="6" width="17.28125" style="0" customWidth="1"/>
    <col min="7" max="7" width="17.28125" style="697" customWidth="1"/>
  </cols>
  <sheetData>
    <row r="1" spans="1:7" ht="15">
      <c r="A1" s="1764" t="s">
        <v>551</v>
      </c>
      <c r="B1" s="1764"/>
      <c r="C1" s="1764"/>
      <c r="D1" s="1764"/>
      <c r="E1" s="1764"/>
      <c r="F1" s="1764"/>
      <c r="G1" s="1764"/>
    </row>
    <row r="2" spans="1:2" ht="19.5">
      <c r="A2" s="177"/>
      <c r="B2" s="177"/>
    </row>
    <row r="3" spans="1:7" ht="15">
      <c r="A3" s="2021" t="s">
        <v>1181</v>
      </c>
      <c r="B3" s="2021"/>
      <c r="C3" s="2021"/>
      <c r="D3" s="2021"/>
      <c r="E3" s="2021"/>
      <c r="F3" s="2021"/>
      <c r="G3" s="2021"/>
    </row>
    <row r="4" spans="1:7" ht="15">
      <c r="A4" s="2021" t="s">
        <v>1183</v>
      </c>
      <c r="B4" s="2021"/>
      <c r="C4" s="2021"/>
      <c r="D4" s="2021"/>
      <c r="E4" s="2021"/>
      <c r="F4" s="2021"/>
      <c r="G4" s="2021"/>
    </row>
    <row r="5" spans="1:7" ht="15">
      <c r="A5" s="1648"/>
      <c r="B5" s="1648"/>
      <c r="C5" s="1648"/>
      <c r="D5" s="1648"/>
      <c r="E5" s="1648"/>
      <c r="F5" s="1648"/>
      <c r="G5" s="1648" t="s">
        <v>509</v>
      </c>
    </row>
    <row r="6" spans="1:7" ht="19.5" customHeight="1">
      <c r="A6" s="2022" t="s">
        <v>1025</v>
      </c>
      <c r="B6" s="2022"/>
      <c r="C6" s="2022"/>
      <c r="D6" s="2022"/>
      <c r="E6" s="2022"/>
      <c r="F6" s="2022"/>
      <c r="G6" s="2022"/>
    </row>
    <row r="7" spans="1:2" ht="19.5" customHeight="1">
      <c r="A7" s="840"/>
      <c r="B7" s="840"/>
    </row>
    <row r="8" spans="2:7" ht="12.75">
      <c r="B8" s="2018" t="s">
        <v>155</v>
      </c>
      <c r="C8" s="2018"/>
      <c r="D8" s="2018"/>
      <c r="E8" s="2018"/>
      <c r="F8" s="2018"/>
      <c r="G8" s="2018"/>
    </row>
    <row r="9" spans="1:7" ht="25.5">
      <c r="A9" s="2019" t="s">
        <v>156</v>
      </c>
      <c r="B9" s="1034" t="s">
        <v>24</v>
      </c>
      <c r="C9" s="7" t="s">
        <v>1089</v>
      </c>
      <c r="D9" s="7" t="s">
        <v>997</v>
      </c>
      <c r="E9" s="7" t="s">
        <v>1139</v>
      </c>
      <c r="F9" s="7" t="s">
        <v>1141</v>
      </c>
      <c r="G9" s="1582" t="s">
        <v>1164</v>
      </c>
    </row>
    <row r="10" spans="1:7" ht="12.75">
      <c r="A10" s="2019"/>
      <c r="B10" s="249" t="s">
        <v>158</v>
      </c>
      <c r="C10" s="250" t="s">
        <v>159</v>
      </c>
      <c r="D10" s="250" t="s">
        <v>160</v>
      </c>
      <c r="E10" s="250" t="s">
        <v>161</v>
      </c>
      <c r="F10" s="250" t="s">
        <v>462</v>
      </c>
      <c r="G10" s="1579" t="s">
        <v>482</v>
      </c>
    </row>
    <row r="11" spans="1:7" ht="12.75">
      <c r="A11" s="251" t="s">
        <v>38</v>
      </c>
      <c r="B11" s="252" t="s">
        <v>545</v>
      </c>
      <c r="C11" s="253"/>
      <c r="D11" s="253"/>
      <c r="E11" s="253"/>
      <c r="F11" s="253"/>
      <c r="G11" s="1580"/>
    </row>
    <row r="12" spans="1:7" s="716" customFormat="1" ht="15">
      <c r="A12" s="1233" t="s">
        <v>40</v>
      </c>
      <c r="B12" s="1234" t="s">
        <v>980</v>
      </c>
      <c r="C12" s="1235">
        <v>15176500</v>
      </c>
      <c r="D12" s="1235">
        <v>15176500</v>
      </c>
      <c r="E12" s="1235">
        <v>15176500</v>
      </c>
      <c r="F12" s="1235">
        <v>15176500</v>
      </c>
      <c r="G12" s="1236">
        <v>27683030</v>
      </c>
    </row>
    <row r="13" spans="1:7" s="716" customFormat="1" ht="15">
      <c r="A13" s="1233" t="s">
        <v>47</v>
      </c>
      <c r="B13" s="1234" t="s">
        <v>1083</v>
      </c>
      <c r="C13" s="1236">
        <v>308942153</v>
      </c>
      <c r="D13" s="1236">
        <v>308942153</v>
      </c>
      <c r="E13" s="1236">
        <v>308942153</v>
      </c>
      <c r="F13" s="1236">
        <v>308703153</v>
      </c>
      <c r="G13" s="1578">
        <v>311334729</v>
      </c>
    </row>
    <row r="14" spans="1:7" ht="12.75">
      <c r="A14" s="254" t="s">
        <v>49</v>
      </c>
      <c r="B14" s="255" t="s">
        <v>981</v>
      </c>
      <c r="C14" s="1237">
        <v>3100000</v>
      </c>
      <c r="D14" s="1237">
        <v>3100000</v>
      </c>
      <c r="E14" s="1237">
        <v>3100000</v>
      </c>
      <c r="F14" s="1238">
        <v>3100000</v>
      </c>
      <c r="G14" s="1238">
        <v>3100000</v>
      </c>
    </row>
    <row r="15" spans="1:7" ht="25.5">
      <c r="A15" s="254" t="s">
        <v>51</v>
      </c>
      <c r="B15" s="255" t="s">
        <v>982</v>
      </c>
      <c r="C15" s="1238">
        <v>1700000</v>
      </c>
      <c r="D15" s="1238">
        <v>1700000</v>
      </c>
      <c r="E15" s="1238">
        <v>1700000</v>
      </c>
      <c r="F15" s="1238">
        <v>1700000</v>
      </c>
      <c r="G15" s="1238">
        <v>1700000</v>
      </c>
    </row>
    <row r="16" spans="1:7" ht="25.5">
      <c r="A16" s="1239" t="s">
        <v>53</v>
      </c>
      <c r="B16" s="1408" t="s">
        <v>979</v>
      </c>
      <c r="C16" s="1409">
        <v>3754532</v>
      </c>
      <c r="D16" s="1409">
        <v>3754532</v>
      </c>
      <c r="E16" s="1409">
        <v>3754532</v>
      </c>
      <c r="F16" s="1409">
        <v>3754532</v>
      </c>
      <c r="G16" s="1409">
        <v>3754532</v>
      </c>
    </row>
    <row r="17" spans="1:7" ht="12.75">
      <c r="A17" s="1240" t="s">
        <v>55</v>
      </c>
      <c r="B17" s="1412" t="s">
        <v>983</v>
      </c>
      <c r="C17" s="1413">
        <v>232804751</v>
      </c>
      <c r="D17" s="1413">
        <v>241738865</v>
      </c>
      <c r="E17" s="1413">
        <v>241738865</v>
      </c>
      <c r="F17" s="1413">
        <v>230401751</v>
      </c>
      <c r="G17" s="1576">
        <v>217002592</v>
      </c>
    </row>
    <row r="18" spans="1:7" ht="12.75">
      <c r="A18" s="1240" t="s">
        <v>57</v>
      </c>
      <c r="B18" s="1412" t="s">
        <v>1142</v>
      </c>
      <c r="C18" s="1413"/>
      <c r="D18" s="1413"/>
      <c r="E18" s="1413"/>
      <c r="F18" s="1413">
        <v>1000000</v>
      </c>
      <c r="G18" s="1413">
        <v>1000000</v>
      </c>
    </row>
    <row r="19" spans="1:7" ht="12.75">
      <c r="A19" s="1410" t="s">
        <v>86</v>
      </c>
      <c r="B19" s="1411" t="s">
        <v>1084</v>
      </c>
      <c r="C19" s="1245">
        <v>1920783</v>
      </c>
      <c r="D19" s="1245">
        <v>1920783</v>
      </c>
      <c r="E19" s="1245">
        <v>1920783</v>
      </c>
      <c r="F19" s="1245">
        <v>1920783</v>
      </c>
      <c r="G19" s="1245">
        <v>1920783</v>
      </c>
    </row>
    <row r="20" spans="1:7" ht="12.75">
      <c r="A20" s="1240" t="s">
        <v>59</v>
      </c>
      <c r="B20" s="1243" t="s">
        <v>1084</v>
      </c>
      <c r="C20" s="1241">
        <v>2002460</v>
      </c>
      <c r="D20" s="1241">
        <v>2002460</v>
      </c>
      <c r="E20" s="1241">
        <v>2002460</v>
      </c>
      <c r="F20" s="1241">
        <v>2002460</v>
      </c>
      <c r="G20" s="1241">
        <v>2002460</v>
      </c>
    </row>
    <row r="21" spans="1:7" ht="12.75">
      <c r="A21" s="1240" t="s">
        <v>61</v>
      </c>
      <c r="B21" s="1243" t="s">
        <v>1090</v>
      </c>
      <c r="C21" s="1241"/>
      <c r="D21" s="1241">
        <v>991609</v>
      </c>
      <c r="E21" s="1241">
        <v>991609</v>
      </c>
      <c r="F21" s="1241">
        <v>991609</v>
      </c>
      <c r="G21" s="1241">
        <v>991609</v>
      </c>
    </row>
    <row r="22" spans="1:7" ht="12.75">
      <c r="A22" s="1240" t="s">
        <v>63</v>
      </c>
      <c r="B22" s="1243" t="s">
        <v>1150</v>
      </c>
      <c r="C22" s="1241"/>
      <c r="D22" s="1241"/>
      <c r="E22" s="1241"/>
      <c r="F22" s="1241">
        <v>9047619</v>
      </c>
      <c r="G22" s="1576">
        <v>8577119</v>
      </c>
    </row>
    <row r="23" spans="1:7" ht="12.75">
      <c r="A23" s="254" t="s">
        <v>65</v>
      </c>
      <c r="B23" s="1246" t="s">
        <v>548</v>
      </c>
      <c r="C23" s="1248">
        <f>SUM(C12:C20)</f>
        <v>569401179</v>
      </c>
      <c r="D23" s="1248">
        <f>SUM(D12:D20)</f>
        <v>578335293</v>
      </c>
      <c r="E23" s="1248">
        <f>SUM(E12:E20)</f>
        <v>578335293</v>
      </c>
      <c r="F23" s="1248">
        <f>SUM(F12:F22)</f>
        <v>577798407</v>
      </c>
      <c r="G23" s="1248">
        <f>SUM(G12:G22)</f>
        <v>579066854</v>
      </c>
    </row>
    <row r="24" spans="1:7" ht="12.75">
      <c r="A24" s="257" t="s">
        <v>92</v>
      </c>
      <c r="B24" s="65" t="s">
        <v>549</v>
      </c>
      <c r="C24" s="745"/>
      <c r="D24" s="745"/>
      <c r="E24" s="745"/>
      <c r="F24" s="1254"/>
      <c r="G24" s="1254"/>
    </row>
    <row r="25" spans="1:7" ht="12.75">
      <c r="A25" s="254" t="s">
        <v>66</v>
      </c>
      <c r="B25" s="17"/>
      <c r="C25" s="745"/>
      <c r="D25" s="745"/>
      <c r="E25" s="745"/>
      <c r="F25" s="1254"/>
      <c r="G25" s="1254"/>
    </row>
    <row r="26" spans="1:7" ht="25.5">
      <c r="A26" s="254" t="s">
        <v>67</v>
      </c>
      <c r="B26" s="123" t="s">
        <v>984</v>
      </c>
      <c r="C26" s="745">
        <v>3700572</v>
      </c>
      <c r="D26" s="745">
        <v>3700572</v>
      </c>
      <c r="E26" s="745">
        <v>3700572</v>
      </c>
      <c r="F26" s="1254">
        <v>3700572</v>
      </c>
      <c r="G26" s="1254">
        <v>3700572</v>
      </c>
    </row>
    <row r="27" spans="1:7" ht="12.75">
      <c r="A27" s="257" t="s">
        <v>68</v>
      </c>
      <c r="B27" s="256" t="s">
        <v>548</v>
      </c>
      <c r="C27" s="1249">
        <f>SUM(C26:C26)</f>
        <v>3700572</v>
      </c>
      <c r="D27" s="1249">
        <f>SUM(D26:D26)</f>
        <v>3700572</v>
      </c>
      <c r="E27" s="1249">
        <f>SUM(E26:E26)</f>
        <v>3700572</v>
      </c>
      <c r="F27" s="1249">
        <f>SUM(F26:F26)</f>
        <v>3700572</v>
      </c>
      <c r="G27" s="1249">
        <f>SUM(G26:G26)</f>
        <v>3700572</v>
      </c>
    </row>
    <row r="28" spans="1:7" ht="15">
      <c r="A28" s="254" t="s">
        <v>70</v>
      </c>
      <c r="B28" s="1035"/>
      <c r="C28" s="1250"/>
      <c r="D28" s="1250"/>
      <c r="E28" s="1250"/>
      <c r="F28" s="1250"/>
      <c r="G28" s="1250"/>
    </row>
    <row r="29" spans="1:7" ht="15">
      <c r="A29" s="254" t="s">
        <v>97</v>
      </c>
      <c r="B29" s="985"/>
      <c r="C29" s="745"/>
      <c r="D29" s="745"/>
      <c r="E29" s="745"/>
      <c r="F29" s="1254"/>
      <c r="G29" s="1254"/>
    </row>
    <row r="30" spans="1:7" s="1253" customFormat="1" ht="12.75">
      <c r="A30" s="1233" t="s">
        <v>99</v>
      </c>
      <c r="B30" s="1251" t="s">
        <v>1085</v>
      </c>
      <c r="C30" s="1252">
        <v>595883</v>
      </c>
      <c r="D30" s="1252">
        <v>595883</v>
      </c>
      <c r="E30" s="1252">
        <v>595883</v>
      </c>
      <c r="F30" s="1252">
        <v>595883</v>
      </c>
      <c r="G30" s="1252">
        <v>595883</v>
      </c>
    </row>
    <row r="31" spans="1:7" ht="25.5">
      <c r="A31" s="254" t="s">
        <v>101</v>
      </c>
      <c r="B31" s="358" t="s">
        <v>547</v>
      </c>
      <c r="C31" s="1254">
        <v>37582814</v>
      </c>
      <c r="D31" s="1254">
        <v>27745246</v>
      </c>
      <c r="E31" s="1254">
        <v>27745246</v>
      </c>
      <c r="F31" s="1254">
        <v>27745246</v>
      </c>
      <c r="G31" s="1254">
        <v>27745246</v>
      </c>
    </row>
    <row r="32" spans="1:7" s="716" customFormat="1" ht="12.75">
      <c r="A32" s="1233" t="s">
        <v>103</v>
      </c>
      <c r="B32" s="1255" t="s">
        <v>546</v>
      </c>
      <c r="C32" s="1252">
        <v>13007950</v>
      </c>
      <c r="D32" s="1252">
        <v>11563470</v>
      </c>
      <c r="E32" s="1252">
        <v>11563470</v>
      </c>
      <c r="F32" s="1252">
        <v>13007950</v>
      </c>
      <c r="G32" s="1577">
        <v>12298950</v>
      </c>
    </row>
    <row r="33" spans="1:7" ht="12.75">
      <c r="A33" s="1239" t="s">
        <v>105</v>
      </c>
      <c r="B33" s="1242" t="s">
        <v>983</v>
      </c>
      <c r="C33" s="1254">
        <v>9134363</v>
      </c>
      <c r="D33" s="1254">
        <v>14531640</v>
      </c>
      <c r="E33" s="1254">
        <v>14531640</v>
      </c>
      <c r="F33" s="1254">
        <v>8508900</v>
      </c>
      <c r="G33" s="1577">
        <v>5823080</v>
      </c>
    </row>
    <row r="34" spans="1:7" ht="25.5">
      <c r="A34" s="1244" t="s">
        <v>107</v>
      </c>
      <c r="B34" s="1256" t="s">
        <v>1086</v>
      </c>
      <c r="C34" s="1257">
        <v>2500000</v>
      </c>
      <c r="D34" s="1257">
        <v>2500000</v>
      </c>
      <c r="E34" s="1257">
        <v>2500000</v>
      </c>
      <c r="F34" s="1257">
        <v>2000000</v>
      </c>
      <c r="G34" s="1257">
        <v>2000000</v>
      </c>
    </row>
    <row r="35" spans="1:7" ht="25.5">
      <c r="A35" s="1240" t="s">
        <v>109</v>
      </c>
      <c r="B35" s="1256" t="s">
        <v>1087</v>
      </c>
      <c r="C35" s="1257">
        <v>350000</v>
      </c>
      <c r="D35" s="1257">
        <v>350000</v>
      </c>
      <c r="E35" s="1257">
        <v>350000</v>
      </c>
      <c r="F35" s="1257">
        <v>350000</v>
      </c>
      <c r="G35" s="1257">
        <v>350000</v>
      </c>
    </row>
    <row r="36" spans="1:7" ht="25.5">
      <c r="A36" s="1240" t="s">
        <v>111</v>
      </c>
      <c r="B36" s="1256" t="s">
        <v>1088</v>
      </c>
      <c r="C36" s="1257">
        <v>994325</v>
      </c>
      <c r="D36" s="1257"/>
      <c r="E36" s="1257"/>
      <c r="F36" s="1257"/>
      <c r="G36" s="1257"/>
    </row>
    <row r="37" spans="1:7" ht="12.75">
      <c r="A37" s="1240" t="s">
        <v>113</v>
      </c>
      <c r="B37" s="1243"/>
      <c r="C37" s="1258"/>
      <c r="D37" s="1258">
        <v>0</v>
      </c>
      <c r="E37" s="1258">
        <v>0</v>
      </c>
      <c r="F37" s="1258">
        <v>0</v>
      </c>
      <c r="G37" s="1258">
        <v>0</v>
      </c>
    </row>
    <row r="38" spans="1:7" ht="12.75">
      <c r="A38" s="1240" t="s">
        <v>115</v>
      </c>
      <c r="B38" s="1243"/>
      <c r="C38" s="1258"/>
      <c r="D38" s="1258">
        <v>0</v>
      </c>
      <c r="E38" s="1258">
        <v>0</v>
      </c>
      <c r="F38" s="1258">
        <v>0</v>
      </c>
      <c r="G38" s="1258">
        <v>0</v>
      </c>
    </row>
    <row r="39" spans="1:7" ht="12.75">
      <c r="A39" s="1240" t="s">
        <v>117</v>
      </c>
      <c r="B39" s="1243"/>
      <c r="C39" s="1258"/>
      <c r="D39" s="1258"/>
      <c r="E39" s="1258"/>
      <c r="F39" s="1258"/>
      <c r="G39" s="1258"/>
    </row>
    <row r="40" spans="1:7" ht="12.75">
      <c r="A40" s="254" t="s">
        <v>118</v>
      </c>
      <c r="B40" s="1246" t="s">
        <v>548</v>
      </c>
      <c r="C40" s="1247">
        <f>SUM(C30:C38)</f>
        <v>64165335</v>
      </c>
      <c r="D40" s="1247">
        <f>SUM(D30:D38)</f>
        <v>57286239</v>
      </c>
      <c r="E40" s="1247">
        <f>SUM(E30:E38)</f>
        <v>57286239</v>
      </c>
      <c r="F40" s="1247">
        <f>SUM(F30:F38)</f>
        <v>52207979</v>
      </c>
      <c r="G40" s="1248">
        <f>SUM(G30:G38)</f>
        <v>48813159</v>
      </c>
    </row>
    <row r="41" spans="1:7" ht="12.75">
      <c r="A41" s="254" t="s">
        <v>120</v>
      </c>
      <c r="B41" s="180"/>
      <c r="C41" s="129"/>
      <c r="D41" s="129"/>
      <c r="E41" s="129"/>
      <c r="F41" s="129"/>
      <c r="G41" s="1581"/>
    </row>
    <row r="42" spans="1:7" ht="12.75">
      <c r="A42" s="254" t="s">
        <v>122</v>
      </c>
      <c r="B42" s="256"/>
      <c r="C42" s="67"/>
      <c r="D42" s="67"/>
      <c r="E42" s="67"/>
      <c r="F42" s="67"/>
      <c r="G42" s="1043"/>
    </row>
    <row r="43" spans="1:7" ht="12.75">
      <c r="A43" s="254" t="s">
        <v>124</v>
      </c>
      <c r="B43" s="259"/>
      <c r="C43" s="258"/>
      <c r="D43" s="258"/>
      <c r="E43" s="258"/>
      <c r="F43" s="258"/>
      <c r="G43" s="1254"/>
    </row>
    <row r="44" spans="1:7" ht="12.75">
      <c r="A44" s="257" t="s">
        <v>126</v>
      </c>
      <c r="B44" s="256" t="s">
        <v>550</v>
      </c>
      <c r="C44" s="67">
        <f>C23+C40+C42+C27+C28</f>
        <v>637267086</v>
      </c>
      <c r="D44" s="67">
        <f>D23+D40+D42+D27+D28</f>
        <v>639322104</v>
      </c>
      <c r="E44" s="67">
        <f>E23+E40+E42+E27+E28</f>
        <v>639322104</v>
      </c>
      <c r="F44" s="67">
        <f>F23+F40+F42+F27+F28</f>
        <v>633706958</v>
      </c>
      <c r="G44" s="1043">
        <f>G23+G40+G42+G27+G28</f>
        <v>631580585</v>
      </c>
    </row>
    <row r="46" spans="1:2" ht="15.75">
      <c r="A46" s="2020" t="s">
        <v>802</v>
      </c>
      <c r="B46" s="2020"/>
    </row>
    <row r="48" spans="1:7" ht="12.75">
      <c r="A48" s="422" t="s">
        <v>128</v>
      </c>
      <c r="B48" s="422" t="s">
        <v>794</v>
      </c>
      <c r="C48" s="423">
        <v>30830399</v>
      </c>
      <c r="D48" s="423">
        <v>10408397</v>
      </c>
      <c r="E48" s="423">
        <v>10408397</v>
      </c>
      <c r="F48" s="423">
        <v>10908397</v>
      </c>
      <c r="G48" s="1258">
        <v>10908397</v>
      </c>
    </row>
    <row r="52" spans="1:7" ht="12.75">
      <c r="A52" s="1695" t="s">
        <v>795</v>
      </c>
      <c r="B52" s="1695"/>
      <c r="C52" s="886">
        <f>SUM(C44+C48)</f>
        <v>668097485</v>
      </c>
      <c r="D52" s="886">
        <f>SUM(D44+D48)</f>
        <v>649730501</v>
      </c>
      <c r="E52" s="886">
        <f>SUM(E44+E48)</f>
        <v>649730501</v>
      </c>
      <c r="F52" s="886">
        <f>SUM(F44+F48)</f>
        <v>644615355</v>
      </c>
      <c r="G52" s="999">
        <f>SUM(G44+G48)</f>
        <v>642488982</v>
      </c>
    </row>
  </sheetData>
  <sheetProtection/>
  <mergeCells count="8">
    <mergeCell ref="A1:G1"/>
    <mergeCell ref="B8:G8"/>
    <mergeCell ref="A52:B52"/>
    <mergeCell ref="A9:A10"/>
    <mergeCell ref="A46:B46"/>
    <mergeCell ref="A4:G4"/>
    <mergeCell ref="A6:G6"/>
    <mergeCell ref="A3:G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18" customWidth="1"/>
    <col min="2" max="2" width="37.57421875" style="18" customWidth="1"/>
    <col min="3" max="7" width="8.7109375" style="25" customWidth="1"/>
    <col min="8" max="16384" width="11.57421875" style="18" customWidth="1"/>
  </cols>
  <sheetData>
    <row r="1" ht="12.75" customHeight="1">
      <c r="F1" s="26" t="s">
        <v>30</v>
      </c>
    </row>
    <row r="2" ht="12.75" customHeight="1">
      <c r="E2" s="25" t="s">
        <v>1</v>
      </c>
    </row>
    <row r="3" ht="12.75" customHeight="1">
      <c r="C3" s="26"/>
    </row>
    <row r="4" spans="2:6" ht="22.5" customHeight="1">
      <c r="B4" s="1652" t="s">
        <v>31</v>
      </c>
      <c r="C4" s="1652"/>
      <c r="D4" s="1652"/>
      <c r="E4" s="1652"/>
      <c r="F4" s="1652"/>
    </row>
    <row r="5" spans="2:6" ht="14.25" customHeight="1">
      <c r="B5" s="27"/>
      <c r="C5" s="27"/>
      <c r="D5" s="27"/>
      <c r="E5" s="27"/>
      <c r="F5" s="27"/>
    </row>
    <row r="6" spans="2:7" ht="58.5" customHeight="1">
      <c r="B6" s="1653" t="s">
        <v>32</v>
      </c>
      <c r="C6" s="1653"/>
      <c r="D6" s="1653"/>
      <c r="E6" s="1653"/>
      <c r="F6" s="1653"/>
      <c r="G6" s="1653"/>
    </row>
    <row r="7" spans="2:3" ht="12.75" customHeight="1">
      <c r="B7" s="28"/>
      <c r="C7" s="29"/>
    </row>
    <row r="8" ht="12.75" customHeight="1">
      <c r="G8" s="30" t="s">
        <v>5</v>
      </c>
    </row>
    <row r="9" spans="1:7" ht="50.25" customHeight="1">
      <c r="A9" s="31" t="s">
        <v>33</v>
      </c>
      <c r="B9" s="32" t="s">
        <v>24</v>
      </c>
      <c r="C9" s="33" t="s">
        <v>34</v>
      </c>
      <c r="D9" s="33" t="s">
        <v>35</v>
      </c>
      <c r="E9" s="33" t="s">
        <v>36</v>
      </c>
      <c r="F9" s="33" t="s">
        <v>37</v>
      </c>
      <c r="G9" s="34" t="s">
        <v>25</v>
      </c>
    </row>
    <row r="10" spans="1:7" s="20" customFormat="1" ht="27.75" customHeight="1">
      <c r="A10" s="35" t="s">
        <v>38</v>
      </c>
      <c r="B10" s="36" t="s">
        <v>39</v>
      </c>
      <c r="C10" s="37">
        <v>132230</v>
      </c>
      <c r="D10" s="37">
        <v>137916</v>
      </c>
      <c r="E10" s="37">
        <v>143846</v>
      </c>
      <c r="F10" s="37">
        <v>150031</v>
      </c>
      <c r="G10" s="37">
        <f aca="true" t="shared" si="0" ref="G10:G18">SUM(C10:F10)</f>
        <v>564023</v>
      </c>
    </row>
    <row r="11" spans="1:7" s="20" customFormat="1" ht="27.75" customHeight="1">
      <c r="A11" s="38" t="s">
        <v>40</v>
      </c>
      <c r="B11" s="39" t="s">
        <v>41</v>
      </c>
      <c r="C11" s="40"/>
      <c r="D11" s="40"/>
      <c r="E11" s="40"/>
      <c r="F11" s="40"/>
      <c r="G11" s="37">
        <f t="shared" si="0"/>
        <v>0</v>
      </c>
    </row>
    <row r="12" spans="1:7" ht="15" customHeight="1">
      <c r="A12" s="24"/>
      <c r="B12" s="41" t="s">
        <v>42</v>
      </c>
      <c r="C12" s="42">
        <v>100</v>
      </c>
      <c r="D12" s="42">
        <v>105</v>
      </c>
      <c r="E12" s="42">
        <v>110</v>
      </c>
      <c r="F12" s="42">
        <v>115</v>
      </c>
      <c r="G12" s="37">
        <f t="shared" si="0"/>
        <v>430</v>
      </c>
    </row>
    <row r="13" spans="1:7" ht="15" customHeight="1">
      <c r="A13" s="24"/>
      <c r="B13" s="41" t="s">
        <v>43</v>
      </c>
      <c r="C13" s="42"/>
      <c r="D13" s="42"/>
      <c r="E13" s="42"/>
      <c r="F13" s="42"/>
      <c r="G13" s="37">
        <f t="shared" si="0"/>
        <v>0</v>
      </c>
    </row>
    <row r="14" spans="1:7" ht="15" customHeight="1">
      <c r="A14" s="24"/>
      <c r="B14" s="41" t="s">
        <v>44</v>
      </c>
      <c r="C14" s="42">
        <v>4385</v>
      </c>
      <c r="D14" s="42">
        <v>4574</v>
      </c>
      <c r="E14" s="42">
        <v>4770</v>
      </c>
      <c r="F14" s="42">
        <v>4980</v>
      </c>
      <c r="G14" s="37">
        <f t="shared" si="0"/>
        <v>18709</v>
      </c>
    </row>
    <row r="15" spans="1:7" ht="15" customHeight="1">
      <c r="A15" s="24"/>
      <c r="B15" s="41" t="s">
        <v>45</v>
      </c>
      <c r="C15" s="42">
        <v>1240</v>
      </c>
      <c r="D15" s="42">
        <v>1300</v>
      </c>
      <c r="E15" s="42">
        <v>1360</v>
      </c>
      <c r="F15" s="42">
        <v>1420</v>
      </c>
      <c r="G15" s="37">
        <f t="shared" si="0"/>
        <v>5320</v>
      </c>
    </row>
    <row r="16" spans="1:7" ht="15" customHeight="1">
      <c r="A16" s="24"/>
      <c r="B16" s="41" t="s">
        <v>46</v>
      </c>
      <c r="C16" s="42"/>
      <c r="D16" s="42"/>
      <c r="E16" s="42"/>
      <c r="F16" s="42"/>
      <c r="G16" s="37">
        <f t="shared" si="0"/>
        <v>0</v>
      </c>
    </row>
    <row r="17" spans="1:7" ht="27.75" customHeight="1">
      <c r="A17" s="24" t="s">
        <v>47</v>
      </c>
      <c r="B17" s="41" t="s">
        <v>48</v>
      </c>
      <c r="C17" s="42"/>
      <c r="D17" s="42"/>
      <c r="E17" s="42"/>
      <c r="F17" s="42"/>
      <c r="G17" s="37">
        <f t="shared" si="0"/>
        <v>0</v>
      </c>
    </row>
    <row r="18" spans="1:7" ht="27.75" customHeight="1">
      <c r="A18" s="24" t="s">
        <v>49</v>
      </c>
      <c r="B18" s="41" t="s">
        <v>50</v>
      </c>
      <c r="C18" s="42"/>
      <c r="D18" s="42"/>
      <c r="E18" s="42"/>
      <c r="F18" s="42"/>
      <c r="G18" s="37">
        <f t="shared" si="0"/>
        <v>0</v>
      </c>
    </row>
    <row r="19" spans="1:7" s="20" customFormat="1" ht="27.75" customHeight="1">
      <c r="A19" s="24" t="s">
        <v>51</v>
      </c>
      <c r="B19" s="39" t="s">
        <v>52</v>
      </c>
      <c r="C19" s="40">
        <f>SUM(C10:C18)</f>
        <v>137955</v>
      </c>
      <c r="D19" s="40">
        <f>SUM(D10:D18)</f>
        <v>143895</v>
      </c>
      <c r="E19" s="40">
        <f>SUM(E10:E18)</f>
        <v>150086</v>
      </c>
      <c r="F19" s="40">
        <f>SUM(F10:F18)</f>
        <v>156546</v>
      </c>
      <c r="G19" s="40">
        <f>SUM(G10:G18)</f>
        <v>588482</v>
      </c>
    </row>
    <row r="20" spans="1:7" s="20" customFormat="1" ht="27.75" customHeight="1">
      <c r="A20" s="24" t="s">
        <v>53</v>
      </c>
      <c r="B20" s="39" t="s">
        <v>54</v>
      </c>
      <c r="C20" s="43">
        <f>C19/2</f>
        <v>68977.5</v>
      </c>
      <c r="D20" s="43">
        <f>D19/2</f>
        <v>71947.5</v>
      </c>
      <c r="E20" s="40">
        <f>E19/2</f>
        <v>75043</v>
      </c>
      <c r="F20" s="40">
        <f>F19/2</f>
        <v>78273</v>
      </c>
      <c r="G20" s="40">
        <f>G19/2</f>
        <v>294241</v>
      </c>
    </row>
    <row r="21" spans="1:7" s="20" customFormat="1" ht="27.75" customHeight="1">
      <c r="A21" s="24" t="s">
        <v>55</v>
      </c>
      <c r="B21" s="39" t="s">
        <v>56</v>
      </c>
      <c r="C21" s="40">
        <f>SUM(C22:C24)</f>
        <v>0</v>
      </c>
      <c r="D21" s="40">
        <f>SUM(D22:D24)</f>
        <v>0</v>
      </c>
      <c r="E21" s="40">
        <f>SUM(E22:E24)</f>
        <v>0</v>
      </c>
      <c r="F21" s="40">
        <f>SUM(F22:F24)</f>
        <v>0</v>
      </c>
      <c r="G21" s="40">
        <f>SUM(G22:G24)</f>
        <v>0</v>
      </c>
    </row>
    <row r="22" spans="1:7" ht="27.75" customHeight="1">
      <c r="A22" s="24" t="s">
        <v>57</v>
      </c>
      <c r="B22" s="41" t="s">
        <v>58</v>
      </c>
      <c r="C22" s="42"/>
      <c r="D22" s="42"/>
      <c r="E22" s="42"/>
      <c r="F22" s="42"/>
      <c r="G22" s="44">
        <f>SUM(C22:F22)</f>
        <v>0</v>
      </c>
    </row>
    <row r="23" spans="1:7" ht="27.75" customHeight="1">
      <c r="A23" s="24" t="s">
        <v>59</v>
      </c>
      <c r="B23" s="41" t="s">
        <v>60</v>
      </c>
      <c r="C23" s="42"/>
      <c r="D23" s="42"/>
      <c r="E23" s="42"/>
      <c r="F23" s="42"/>
      <c r="G23" s="44">
        <f>SUM(C23:F23)</f>
        <v>0</v>
      </c>
    </row>
    <row r="24" spans="1:7" ht="26.25" customHeight="1">
      <c r="A24" s="24" t="s">
        <v>61</v>
      </c>
      <c r="B24" s="41" t="s">
        <v>62</v>
      </c>
      <c r="C24" s="42"/>
      <c r="D24" s="42"/>
      <c r="E24" s="42"/>
      <c r="F24" s="42"/>
      <c r="G24" s="44">
        <f>SUM(C24:F24)</f>
        <v>0</v>
      </c>
    </row>
    <row r="25" spans="1:7" ht="26.25" customHeight="1">
      <c r="A25" s="24" t="s">
        <v>63</v>
      </c>
      <c r="B25" s="39" t="s">
        <v>64</v>
      </c>
      <c r="C25" s="40">
        <f>SUM(C26:C28)</f>
        <v>0</v>
      </c>
      <c r="D25" s="40">
        <f>SUM(D26:D28)</f>
        <v>0</v>
      </c>
      <c r="E25" s="40">
        <f>SUM(E26:E28)</f>
        <v>0</v>
      </c>
      <c r="F25" s="40">
        <f>SUM(F26:F28)</f>
        <v>0</v>
      </c>
      <c r="G25" s="40">
        <f>SUM(G26:G28)</f>
        <v>0</v>
      </c>
    </row>
    <row r="26" spans="1:7" ht="12.75" customHeight="1">
      <c r="A26" s="24" t="s">
        <v>65</v>
      </c>
      <c r="B26" s="41" t="s">
        <v>58</v>
      </c>
      <c r="C26" s="42"/>
      <c r="D26" s="42"/>
      <c r="E26" s="42"/>
      <c r="F26" s="42"/>
      <c r="G26" s="44">
        <f>SUM(C26:F26)</f>
        <v>0</v>
      </c>
    </row>
    <row r="27" spans="1:7" ht="12.75" customHeight="1">
      <c r="A27" s="24" t="s">
        <v>66</v>
      </c>
      <c r="B27" s="41" t="s">
        <v>60</v>
      </c>
      <c r="C27" s="42"/>
      <c r="D27" s="42"/>
      <c r="E27" s="42"/>
      <c r="F27" s="42"/>
      <c r="G27" s="44">
        <f>SUM(C27:F27)</f>
        <v>0</v>
      </c>
    </row>
    <row r="28" spans="1:7" ht="26.25" customHeight="1">
      <c r="A28" s="24" t="s">
        <v>67</v>
      </c>
      <c r="B28" s="41" t="s">
        <v>62</v>
      </c>
      <c r="C28" s="42"/>
      <c r="D28" s="42"/>
      <c r="E28" s="42"/>
      <c r="F28" s="42"/>
      <c r="G28" s="44">
        <f>SUM(C28:F28)</f>
        <v>0</v>
      </c>
    </row>
    <row r="29" spans="1:7" s="20" customFormat="1" ht="12.75" customHeight="1">
      <c r="A29" s="24" t="s">
        <v>68</v>
      </c>
      <c r="B29" s="39" t="s">
        <v>69</v>
      </c>
      <c r="C29" s="40">
        <f>C21+C25</f>
        <v>0</v>
      </c>
      <c r="D29" s="40">
        <f>D21+D25</f>
        <v>0</v>
      </c>
      <c r="E29" s="40">
        <f>E21+E25</f>
        <v>0</v>
      </c>
      <c r="F29" s="40">
        <f>F21+F25</f>
        <v>0</v>
      </c>
      <c r="G29" s="40">
        <f>G21+G25</f>
        <v>0</v>
      </c>
    </row>
    <row r="30" spans="1:7" ht="26.25" customHeight="1">
      <c r="A30" s="24" t="s">
        <v>70</v>
      </c>
      <c r="B30" s="39" t="s">
        <v>71</v>
      </c>
      <c r="C30" s="43">
        <f>C20-C29</f>
        <v>68977.5</v>
      </c>
      <c r="D30" s="43">
        <f>D20-D29</f>
        <v>71947.5</v>
      </c>
      <c r="E30" s="40">
        <f>E20-E29</f>
        <v>75043</v>
      </c>
      <c r="F30" s="40">
        <f>F20-F29</f>
        <v>78273</v>
      </c>
      <c r="G30" s="40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26.140625" style="1061" customWidth="1"/>
    <col min="2" max="5" width="15.57421875" style="1061" customWidth="1"/>
    <col min="6" max="16384" width="9.140625" style="1061" customWidth="1"/>
  </cols>
  <sheetData>
    <row r="1" s="1053" customFormat="1" ht="12">
      <c r="E1" s="1053" t="s">
        <v>1032</v>
      </c>
    </row>
    <row r="2" s="1053" customFormat="1" ht="12"/>
    <row r="3" spans="1:5" s="1053" customFormat="1" ht="12.75">
      <c r="A3" s="2029" t="s">
        <v>1181</v>
      </c>
      <c r="B3" s="2029"/>
      <c r="C3" s="2029"/>
      <c r="D3" s="2029"/>
      <c r="E3" s="2029"/>
    </row>
    <row r="4" s="1053" customFormat="1" ht="12"/>
    <row r="5" spans="1:14" s="1055" customFormat="1" ht="15.75">
      <c r="A5" s="2030" t="s">
        <v>1033</v>
      </c>
      <c r="B5" s="2030"/>
      <c r="C5" s="2030"/>
      <c r="D5" s="2030"/>
      <c r="E5" s="2030"/>
      <c r="F5" s="1054"/>
      <c r="G5" s="1054"/>
      <c r="H5" s="1054"/>
      <c r="I5" s="1054"/>
      <c r="J5" s="1054"/>
      <c r="K5" s="1054"/>
      <c r="L5" s="1054"/>
      <c r="M5" s="1054"/>
      <c r="N5" s="1054"/>
    </row>
    <row r="6" spans="1:14" s="1058" customFormat="1" ht="30.75" customHeight="1">
      <c r="A6" s="2031" t="s">
        <v>1034</v>
      </c>
      <c r="B6" s="2031"/>
      <c r="C6" s="2031"/>
      <c r="D6" s="2031"/>
      <c r="E6" s="2031"/>
      <c r="F6" s="1057"/>
      <c r="G6" s="1057"/>
      <c r="H6" s="1057"/>
      <c r="I6" s="1057"/>
      <c r="J6" s="1057"/>
      <c r="K6" s="1057"/>
      <c r="L6" s="1057"/>
      <c r="M6" s="1057"/>
      <c r="N6" s="1057"/>
    </row>
    <row r="7" spans="1:14" s="1058" customFormat="1" ht="30.75" customHeight="1">
      <c r="A7" s="1056"/>
      <c r="B7" s="1056"/>
      <c r="C7" s="1056"/>
      <c r="D7" s="1056"/>
      <c r="E7" s="1056"/>
      <c r="F7" s="1057"/>
      <c r="G7" s="1057"/>
      <c r="H7" s="1057"/>
      <c r="I7" s="1057"/>
      <c r="J7" s="1057"/>
      <c r="K7" s="1057"/>
      <c r="L7" s="1057"/>
      <c r="M7" s="1057"/>
      <c r="N7" s="1057"/>
    </row>
    <row r="8" spans="1:5" ht="37.5" customHeight="1">
      <c r="A8" s="1059" t="s">
        <v>1035</v>
      </c>
      <c r="B8" s="2039" t="s">
        <v>1036</v>
      </c>
      <c r="C8" s="2040"/>
      <c r="D8" s="2040"/>
      <c r="E8" s="1060" t="s">
        <v>214</v>
      </c>
    </row>
    <row r="9" spans="1:5" ht="15" thickBot="1">
      <c r="A9" s="1062" t="s">
        <v>1037</v>
      </c>
      <c r="B9" s="1063">
        <v>2019</v>
      </c>
      <c r="C9" s="1063">
        <v>2020</v>
      </c>
      <c r="D9" s="1063">
        <v>2021</v>
      </c>
      <c r="E9" s="1064" t="s">
        <v>25</v>
      </c>
    </row>
    <row r="10" spans="1:5" ht="14.25">
      <c r="A10" s="1065" t="s">
        <v>1038</v>
      </c>
      <c r="B10" s="1066"/>
      <c r="C10" s="1066"/>
      <c r="D10" s="1066"/>
      <c r="E10" s="1067">
        <f aca="true" t="shared" si="0" ref="E10:E15">SUM(B10:D10)</f>
        <v>0</v>
      </c>
    </row>
    <row r="11" spans="1:5" ht="14.25">
      <c r="A11" s="1068" t="s">
        <v>1039</v>
      </c>
      <c r="B11" s="1069">
        <v>241939114</v>
      </c>
      <c r="C11" s="1069"/>
      <c r="D11" s="1069"/>
      <c r="E11" s="1070">
        <f t="shared" si="0"/>
        <v>241939114</v>
      </c>
    </row>
    <row r="12" spans="1:5" ht="14.25">
      <c r="A12" s="1068" t="s">
        <v>1040</v>
      </c>
      <c r="B12" s="1069"/>
      <c r="C12" s="1069"/>
      <c r="D12" s="1069"/>
      <c r="E12" s="1070">
        <f t="shared" si="0"/>
        <v>0</v>
      </c>
    </row>
    <row r="13" spans="1:5" ht="14.25">
      <c r="A13" s="1068" t="s">
        <v>1041</v>
      </c>
      <c r="B13" s="1069"/>
      <c r="C13" s="1069"/>
      <c r="D13" s="1069"/>
      <c r="E13" s="1070">
        <f t="shared" si="0"/>
        <v>0</v>
      </c>
    </row>
    <row r="14" spans="1:5" ht="14.25">
      <c r="A14" s="1068" t="s">
        <v>1042</v>
      </c>
      <c r="B14" s="1069"/>
      <c r="C14" s="1069"/>
      <c r="D14" s="1069"/>
      <c r="E14" s="1070">
        <f t="shared" si="0"/>
        <v>0</v>
      </c>
    </row>
    <row r="15" spans="1:5" ht="15" thickBot="1">
      <c r="A15" s="1071"/>
      <c r="B15" s="1072"/>
      <c r="C15" s="1072"/>
      <c r="D15" s="1072"/>
      <c r="E15" s="1070">
        <f t="shared" si="0"/>
        <v>0</v>
      </c>
    </row>
    <row r="16" spans="1:5" ht="15" thickBot="1">
      <c r="A16" s="1073" t="s">
        <v>1037</v>
      </c>
      <c r="B16" s="1074">
        <f>B10+SUM(B11:B15)</f>
        <v>241939114</v>
      </c>
      <c r="C16" s="1074">
        <f>C10+SUM(C11:C15)</f>
        <v>0</v>
      </c>
      <c r="D16" s="1074">
        <f>D10+SUM(D11:D15)</f>
        <v>0</v>
      </c>
      <c r="E16" s="1075">
        <f>E10+SUM(E11:E15)</f>
        <v>241939114</v>
      </c>
    </row>
    <row r="17" spans="1:5" ht="15" thickBot="1">
      <c r="A17" s="1076"/>
      <c r="B17" s="1076"/>
      <c r="C17" s="1076"/>
      <c r="D17" s="1076"/>
      <c r="E17" s="1076"/>
    </row>
    <row r="18" spans="1:5" ht="15" thickBot="1">
      <c r="A18" s="1077" t="s">
        <v>1043</v>
      </c>
      <c r="B18" s="1078">
        <v>2019</v>
      </c>
      <c r="C18" s="1078">
        <v>2020</v>
      </c>
      <c r="D18" s="1078" t="s">
        <v>1056</v>
      </c>
      <c r="E18" s="1079" t="s">
        <v>25</v>
      </c>
    </row>
    <row r="19" spans="1:5" ht="14.25">
      <c r="A19" s="1065" t="s">
        <v>1044</v>
      </c>
      <c r="B19" s="1066">
        <v>2734363</v>
      </c>
      <c r="C19" s="1066"/>
      <c r="D19" s="1066"/>
      <c r="E19" s="1067">
        <f aca="true" t="shared" si="1" ref="E19:E25">SUM(B19:D19)</f>
        <v>2734363</v>
      </c>
    </row>
    <row r="20" spans="1:5" ht="14.25">
      <c r="A20" s="1080" t="s">
        <v>1045</v>
      </c>
      <c r="B20" s="1069">
        <v>232804751</v>
      </c>
      <c r="C20" s="1069"/>
      <c r="D20" s="1069"/>
      <c r="E20" s="1070">
        <f t="shared" si="1"/>
        <v>232804751</v>
      </c>
    </row>
    <row r="21" spans="1:5" ht="14.25">
      <c r="A21" s="1068" t="s">
        <v>1046</v>
      </c>
      <c r="B21" s="1069">
        <v>6400000</v>
      </c>
      <c r="C21" s="1069"/>
      <c r="D21" s="1069"/>
      <c r="E21" s="1070">
        <f t="shared" si="1"/>
        <v>6400000</v>
      </c>
    </row>
    <row r="22" spans="1:5" ht="14.25">
      <c r="A22" s="1068" t="s">
        <v>1047</v>
      </c>
      <c r="B22" s="1069"/>
      <c r="C22" s="1069"/>
      <c r="D22" s="1069"/>
      <c r="E22" s="1070">
        <f t="shared" si="1"/>
        <v>0</v>
      </c>
    </row>
    <row r="23" spans="1:5" ht="14.25">
      <c r="A23" s="1081"/>
      <c r="B23" s="1069"/>
      <c r="C23" s="1069"/>
      <c r="D23" s="1069"/>
      <c r="E23" s="1070">
        <f t="shared" si="1"/>
        <v>0</v>
      </c>
    </row>
    <row r="24" spans="1:5" ht="14.25">
      <c r="A24" s="1081"/>
      <c r="B24" s="1069"/>
      <c r="C24" s="1069"/>
      <c r="D24" s="1069"/>
      <c r="E24" s="1070">
        <f t="shared" si="1"/>
        <v>0</v>
      </c>
    </row>
    <row r="25" spans="1:5" ht="15" thickBot="1">
      <c r="A25" s="1071"/>
      <c r="B25" s="1082"/>
      <c r="C25" s="1082"/>
      <c r="D25" s="1082"/>
      <c r="E25" s="1083">
        <f t="shared" si="1"/>
        <v>0</v>
      </c>
    </row>
    <row r="26" spans="1:5" ht="15" thickBot="1">
      <c r="A26" s="1073" t="s">
        <v>450</v>
      </c>
      <c r="B26" s="1074">
        <f>SUM(B19:B25)</f>
        <v>241939114</v>
      </c>
      <c r="C26" s="1074">
        <f>SUM(C19:C25)</f>
        <v>0</v>
      </c>
      <c r="D26" s="1074">
        <f>SUM(D19:D25)</f>
        <v>0</v>
      </c>
      <c r="E26" s="1075">
        <f>SUM(E19:E25)</f>
        <v>241939114</v>
      </c>
    </row>
    <row r="27" spans="1:5" ht="14.25">
      <c r="A27" s="1084"/>
      <c r="B27" s="1084"/>
      <c r="C27" s="1084"/>
      <c r="D27" s="1084"/>
      <c r="E27" s="1084"/>
    </row>
    <row r="28" spans="1:5" ht="14.25">
      <c r="A28" s="2034" t="s">
        <v>1175</v>
      </c>
      <c r="B28" s="2034"/>
      <c r="C28" s="2034"/>
      <c r="D28" s="2034"/>
      <c r="E28" s="2034"/>
    </row>
    <row r="29" spans="1:5" ht="15" thickBot="1">
      <c r="A29" s="1084"/>
      <c r="B29" s="1084"/>
      <c r="C29" s="1084"/>
      <c r="D29" s="1084"/>
      <c r="E29" s="1084"/>
    </row>
    <row r="30" spans="1:5" ht="15" thickBot="1">
      <c r="A30" s="2035" t="s">
        <v>1048</v>
      </c>
      <c r="B30" s="2035"/>
      <c r="C30" s="2035"/>
      <c r="D30" s="2036" t="s">
        <v>1049</v>
      </c>
      <c r="E30" s="2036"/>
    </row>
    <row r="31" spans="1:5" ht="14.25">
      <c r="A31" s="2023"/>
      <c r="B31" s="2023"/>
      <c r="C31" s="2023"/>
      <c r="D31" s="2024"/>
      <c r="E31" s="2024"/>
    </row>
    <row r="32" spans="1:5" ht="15" thickBot="1">
      <c r="A32" s="2025"/>
      <c r="B32" s="2025"/>
      <c r="C32" s="2025"/>
      <c r="D32" s="2026"/>
      <c r="E32" s="2026"/>
    </row>
    <row r="33" spans="1:5" ht="15" thickBot="1">
      <c r="A33" s="2027" t="s">
        <v>450</v>
      </c>
      <c r="B33" s="2027"/>
      <c r="C33" s="2027"/>
      <c r="D33" s="2028">
        <f>SUM(D31:E32)</f>
        <v>0</v>
      </c>
      <c r="E33" s="2028"/>
    </row>
    <row r="34" spans="1:5" ht="14.25">
      <c r="A34" s="1085"/>
      <c r="B34" s="1085"/>
      <c r="C34" s="1085"/>
      <c r="D34" s="1086"/>
      <c r="E34" s="1086"/>
    </row>
    <row r="35" spans="1:5" ht="14.25">
      <c r="A35" s="1053"/>
      <c r="B35" s="1053"/>
      <c r="C35" s="1053"/>
      <c r="D35" s="1053"/>
      <c r="E35" s="1053" t="s">
        <v>1032</v>
      </c>
    </row>
    <row r="36" spans="1:5" ht="14.25">
      <c r="A36" s="1053"/>
      <c r="B36" s="1053"/>
      <c r="C36" s="1053"/>
      <c r="D36" s="1053"/>
      <c r="E36" s="1053"/>
    </row>
    <row r="37" spans="1:5" ht="14.25">
      <c r="A37" s="2029" t="s">
        <v>1024</v>
      </c>
      <c r="B37" s="2029"/>
      <c r="C37" s="2029"/>
      <c r="D37" s="2029"/>
      <c r="E37" s="2029"/>
    </row>
    <row r="38" spans="1:5" ht="14.25">
      <c r="A38" s="956"/>
      <c r="B38" s="956"/>
      <c r="C38" s="956"/>
      <c r="D38" s="956"/>
      <c r="E38" s="956"/>
    </row>
    <row r="39" spans="1:5" ht="15.75">
      <c r="A39" s="2030" t="s">
        <v>1033</v>
      </c>
      <c r="B39" s="2030"/>
      <c r="C39" s="2030"/>
      <c r="D39" s="2030"/>
      <c r="E39" s="2030"/>
    </row>
    <row r="40" spans="1:5" ht="40.5" customHeight="1">
      <c r="A40" s="2031" t="s">
        <v>1034</v>
      </c>
      <c r="B40" s="2031"/>
      <c r="C40" s="2031"/>
      <c r="D40" s="2031"/>
      <c r="E40" s="2031"/>
    </row>
    <row r="41" spans="1:5" ht="40.5" customHeight="1">
      <c r="A41" s="1056"/>
      <c r="B41" s="1056"/>
      <c r="C41" s="1056"/>
      <c r="D41" s="1056"/>
      <c r="E41" s="1056"/>
    </row>
    <row r="42" spans="1:5" ht="36.75" customHeight="1">
      <c r="A42" s="1059" t="s">
        <v>1035</v>
      </c>
      <c r="B42" s="2039" t="s">
        <v>1050</v>
      </c>
      <c r="C42" s="2040"/>
      <c r="D42" s="2040"/>
      <c r="E42" s="1060" t="s">
        <v>214</v>
      </c>
    </row>
    <row r="43" spans="1:5" ht="15" thickBot="1">
      <c r="A43" s="1062" t="s">
        <v>1037</v>
      </c>
      <c r="B43" s="1063">
        <v>2019</v>
      </c>
      <c r="C43" s="1063">
        <v>2020</v>
      </c>
      <c r="D43" s="1063" t="s">
        <v>1055</v>
      </c>
      <c r="E43" s="1064" t="s">
        <v>25</v>
      </c>
    </row>
    <row r="44" spans="1:5" ht="14.25">
      <c r="A44" s="1065" t="s">
        <v>1038</v>
      </c>
      <c r="B44" s="1066">
        <v>15176500</v>
      </c>
      <c r="C44" s="1066"/>
      <c r="D44" s="1066"/>
      <c r="E44" s="1067">
        <f aca="true" t="shared" si="2" ref="E44:E49">SUM(B44:D44)</f>
        <v>15176500</v>
      </c>
    </row>
    <row r="45" spans="1:5" ht="14.25">
      <c r="A45" s="1068" t="s">
        <v>1039</v>
      </c>
      <c r="B45" s="1069">
        <v>321950494</v>
      </c>
      <c r="C45" s="1069">
        <v>2540000</v>
      </c>
      <c r="D45" s="1069"/>
      <c r="E45" s="1070">
        <f t="shared" si="2"/>
        <v>324490494</v>
      </c>
    </row>
    <row r="46" spans="1:5" ht="14.25">
      <c r="A46" s="1068" t="s">
        <v>1040</v>
      </c>
      <c r="B46" s="1069"/>
      <c r="C46" s="1069"/>
      <c r="D46" s="1069"/>
      <c r="E46" s="1070">
        <f t="shared" si="2"/>
        <v>0</v>
      </c>
    </row>
    <row r="47" spans="1:5" ht="14.25">
      <c r="A47" s="1068" t="s">
        <v>1041</v>
      </c>
      <c r="B47" s="1069"/>
      <c r="C47" s="1069"/>
      <c r="D47" s="1069"/>
      <c r="E47" s="1070">
        <f t="shared" si="2"/>
        <v>0</v>
      </c>
    </row>
    <row r="48" spans="1:5" ht="14.25">
      <c r="A48" s="1068" t="s">
        <v>1042</v>
      </c>
      <c r="B48" s="1069"/>
      <c r="C48" s="1069"/>
      <c r="D48" s="1069"/>
      <c r="E48" s="1070">
        <f t="shared" si="2"/>
        <v>0</v>
      </c>
    </row>
    <row r="49" spans="1:5" ht="15" thickBot="1">
      <c r="A49" s="1071"/>
      <c r="B49" s="1072"/>
      <c r="C49" s="1072"/>
      <c r="D49" s="1072"/>
      <c r="E49" s="1070">
        <f t="shared" si="2"/>
        <v>0</v>
      </c>
    </row>
    <row r="50" spans="1:5" ht="15" thickBot="1">
      <c r="A50" s="1073" t="s">
        <v>1037</v>
      </c>
      <c r="B50" s="1074">
        <f>B44+SUM(B45:B49)</f>
        <v>337126994</v>
      </c>
      <c r="C50" s="1074">
        <f>C44+SUM(C45:C49)</f>
        <v>2540000</v>
      </c>
      <c r="D50" s="1074">
        <f>D44+SUM(D45:D49)</f>
        <v>0</v>
      </c>
      <c r="E50" s="1075">
        <f>E44+SUM(E45:E49)</f>
        <v>339666994</v>
      </c>
    </row>
    <row r="51" spans="1:5" ht="15" thickBot="1">
      <c r="A51" s="1076"/>
      <c r="B51" s="1076"/>
      <c r="C51" s="1076"/>
      <c r="D51" s="1076"/>
      <c r="E51" s="1076"/>
    </row>
    <row r="52" spans="1:5" ht="15" thickBot="1">
      <c r="A52" s="1077" t="s">
        <v>1043</v>
      </c>
      <c r="B52" s="1078">
        <v>2019</v>
      </c>
      <c r="C52" s="1078">
        <v>2020</v>
      </c>
      <c r="D52" s="1078" t="s">
        <v>1056</v>
      </c>
      <c r="E52" s="1079" t="s">
        <v>25</v>
      </c>
    </row>
    <row r="53" spans="1:5" ht="14.25">
      <c r="A53" s="1065" t="s">
        <v>1044</v>
      </c>
      <c r="B53" s="1066"/>
      <c r="C53" s="1066"/>
      <c r="D53" s="1066"/>
      <c r="E53" s="1067">
        <f aca="true" t="shared" si="3" ref="E53:E59">SUM(B53:D53)</f>
        <v>0</v>
      </c>
    </row>
    <row r="54" spans="1:5" ht="14.25">
      <c r="A54" s="1080" t="s">
        <v>1045</v>
      </c>
      <c r="B54" s="1069">
        <v>308942353</v>
      </c>
      <c r="C54" s="1069">
        <v>15176500</v>
      </c>
      <c r="D54" s="1069"/>
      <c r="E54" s="1070">
        <f t="shared" si="3"/>
        <v>324118853</v>
      </c>
    </row>
    <row r="55" spans="1:5" ht="14.25">
      <c r="A55" s="1068" t="s">
        <v>1046</v>
      </c>
      <c r="B55" s="1069">
        <v>13008141</v>
      </c>
      <c r="C55" s="1069"/>
      <c r="D55" s="1069"/>
      <c r="E55" s="1070">
        <f t="shared" si="3"/>
        <v>13008141</v>
      </c>
    </row>
    <row r="56" spans="1:5" ht="14.25">
      <c r="A56" s="1068" t="s">
        <v>134</v>
      </c>
      <c r="B56" s="1069"/>
      <c r="C56" s="1069"/>
      <c r="D56" s="1069"/>
      <c r="E56" s="1070">
        <f t="shared" si="3"/>
        <v>0</v>
      </c>
    </row>
    <row r="57" spans="1:5" ht="14.25">
      <c r="A57" s="1081" t="s">
        <v>1051</v>
      </c>
      <c r="B57" s="1069"/>
      <c r="C57" s="1069">
        <v>2540000</v>
      </c>
      <c r="D57" s="1069"/>
      <c r="E57" s="1070">
        <f t="shared" si="3"/>
        <v>2540000</v>
      </c>
    </row>
    <row r="58" spans="1:5" ht="14.25">
      <c r="A58" s="1081"/>
      <c r="B58" s="1069"/>
      <c r="C58" s="1069"/>
      <c r="D58" s="1069"/>
      <c r="E58" s="1070">
        <f t="shared" si="3"/>
        <v>0</v>
      </c>
    </row>
    <row r="59" spans="1:5" ht="15" thickBot="1">
      <c r="A59" s="1071"/>
      <c r="B59" s="1082"/>
      <c r="C59" s="1082"/>
      <c r="D59" s="1082"/>
      <c r="E59" s="1083">
        <f t="shared" si="3"/>
        <v>0</v>
      </c>
    </row>
    <row r="60" spans="1:5" ht="15" thickBot="1">
      <c r="A60" s="1073" t="s">
        <v>450</v>
      </c>
      <c r="B60" s="1074">
        <f>SUM(B53:B59)</f>
        <v>321950494</v>
      </c>
      <c r="C60" s="1074">
        <f>SUM(C53:C59)</f>
        <v>17716500</v>
      </c>
      <c r="D60" s="1074">
        <f>SUM(D53:D59)</f>
        <v>0</v>
      </c>
      <c r="E60" s="1075">
        <f>SUM(E53:E59)</f>
        <v>339666994</v>
      </c>
    </row>
    <row r="61" spans="1:5" ht="14.25">
      <c r="A61" s="1084"/>
      <c r="B61" s="1084"/>
      <c r="C61" s="1084"/>
      <c r="D61" s="1084"/>
      <c r="E61" s="1084"/>
    </row>
    <row r="62" spans="1:5" ht="14.25">
      <c r="A62" s="2034" t="s">
        <v>1175</v>
      </c>
      <c r="B62" s="2034"/>
      <c r="C62" s="2034"/>
      <c r="D62" s="2034"/>
      <c r="E62" s="2034"/>
    </row>
    <row r="63" spans="1:5" ht="15" thickBot="1">
      <c r="A63" s="1084"/>
      <c r="B63" s="1084"/>
      <c r="C63" s="1084"/>
      <c r="D63" s="1084"/>
      <c r="E63" s="1084"/>
    </row>
    <row r="64" spans="1:5" ht="15" thickBot="1">
      <c r="A64" s="2035" t="s">
        <v>1048</v>
      </c>
      <c r="B64" s="2035"/>
      <c r="C64" s="2035"/>
      <c r="D64" s="2036" t="s">
        <v>1052</v>
      </c>
      <c r="E64" s="2036"/>
    </row>
    <row r="65" spans="1:5" ht="14.25">
      <c r="A65" s="2023"/>
      <c r="B65" s="2023"/>
      <c r="C65" s="2023"/>
      <c r="D65" s="2024"/>
      <c r="E65" s="2024"/>
    </row>
    <row r="66" spans="1:5" ht="15" thickBot="1">
      <c r="A66" s="2025"/>
      <c r="B66" s="2025"/>
      <c r="C66" s="2025"/>
      <c r="D66" s="2026"/>
      <c r="E66" s="2026"/>
    </row>
    <row r="67" spans="1:5" ht="15" thickBot="1">
      <c r="A67" s="2027" t="s">
        <v>450</v>
      </c>
      <c r="B67" s="2027"/>
      <c r="C67" s="2027"/>
      <c r="D67" s="2028">
        <f>SUM(D65:E66)</f>
        <v>0</v>
      </c>
      <c r="E67" s="2028"/>
    </row>
    <row r="68" spans="1:5" ht="14.25">
      <c r="A68" s="1085"/>
      <c r="B68" s="1085"/>
      <c r="C68" s="1085"/>
      <c r="D68" s="1086"/>
      <c r="E68" s="1086"/>
    </row>
    <row r="69" spans="1:5" ht="14.25">
      <c r="A69" s="1053"/>
      <c r="B69" s="1053"/>
      <c r="C69" s="1053"/>
      <c r="D69" s="1053"/>
      <c r="E69" s="1053" t="s">
        <v>1032</v>
      </c>
    </row>
    <row r="70" spans="1:5" ht="14.25">
      <c r="A70" s="1053"/>
      <c r="B70" s="1053"/>
      <c r="C70" s="1053"/>
      <c r="D70" s="1053"/>
      <c r="E70" s="1053"/>
    </row>
    <row r="71" spans="1:5" ht="14.25">
      <c r="A71" s="2029" t="s">
        <v>1024</v>
      </c>
      <c r="B71" s="2029"/>
      <c r="C71" s="2029"/>
      <c r="D71" s="2029"/>
      <c r="E71" s="2029"/>
    </row>
    <row r="72" spans="1:5" ht="15.75">
      <c r="A72" s="2030" t="s">
        <v>1033</v>
      </c>
      <c r="B72" s="2030"/>
      <c r="C72" s="2030"/>
      <c r="D72" s="2030"/>
      <c r="E72" s="2030"/>
    </row>
    <row r="73" spans="1:5" ht="41.25" customHeight="1">
      <c r="A73" s="2031" t="s">
        <v>1034</v>
      </c>
      <c r="B73" s="2031"/>
      <c r="C73" s="2031"/>
      <c r="D73" s="2031"/>
      <c r="E73" s="2031"/>
    </row>
    <row r="74" spans="1:5" ht="37.5" customHeight="1">
      <c r="A74" s="1087" t="s">
        <v>1035</v>
      </c>
      <c r="B74" s="2037" t="s">
        <v>1053</v>
      </c>
      <c r="C74" s="2038"/>
      <c r="D74" s="2038"/>
      <c r="E74" s="1060" t="s">
        <v>214</v>
      </c>
    </row>
    <row r="75" spans="1:5" ht="15" thickBot="1">
      <c r="A75" s="1062" t="s">
        <v>1037</v>
      </c>
      <c r="B75" s="1063">
        <v>2019</v>
      </c>
      <c r="C75" s="1063">
        <v>2020</v>
      </c>
      <c r="D75" s="1063" t="s">
        <v>1057</v>
      </c>
      <c r="E75" s="1064" t="s">
        <v>25</v>
      </c>
    </row>
    <row r="76" spans="1:5" ht="14.25">
      <c r="A76" s="1065" t="s">
        <v>1038</v>
      </c>
      <c r="B76" s="1066">
        <v>1700000</v>
      </c>
      <c r="C76" s="1066"/>
      <c r="D76" s="1066"/>
      <c r="E76" s="1067">
        <f aca="true" t="shared" si="4" ref="E76:E81">SUM(B76:D76)</f>
        <v>1700000</v>
      </c>
    </row>
    <row r="77" spans="1:5" ht="14.25">
      <c r="A77" s="1068" t="s">
        <v>1039</v>
      </c>
      <c r="B77" s="1069">
        <v>39637346</v>
      </c>
      <c r="C77" s="1069"/>
      <c r="D77" s="1069"/>
      <c r="E77" s="1070">
        <f t="shared" si="4"/>
        <v>39637346</v>
      </c>
    </row>
    <row r="78" spans="1:5" ht="14.25">
      <c r="A78" s="1068" t="s">
        <v>1040</v>
      </c>
      <c r="B78" s="1069"/>
      <c r="C78" s="1069"/>
      <c r="D78" s="1069"/>
      <c r="E78" s="1070">
        <f t="shared" si="4"/>
        <v>0</v>
      </c>
    </row>
    <row r="79" spans="1:5" ht="14.25">
      <c r="A79" s="1068" t="s">
        <v>1041</v>
      </c>
      <c r="B79" s="1069"/>
      <c r="C79" s="1069"/>
      <c r="D79" s="1069"/>
      <c r="E79" s="1070">
        <f t="shared" si="4"/>
        <v>0</v>
      </c>
    </row>
    <row r="80" spans="1:5" ht="14.25">
      <c r="A80" s="1068" t="s">
        <v>1042</v>
      </c>
      <c r="B80" s="1069"/>
      <c r="C80" s="1069"/>
      <c r="D80" s="1069"/>
      <c r="E80" s="1070">
        <f t="shared" si="4"/>
        <v>0</v>
      </c>
    </row>
    <row r="81" spans="1:5" ht="15" thickBot="1">
      <c r="A81" s="1071"/>
      <c r="B81" s="1072"/>
      <c r="C81" s="1072"/>
      <c r="D81" s="1072"/>
      <c r="E81" s="1070">
        <f t="shared" si="4"/>
        <v>0</v>
      </c>
    </row>
    <row r="82" spans="1:5" ht="15" thickBot="1">
      <c r="A82" s="1073" t="s">
        <v>1037</v>
      </c>
      <c r="B82" s="1074">
        <f>B76+SUM(B77:B81)</f>
        <v>41337346</v>
      </c>
      <c r="C82" s="1074">
        <f>C76+SUM(C77:C81)</f>
        <v>0</v>
      </c>
      <c r="D82" s="1074">
        <f>D76+SUM(D77:D81)</f>
        <v>0</v>
      </c>
      <c r="E82" s="1075">
        <f>E76+SUM(E77:E81)</f>
        <v>41337346</v>
      </c>
    </row>
    <row r="83" spans="1:5" ht="15" thickBot="1">
      <c r="A83" s="1076"/>
      <c r="B83" s="1076"/>
      <c r="C83" s="1076"/>
      <c r="D83" s="1076"/>
      <c r="E83" s="1076"/>
    </row>
    <row r="84" spans="1:5" ht="15" thickBot="1">
      <c r="A84" s="1077" t="s">
        <v>1043</v>
      </c>
      <c r="B84" s="1078">
        <v>2019</v>
      </c>
      <c r="C84" s="1078">
        <v>2020</v>
      </c>
      <c r="D84" s="1078" t="s">
        <v>1057</v>
      </c>
      <c r="E84" s="1079" t="s">
        <v>25</v>
      </c>
    </row>
    <row r="85" spans="1:5" ht="14.25">
      <c r="A85" s="1065" t="s">
        <v>1044</v>
      </c>
      <c r="B85" s="1066">
        <v>8231088</v>
      </c>
      <c r="C85" s="1066">
        <v>6332532</v>
      </c>
      <c r="D85" s="1066">
        <v>6332532</v>
      </c>
      <c r="E85" s="1067">
        <f aca="true" t="shared" si="5" ref="E85:E91">SUM(B85:D85)</f>
        <v>20896152</v>
      </c>
    </row>
    <row r="86" spans="1:5" ht="14.25">
      <c r="A86" s="1080" t="s">
        <v>1045</v>
      </c>
      <c r="B86" s="1069">
        <v>1606480</v>
      </c>
      <c r="C86" s="1069">
        <v>1074026</v>
      </c>
      <c r="D86" s="1069">
        <v>1074026</v>
      </c>
      <c r="E86" s="1070">
        <f t="shared" si="5"/>
        <v>3754532</v>
      </c>
    </row>
    <row r="87" spans="1:5" ht="14.25">
      <c r="A87" s="1068" t="s">
        <v>1046</v>
      </c>
      <c r="B87" s="1069">
        <v>6630508</v>
      </c>
      <c r="C87" s="1069">
        <v>5028077</v>
      </c>
      <c r="D87" s="1069">
        <v>5028077</v>
      </c>
      <c r="E87" s="1070">
        <f t="shared" si="5"/>
        <v>16686662</v>
      </c>
    </row>
    <row r="88" spans="1:5" ht="14.25">
      <c r="A88" s="1068" t="s">
        <v>1047</v>
      </c>
      <c r="B88" s="1069"/>
      <c r="C88" s="1069"/>
      <c r="D88" s="1069"/>
      <c r="E88" s="1070">
        <f t="shared" si="5"/>
        <v>0</v>
      </c>
    </row>
    <row r="89" spans="1:5" ht="14.25">
      <c r="A89" s="1081" t="s">
        <v>1051</v>
      </c>
      <c r="B89" s="1088"/>
      <c r="C89" s="1069"/>
      <c r="D89" s="1069"/>
      <c r="E89" s="1070">
        <f t="shared" si="5"/>
        <v>0</v>
      </c>
    </row>
    <row r="90" spans="1:5" ht="14.25">
      <c r="A90" s="1081"/>
      <c r="B90" s="1069"/>
      <c r="C90" s="1069"/>
      <c r="D90" s="1069"/>
      <c r="E90" s="1070">
        <f t="shared" si="5"/>
        <v>0</v>
      </c>
    </row>
    <row r="91" spans="1:5" ht="15" thickBot="1">
      <c r="A91" s="1071"/>
      <c r="B91" s="1082"/>
      <c r="C91" s="1082"/>
      <c r="D91" s="1082"/>
      <c r="E91" s="1083">
        <f t="shared" si="5"/>
        <v>0</v>
      </c>
    </row>
    <row r="92" spans="1:5" ht="15" thickBot="1">
      <c r="A92" s="1073" t="s">
        <v>450</v>
      </c>
      <c r="B92" s="1074">
        <f>SUM(B85:B91)</f>
        <v>16468076</v>
      </c>
      <c r="C92" s="1074">
        <f>SUM(C85:C91)</f>
        <v>12434635</v>
      </c>
      <c r="D92" s="1074">
        <f>SUM(D85:D91)</f>
        <v>12434635</v>
      </c>
      <c r="E92" s="1075">
        <f>SUM(E85:E91)</f>
        <v>41337346</v>
      </c>
    </row>
    <row r="93" spans="1:5" ht="14.25">
      <c r="A93" s="1084"/>
      <c r="B93" s="1084"/>
      <c r="C93" s="1084"/>
      <c r="D93" s="1084"/>
      <c r="E93" s="1084"/>
    </row>
    <row r="94" spans="1:5" ht="14.25">
      <c r="A94" s="2034" t="s">
        <v>1175</v>
      </c>
      <c r="B94" s="2034"/>
      <c r="C94" s="2034"/>
      <c r="D94" s="2034"/>
      <c r="E94" s="2034"/>
    </row>
    <row r="95" spans="1:5" ht="15" thickBot="1">
      <c r="A95" s="1084"/>
      <c r="B95" s="1084"/>
      <c r="C95" s="1084"/>
      <c r="D95" s="1084"/>
      <c r="E95" s="1084"/>
    </row>
    <row r="96" spans="1:5" ht="15" thickBot="1">
      <c r="A96" s="2035" t="s">
        <v>1048</v>
      </c>
      <c r="B96" s="2035"/>
      <c r="C96" s="2035"/>
      <c r="D96" s="2036" t="s">
        <v>1052</v>
      </c>
      <c r="E96" s="2036"/>
    </row>
    <row r="97" spans="1:5" ht="14.25">
      <c r="A97" s="2023"/>
      <c r="B97" s="2023"/>
      <c r="C97" s="2023"/>
      <c r="D97" s="2024"/>
      <c r="E97" s="2024"/>
    </row>
    <row r="98" spans="1:5" ht="15" thickBot="1">
      <c r="A98" s="2025"/>
      <c r="B98" s="2025"/>
      <c r="C98" s="2025"/>
      <c r="D98" s="2026"/>
      <c r="E98" s="2026"/>
    </row>
    <row r="99" spans="1:5" ht="15" thickBot="1">
      <c r="A99" s="2027" t="s">
        <v>450</v>
      </c>
      <c r="B99" s="2027"/>
      <c r="C99" s="2027"/>
      <c r="D99" s="2028">
        <f>SUM(D97:E98)</f>
        <v>0</v>
      </c>
      <c r="E99" s="2028"/>
    </row>
    <row r="100" spans="1:5" ht="14.25">
      <c r="A100" s="1053"/>
      <c r="B100" s="1053"/>
      <c r="C100" s="1053"/>
      <c r="D100" s="1053"/>
      <c r="E100" s="1053" t="s">
        <v>1032</v>
      </c>
    </row>
    <row r="101" spans="1:5" ht="14.25">
      <c r="A101" s="1053"/>
      <c r="B101" s="1053"/>
      <c r="C101" s="1053"/>
      <c r="D101" s="1053"/>
      <c r="E101" s="1053"/>
    </row>
    <row r="102" spans="1:5" ht="14.25">
      <c r="A102" s="2029" t="s">
        <v>1024</v>
      </c>
      <c r="B102" s="2029"/>
      <c r="C102" s="2029"/>
      <c r="D102" s="2029"/>
      <c r="E102" s="2029"/>
    </row>
    <row r="103" spans="1:5" ht="15.75">
      <c r="A103" s="2030" t="s">
        <v>1033</v>
      </c>
      <c r="B103" s="2030"/>
      <c r="C103" s="2030"/>
      <c r="D103" s="2030"/>
      <c r="E103" s="2030"/>
    </row>
    <row r="104" spans="1:5" ht="33.75" customHeight="1">
      <c r="A104" s="2031" t="s">
        <v>1034</v>
      </c>
      <c r="B104" s="2031"/>
      <c r="C104" s="2031"/>
      <c r="D104" s="2031"/>
      <c r="E104" s="2031"/>
    </row>
    <row r="105" spans="1:5" ht="42.75" customHeight="1" thickBot="1">
      <c r="A105" s="1089" t="s">
        <v>1035</v>
      </c>
      <c r="B105" s="2032" t="s">
        <v>1054</v>
      </c>
      <c r="C105" s="2033"/>
      <c r="D105" s="2033"/>
      <c r="E105" s="1090" t="s">
        <v>214</v>
      </c>
    </row>
    <row r="106" spans="1:5" ht="15" thickBot="1">
      <c r="A106" s="1077" t="s">
        <v>1037</v>
      </c>
      <c r="B106" s="1078">
        <v>2019</v>
      </c>
      <c r="C106" s="1078">
        <v>2020</v>
      </c>
      <c r="D106" s="1078" t="s">
        <v>1056</v>
      </c>
      <c r="E106" s="1079" t="s">
        <v>25</v>
      </c>
    </row>
    <row r="107" spans="1:5" ht="14.25">
      <c r="A107" s="1065" t="s">
        <v>1038</v>
      </c>
      <c r="B107" s="1066">
        <v>3700572</v>
      </c>
      <c r="C107" s="1066"/>
      <c r="D107" s="1066"/>
      <c r="E107" s="1067">
        <f aca="true" t="shared" si="6" ref="E107:E112">SUM(B107:D107)</f>
        <v>3700572</v>
      </c>
    </row>
    <row r="108" spans="1:5" ht="14.25">
      <c r="A108" s="1068" t="s">
        <v>1039</v>
      </c>
      <c r="B108" s="1069">
        <v>4740505</v>
      </c>
      <c r="C108" s="1069"/>
      <c r="D108" s="1069"/>
      <c r="E108" s="1070">
        <f t="shared" si="6"/>
        <v>4740505</v>
      </c>
    </row>
    <row r="109" spans="1:5" ht="14.25">
      <c r="A109" s="1068" t="s">
        <v>1040</v>
      </c>
      <c r="B109" s="1069"/>
      <c r="C109" s="1069"/>
      <c r="D109" s="1069"/>
      <c r="E109" s="1070">
        <f t="shared" si="6"/>
        <v>0</v>
      </c>
    </row>
    <row r="110" spans="1:5" ht="14.25">
      <c r="A110" s="1068" t="s">
        <v>1041</v>
      </c>
      <c r="B110" s="1069"/>
      <c r="C110" s="1069"/>
      <c r="D110" s="1069"/>
      <c r="E110" s="1070">
        <f t="shared" si="6"/>
        <v>0</v>
      </c>
    </row>
    <row r="111" spans="1:5" ht="14.25">
      <c r="A111" s="1068" t="s">
        <v>1042</v>
      </c>
      <c r="B111" s="1069"/>
      <c r="C111" s="1069"/>
      <c r="D111" s="1069"/>
      <c r="E111" s="1070">
        <f t="shared" si="6"/>
        <v>0</v>
      </c>
    </row>
    <row r="112" spans="1:5" ht="15" thickBot="1">
      <c r="A112" s="1071"/>
      <c r="B112" s="1072"/>
      <c r="C112" s="1072"/>
      <c r="D112" s="1072"/>
      <c r="E112" s="1070">
        <f t="shared" si="6"/>
        <v>0</v>
      </c>
    </row>
    <row r="113" spans="1:5" ht="15" thickBot="1">
      <c r="A113" s="1073" t="s">
        <v>1037</v>
      </c>
      <c r="B113" s="1074">
        <f>B107+SUM(B108:B112)</f>
        <v>8441077</v>
      </c>
      <c r="C113" s="1074">
        <f>C107+SUM(C108:C112)</f>
        <v>0</v>
      </c>
      <c r="D113" s="1074">
        <f>D107+SUM(D108:D112)</f>
        <v>0</v>
      </c>
      <c r="E113" s="1075">
        <f>E107+SUM(E108:E112)</f>
        <v>8441077</v>
      </c>
    </row>
    <row r="114" spans="1:5" ht="15" thickBot="1">
      <c r="A114" s="1076"/>
      <c r="B114" s="1076"/>
      <c r="C114" s="1076"/>
      <c r="D114" s="1076"/>
      <c r="E114" s="1076"/>
    </row>
    <row r="115" spans="1:5" ht="15" thickBot="1">
      <c r="A115" s="1077" t="s">
        <v>1043</v>
      </c>
      <c r="B115" s="1078">
        <v>2019</v>
      </c>
      <c r="C115" s="1078">
        <v>2020</v>
      </c>
      <c r="D115" s="1078" t="s">
        <v>1056</v>
      </c>
      <c r="E115" s="1079" t="s">
        <v>25</v>
      </c>
    </row>
    <row r="116" spans="1:5" ht="14.25">
      <c r="A116" s="1065" t="s">
        <v>1044</v>
      </c>
      <c r="B116" s="1066"/>
      <c r="C116" s="1066"/>
      <c r="D116" s="1066"/>
      <c r="E116" s="1067">
        <f aca="true" t="shared" si="7" ref="E116:E122">SUM(B116:D116)</f>
        <v>0</v>
      </c>
    </row>
    <row r="117" spans="1:5" ht="14.25">
      <c r="A117" s="1080" t="s">
        <v>1045</v>
      </c>
      <c r="B117" s="1069">
        <v>8441077</v>
      </c>
      <c r="C117" s="1069"/>
      <c r="D117" s="1069"/>
      <c r="E117" s="1070">
        <f t="shared" si="7"/>
        <v>8441077</v>
      </c>
    </row>
    <row r="118" spans="1:5" ht="14.25">
      <c r="A118" s="1068" t="s">
        <v>1046</v>
      </c>
      <c r="B118" s="1069"/>
      <c r="C118" s="1069"/>
      <c r="D118" s="1069"/>
      <c r="E118" s="1070">
        <f t="shared" si="7"/>
        <v>0</v>
      </c>
    </row>
    <row r="119" spans="1:5" ht="14.25">
      <c r="A119" s="1068" t="s">
        <v>1047</v>
      </c>
      <c r="B119" s="1069"/>
      <c r="C119" s="1069"/>
      <c r="D119" s="1069"/>
      <c r="E119" s="1070">
        <f t="shared" si="7"/>
        <v>0</v>
      </c>
    </row>
    <row r="120" spans="1:5" ht="14.25">
      <c r="A120" s="1081" t="s">
        <v>1051</v>
      </c>
      <c r="B120" s="1088"/>
      <c r="C120" s="1069"/>
      <c r="D120" s="1069"/>
      <c r="E120" s="1070">
        <f t="shared" si="7"/>
        <v>0</v>
      </c>
    </row>
    <row r="121" spans="1:5" ht="14.25">
      <c r="A121" s="1081"/>
      <c r="B121" s="1069"/>
      <c r="C121" s="1069"/>
      <c r="D121" s="1069"/>
      <c r="E121" s="1070">
        <f t="shared" si="7"/>
        <v>0</v>
      </c>
    </row>
    <row r="122" spans="1:5" ht="15" thickBot="1">
      <c r="A122" s="1071"/>
      <c r="B122" s="1082"/>
      <c r="C122" s="1082"/>
      <c r="D122" s="1082"/>
      <c r="E122" s="1083">
        <f t="shared" si="7"/>
        <v>0</v>
      </c>
    </row>
    <row r="123" spans="1:5" ht="15" thickBot="1">
      <c r="A123" s="1073" t="s">
        <v>450</v>
      </c>
      <c r="B123" s="1074">
        <f>SUM(B116:B122)</f>
        <v>8441077</v>
      </c>
      <c r="C123" s="1074">
        <f>SUM(C116:C122)</f>
        <v>0</v>
      </c>
      <c r="D123" s="1074">
        <f>SUM(D116:D122)</f>
        <v>0</v>
      </c>
      <c r="E123" s="1075">
        <f>SUM(E116:E122)</f>
        <v>8441077</v>
      </c>
    </row>
    <row r="124" spans="1:5" ht="14.25">
      <c r="A124" s="1084"/>
      <c r="B124" s="1084"/>
      <c r="C124" s="1084"/>
      <c r="D124" s="1084"/>
      <c r="E124" s="1084"/>
    </row>
    <row r="125" spans="1:5" ht="14.25">
      <c r="A125" s="2034" t="s">
        <v>1175</v>
      </c>
      <c r="B125" s="2034"/>
      <c r="C125" s="2034"/>
      <c r="D125" s="2034"/>
      <c r="E125" s="2034"/>
    </row>
    <row r="126" spans="1:5" ht="15" thickBot="1">
      <c r="A126" s="1084"/>
      <c r="B126" s="1084"/>
      <c r="C126" s="1084"/>
      <c r="D126" s="1084"/>
      <c r="E126" s="1084"/>
    </row>
    <row r="127" spans="1:5" ht="15" thickBot="1">
      <c r="A127" s="2035" t="s">
        <v>1048</v>
      </c>
      <c r="B127" s="2035"/>
      <c r="C127" s="2035"/>
      <c r="D127" s="2036" t="s">
        <v>1049</v>
      </c>
      <c r="E127" s="2036"/>
    </row>
    <row r="128" spans="1:5" ht="14.25">
      <c r="A128" s="2023"/>
      <c r="B128" s="2023"/>
      <c r="C128" s="2023"/>
      <c r="D128" s="2024"/>
      <c r="E128" s="2024"/>
    </row>
    <row r="129" spans="1:5" ht="15" thickBot="1">
      <c r="A129" s="2025"/>
      <c r="B129" s="2025"/>
      <c r="C129" s="2025"/>
      <c r="D129" s="2026"/>
      <c r="E129" s="2026"/>
    </row>
    <row r="130" spans="1:5" ht="15" thickBot="1">
      <c r="A130" s="2027" t="s">
        <v>450</v>
      </c>
      <c r="B130" s="2027"/>
      <c r="C130" s="2027"/>
      <c r="D130" s="2028">
        <f>SUM(D128:E129)</f>
        <v>0</v>
      </c>
      <c r="E130" s="2028"/>
    </row>
  </sheetData>
  <sheetProtection selectLockedCells="1" selectUnlockedCells="1"/>
  <mergeCells count="52">
    <mergeCell ref="A3:E3"/>
    <mergeCell ref="A5:E5"/>
    <mergeCell ref="A6:E6"/>
    <mergeCell ref="B8:D8"/>
    <mergeCell ref="A28:E28"/>
    <mergeCell ref="A30:C30"/>
    <mergeCell ref="D30:E30"/>
    <mergeCell ref="A31:C31"/>
    <mergeCell ref="D31:E31"/>
    <mergeCell ref="A32:C32"/>
    <mergeCell ref="D32:E32"/>
    <mergeCell ref="A33:C33"/>
    <mergeCell ref="D33:E33"/>
    <mergeCell ref="A37:E37"/>
    <mergeCell ref="A39:E39"/>
    <mergeCell ref="A40:E40"/>
    <mergeCell ref="B42:D42"/>
    <mergeCell ref="A62:E62"/>
    <mergeCell ref="A64:C64"/>
    <mergeCell ref="D64:E64"/>
    <mergeCell ref="A65:C65"/>
    <mergeCell ref="D65:E65"/>
    <mergeCell ref="A66:C66"/>
    <mergeCell ref="D66:E66"/>
    <mergeCell ref="A67:C67"/>
    <mergeCell ref="D67:E67"/>
    <mergeCell ref="A71:E71"/>
    <mergeCell ref="A72:E72"/>
    <mergeCell ref="A73:E73"/>
    <mergeCell ref="B74:D74"/>
    <mergeCell ref="A94:E94"/>
    <mergeCell ref="A96:C96"/>
    <mergeCell ref="D96:E96"/>
    <mergeCell ref="A97:C97"/>
    <mergeCell ref="D97:E97"/>
    <mergeCell ref="A98:C98"/>
    <mergeCell ref="D98:E98"/>
    <mergeCell ref="A99:C99"/>
    <mergeCell ref="D99:E99"/>
    <mergeCell ref="A102:E102"/>
    <mergeCell ref="A103:E103"/>
    <mergeCell ref="A104:E104"/>
    <mergeCell ref="B105:D105"/>
    <mergeCell ref="A125:E125"/>
    <mergeCell ref="A127:C127"/>
    <mergeCell ref="D127:E127"/>
    <mergeCell ref="A128:C128"/>
    <mergeCell ref="D128:E128"/>
    <mergeCell ref="A129:C129"/>
    <mergeCell ref="D129:E129"/>
    <mergeCell ref="A130:C130"/>
    <mergeCell ref="D130:E130"/>
  </mergeCells>
  <conditionalFormatting sqref="B16:D16 E19:E26 B26:D26 D33:E34 E10:E16">
    <cfRule type="cellIs" priority="6" dxfId="0" operator="equal" stopIfTrue="1">
      <formula>0</formula>
    </cfRule>
  </conditionalFormatting>
  <conditionalFormatting sqref="B50:D50 E53:E60 B60:D60 D67:E68 E44:E50">
    <cfRule type="cellIs" priority="4" dxfId="0" operator="equal" stopIfTrue="1">
      <formula>0</formula>
    </cfRule>
  </conditionalFormatting>
  <conditionalFormatting sqref="B82:D82 E85:E92 B92:D92 D99:E99 E76:E82">
    <cfRule type="cellIs" priority="3" dxfId="0" operator="equal" stopIfTrue="1">
      <formula>0</formula>
    </cfRule>
  </conditionalFormatting>
  <conditionalFormatting sqref="B113:D113 E116:E123 B123:D123 D130:E130 E107:E113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 r:id="rId1"/>
  <rowBreaks count="3" manualBreakCount="3">
    <brk id="34" max="4" man="1"/>
    <brk id="68" max="4" man="1"/>
    <brk id="99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3"/>
  <sheetViews>
    <sheetView tabSelected="1" view="pageBreakPreview" zoomScale="130" zoomScaleSheetLayoutView="130" zoomScalePageLayoutView="0" workbookViewId="0" topLeftCell="B1">
      <selection activeCell="L13" sqref="L13"/>
    </sheetView>
  </sheetViews>
  <sheetFormatPr defaultColWidth="11.57421875" defaultRowHeight="12.75" customHeight="1"/>
  <cols>
    <col min="1" max="1" width="4.00390625" style="0" customWidth="1"/>
    <col min="2" max="2" width="3.28125" style="0" customWidth="1"/>
    <col min="3" max="3" width="46.57421875" style="0" customWidth="1"/>
    <col min="4" max="4" width="12.57421875" style="0" hidden="1" customWidth="1"/>
    <col min="5" max="9" width="18.00390625" style="52" customWidth="1"/>
  </cols>
  <sheetData>
    <row r="1" spans="1:9" ht="16.5" customHeight="1">
      <c r="A1" s="2062" t="s">
        <v>1181</v>
      </c>
      <c r="B1" s="2062"/>
      <c r="C1" s="2062"/>
      <c r="D1" s="2062"/>
      <c r="E1" s="2062"/>
      <c r="F1" s="2062"/>
      <c r="G1" s="2062"/>
      <c r="H1" s="2062"/>
      <c r="I1" s="2062"/>
    </row>
    <row r="2" spans="1:9" ht="12.75" customHeight="1">
      <c r="A2" s="2029" t="s">
        <v>1183</v>
      </c>
      <c r="B2" s="2029"/>
      <c r="C2" s="2029"/>
      <c r="D2" s="2029"/>
      <c r="E2" s="2029"/>
      <c r="F2" s="2029"/>
      <c r="G2" s="2029"/>
      <c r="H2" s="2029"/>
      <c r="I2" s="2029"/>
    </row>
    <row r="3" spans="1:9" ht="12.75" customHeight="1">
      <c r="A3" s="956"/>
      <c r="B3" s="956"/>
      <c r="C3" s="956"/>
      <c r="D3" s="956"/>
      <c r="E3" s="956"/>
      <c r="F3" s="956"/>
      <c r="G3" s="956"/>
      <c r="H3" s="956"/>
      <c r="I3" s="956"/>
    </row>
    <row r="4" spans="1:9" ht="18" customHeight="1">
      <c r="A4" s="1826" t="s">
        <v>565</v>
      </c>
      <c r="B4" s="1826"/>
      <c r="C4" s="1826"/>
      <c r="D4" s="1826"/>
      <c r="E4" s="1826"/>
      <c r="F4" s="1826"/>
      <c r="G4" s="1826"/>
      <c r="H4" s="1826"/>
      <c r="I4" s="1826"/>
    </row>
    <row r="5" spans="1:9" ht="24.75" customHeight="1">
      <c r="A5" s="2029" t="s">
        <v>566</v>
      </c>
      <c r="B5" s="2029"/>
      <c r="C5" s="2029"/>
      <c r="D5" s="2029"/>
      <c r="E5" s="2029"/>
      <c r="F5" s="2029"/>
      <c r="G5" s="2029"/>
      <c r="H5" s="2029"/>
      <c r="I5" s="2029"/>
    </row>
    <row r="6" spans="1:9" ht="24.75" customHeight="1">
      <c r="A6" s="2029"/>
      <c r="B6" s="2029"/>
      <c r="C6" s="2029"/>
      <c r="D6" s="2029"/>
      <c r="E6"/>
      <c r="F6"/>
      <c r="G6"/>
      <c r="H6"/>
      <c r="I6"/>
    </row>
    <row r="7" spans="1:9" ht="12.75" customHeight="1" thickBot="1">
      <c r="A7" s="1695"/>
      <c r="B7" s="1695"/>
      <c r="C7" s="1695"/>
      <c r="D7" s="3"/>
      <c r="E7"/>
      <c r="F7"/>
      <c r="G7"/>
      <c r="H7"/>
      <c r="I7" t="s">
        <v>214</v>
      </c>
    </row>
    <row r="8" spans="1:9" ht="39" customHeight="1">
      <c r="A8" s="2056" t="s">
        <v>156</v>
      </c>
      <c r="B8" s="2057"/>
      <c r="C8" s="2060" t="s">
        <v>157</v>
      </c>
      <c r="D8" s="2060"/>
      <c r="E8" s="597" t="s">
        <v>1078</v>
      </c>
      <c r="F8" s="597" t="s">
        <v>997</v>
      </c>
      <c r="G8" s="597" t="s">
        <v>1139</v>
      </c>
      <c r="H8" s="597" t="s">
        <v>1141</v>
      </c>
      <c r="I8" s="597" t="s">
        <v>1164</v>
      </c>
    </row>
    <row r="9" spans="1:9" ht="12.75" customHeight="1" thickBot="1">
      <c r="A9" s="2058"/>
      <c r="B9" s="2059"/>
      <c r="C9" s="2061" t="s">
        <v>158</v>
      </c>
      <c r="D9" s="2061"/>
      <c r="E9" s="598" t="s">
        <v>159</v>
      </c>
      <c r="F9" s="598" t="s">
        <v>160</v>
      </c>
      <c r="G9" s="598" t="s">
        <v>161</v>
      </c>
      <c r="H9" s="598" t="s">
        <v>462</v>
      </c>
      <c r="I9" s="598" t="s">
        <v>482</v>
      </c>
    </row>
    <row r="10" spans="1:9" s="10" customFormat="1" ht="12.75" customHeight="1">
      <c r="A10" s="492" t="s">
        <v>38</v>
      </c>
      <c r="B10" s="492" t="s">
        <v>164</v>
      </c>
      <c r="C10" s="596" t="s">
        <v>567</v>
      </c>
      <c r="D10" s="596"/>
      <c r="E10" s="464">
        <f>SUM(E11:E17)</f>
        <v>117182205</v>
      </c>
      <c r="F10" s="464">
        <f>SUM(F11:F17)</f>
        <v>129394821</v>
      </c>
      <c r="G10" s="464">
        <f>SUM(G11:G17)</f>
        <v>129394821</v>
      </c>
      <c r="H10" s="464">
        <f>SUM(H11:H17)</f>
        <v>129901469</v>
      </c>
      <c r="I10" s="464">
        <f>SUM(I11:I17)</f>
        <v>130534452</v>
      </c>
    </row>
    <row r="11" spans="1:9" ht="12.75" customHeight="1">
      <c r="A11" s="315" t="s">
        <v>40</v>
      </c>
      <c r="B11" s="315"/>
      <c r="C11" s="2049" t="s">
        <v>165</v>
      </c>
      <c r="D11" s="2049"/>
      <c r="E11" s="423">
        <f>SUM('15. Óvoda'!E9)</f>
        <v>130000</v>
      </c>
      <c r="F11" s="423">
        <f>SUM('15. Óvoda'!F9)</f>
        <v>0</v>
      </c>
      <c r="G11" s="423">
        <f>SUM('15. Óvoda'!G9)</f>
        <v>0</v>
      </c>
      <c r="H11" s="423">
        <f>SUM('15. Óvoda'!H9)</f>
        <v>0</v>
      </c>
      <c r="I11" s="423">
        <f>SUM('15. Óvoda'!I9)</f>
        <v>90000</v>
      </c>
    </row>
    <row r="12" spans="1:9" ht="12.75" customHeight="1">
      <c r="A12" s="315" t="s">
        <v>47</v>
      </c>
      <c r="B12" s="315"/>
      <c r="C12" s="2049" t="s">
        <v>78</v>
      </c>
      <c r="D12" s="2049"/>
      <c r="E12" s="423">
        <f>SUM('15. Óvoda'!E10)</f>
        <v>1869838</v>
      </c>
      <c r="F12" s="423">
        <f>SUM('15. Óvoda'!F10)</f>
        <v>1589555</v>
      </c>
      <c r="G12" s="423">
        <f>SUM('15. Óvoda'!G10)</f>
        <v>1589555</v>
      </c>
      <c r="H12" s="423">
        <f>SUM('15. Óvoda'!H10)</f>
        <v>1589605</v>
      </c>
      <c r="I12" s="423">
        <f>SUM('15. Óvoda'!I10)</f>
        <v>1881655</v>
      </c>
    </row>
    <row r="13" spans="1:9" ht="12.75" customHeight="1">
      <c r="A13" s="315" t="s">
        <v>49</v>
      </c>
      <c r="B13" s="315"/>
      <c r="C13" s="1029" t="s">
        <v>991</v>
      </c>
      <c r="D13" s="1029"/>
      <c r="E13" s="423"/>
      <c r="F13" s="423"/>
      <c r="G13" s="423"/>
      <c r="H13" s="423">
        <v>210000</v>
      </c>
      <c r="I13" s="423">
        <v>229305</v>
      </c>
    </row>
    <row r="14" spans="1:9" ht="12.75" customHeight="1">
      <c r="A14" s="315">
        <v>5</v>
      </c>
      <c r="B14" s="315"/>
      <c r="C14" s="2053" t="s">
        <v>225</v>
      </c>
      <c r="D14" s="2053"/>
      <c r="E14" s="423">
        <f>SUM('15. Óvoda'!E18)</f>
        <v>0</v>
      </c>
      <c r="F14" s="423">
        <f>SUM('15. Óvoda'!F18)</f>
        <v>0</v>
      </c>
      <c r="G14" s="423">
        <f>SUM('15. Óvoda'!G18)</f>
        <v>0</v>
      </c>
      <c r="H14" s="423">
        <f>SUM('15. Óvoda'!H18)</f>
        <v>242955</v>
      </c>
      <c r="I14" s="423">
        <f>SUM('15. Óvoda'!I18)</f>
        <v>435505</v>
      </c>
    </row>
    <row r="15" spans="1:9" ht="12.75" customHeight="1">
      <c r="A15" s="315" t="s">
        <v>53</v>
      </c>
      <c r="B15" s="315"/>
      <c r="C15" s="2044" t="s">
        <v>486</v>
      </c>
      <c r="D15" s="2045"/>
      <c r="E15" s="423">
        <f>SUM('15. Óvoda'!E21)</f>
        <v>114660023</v>
      </c>
      <c r="F15" s="423">
        <f>SUM('15. Óvoda'!F21)</f>
        <v>127566849</v>
      </c>
      <c r="G15" s="423">
        <f>SUM('15. Óvoda'!G21)</f>
        <v>127566849</v>
      </c>
      <c r="H15" s="423">
        <f>SUM('15. Óvoda'!H21)</f>
        <v>127620492</v>
      </c>
      <c r="I15" s="423">
        <f>SUM('15. Óvoda'!I21)</f>
        <v>127659570</v>
      </c>
    </row>
    <row r="16" spans="1:9" ht="12.75" customHeight="1">
      <c r="A16" s="315" t="s">
        <v>55</v>
      </c>
      <c r="B16" s="315"/>
      <c r="C16" s="2053" t="s">
        <v>235</v>
      </c>
      <c r="D16" s="2053"/>
      <c r="E16" s="423">
        <f>SUM('15. Óvoda'!E24)</f>
        <v>522344</v>
      </c>
      <c r="F16" s="423">
        <f>SUM('15. Óvoda'!F24)</f>
        <v>238417</v>
      </c>
      <c r="G16" s="423">
        <f>SUM('15. Óvoda'!G24)</f>
        <v>238417</v>
      </c>
      <c r="H16" s="423">
        <f>SUM('15. Óvoda'!H24)</f>
        <v>238417</v>
      </c>
      <c r="I16" s="423">
        <f>SUM('15. Óvoda'!I24)</f>
        <v>238417</v>
      </c>
    </row>
    <row r="17" spans="1:9" ht="12.75" customHeight="1">
      <c r="A17" s="315" t="s">
        <v>57</v>
      </c>
      <c r="B17" s="315"/>
      <c r="C17" s="2044"/>
      <c r="D17" s="2045"/>
      <c r="E17" s="423"/>
      <c r="F17" s="423"/>
      <c r="G17" s="423"/>
      <c r="H17" s="423"/>
      <c r="I17" s="423"/>
    </row>
    <row r="18" spans="1:9" s="226" customFormat="1" ht="12.75" customHeight="1">
      <c r="A18" s="420" t="s">
        <v>86</v>
      </c>
      <c r="B18" s="594" t="s">
        <v>166</v>
      </c>
      <c r="C18" s="541" t="s">
        <v>1152</v>
      </c>
      <c r="D18" s="541"/>
      <c r="E18" s="595">
        <f>SUM(E19:E21)</f>
        <v>14325698</v>
      </c>
      <c r="F18" s="595">
        <f>SUM(F19:F21)</f>
        <v>22031285</v>
      </c>
      <c r="G18" s="595">
        <f>SUM(G19:G21)</f>
        <v>22031285</v>
      </c>
      <c r="H18" s="595">
        <f>SUM(H19:H21)</f>
        <v>22206652</v>
      </c>
      <c r="I18" s="595">
        <f>SUM(I19:I21)</f>
        <v>24524479</v>
      </c>
    </row>
    <row r="19" spans="1:9" ht="12.75" customHeight="1">
      <c r="A19" s="315" t="s">
        <v>86</v>
      </c>
      <c r="B19" s="315"/>
      <c r="C19" s="2049" t="s">
        <v>568</v>
      </c>
      <c r="D19" s="2049"/>
      <c r="E19" s="423">
        <f>SUM('16. Műv. ház'!E9)</f>
        <v>617003</v>
      </c>
      <c r="F19" s="423">
        <f>SUM('16. Műv. ház'!F9)</f>
        <v>1217000</v>
      </c>
      <c r="G19" s="423">
        <f>SUM('16. Műv. ház'!G9)</f>
        <v>1217000</v>
      </c>
      <c r="H19" s="423">
        <f>SUM('16. Műv. ház'!H9)</f>
        <v>1217050</v>
      </c>
      <c r="I19" s="423">
        <f>SUM('16. Műv. ház'!I9)</f>
        <v>1217050</v>
      </c>
    </row>
    <row r="20" spans="1:9" ht="12.75" customHeight="1">
      <c r="A20" s="315" t="s">
        <v>59</v>
      </c>
      <c r="B20" s="315"/>
      <c r="C20" s="2053" t="s">
        <v>486</v>
      </c>
      <c r="D20" s="2053"/>
      <c r="E20" s="423">
        <f>SUM('16. Műv. ház'!E14)</f>
        <v>13534469</v>
      </c>
      <c r="F20" s="423">
        <f>SUM('16. Műv. ház'!F14)</f>
        <v>20492627</v>
      </c>
      <c r="G20" s="423">
        <f>SUM('16. Műv. ház'!G14)</f>
        <v>20492627</v>
      </c>
      <c r="H20" s="423">
        <f>SUM('16. Műv. ház'!H14)</f>
        <v>20667944</v>
      </c>
      <c r="I20" s="423">
        <f>SUM('16. Műv. ház'!I14)</f>
        <v>22985771</v>
      </c>
    </row>
    <row r="21" spans="1:9" ht="12.75" customHeight="1">
      <c r="A21" s="315" t="s">
        <v>61</v>
      </c>
      <c r="B21" s="315"/>
      <c r="C21" s="2053" t="s">
        <v>235</v>
      </c>
      <c r="D21" s="2053"/>
      <c r="E21" s="423">
        <f>SUM('16. Műv. ház'!E17)</f>
        <v>174226</v>
      </c>
      <c r="F21" s="423">
        <f>SUM('16. Műv. ház'!F17)</f>
        <v>321658</v>
      </c>
      <c r="G21" s="423">
        <f>SUM('16. Műv. ház'!G17)</f>
        <v>321658</v>
      </c>
      <c r="H21" s="423">
        <f>SUM('16. Műv. ház'!H17)</f>
        <v>321658</v>
      </c>
      <c r="I21" s="423">
        <f>SUM('16. Műv. ház'!I17)</f>
        <v>321658</v>
      </c>
    </row>
    <row r="22" spans="1:9" ht="12.75" customHeight="1">
      <c r="A22" s="315" t="s">
        <v>63</v>
      </c>
      <c r="B22" s="315"/>
      <c r="C22" s="2044"/>
      <c r="D22" s="2045"/>
      <c r="E22" s="423"/>
      <c r="F22" s="423"/>
      <c r="G22" s="423"/>
      <c r="H22" s="423"/>
      <c r="I22" s="423"/>
    </row>
    <row r="23" spans="1:9" s="226" customFormat="1" ht="12.75" customHeight="1">
      <c r="A23" s="420" t="s">
        <v>65</v>
      </c>
      <c r="B23" s="594" t="s">
        <v>173</v>
      </c>
      <c r="C23" s="2046" t="s">
        <v>306</v>
      </c>
      <c r="D23" s="2047"/>
      <c r="E23" s="595">
        <f>SUM(E24:E27)</f>
        <v>82951167</v>
      </c>
      <c r="F23" s="595">
        <f>SUM(F24:F27)</f>
        <v>88948144</v>
      </c>
      <c r="G23" s="595">
        <f>SUM(G24:G27)</f>
        <v>88948144</v>
      </c>
      <c r="H23" s="595">
        <f>SUM(H24:H27)</f>
        <v>96407347</v>
      </c>
      <c r="I23" s="595">
        <f>SUM(I24:I27)</f>
        <v>97866842</v>
      </c>
    </row>
    <row r="24" spans="1:9" ht="12.75" customHeight="1">
      <c r="A24" s="315" t="s">
        <v>92</v>
      </c>
      <c r="B24" s="315"/>
      <c r="C24" s="2049" t="s">
        <v>568</v>
      </c>
      <c r="D24" s="2049"/>
      <c r="E24" s="423">
        <f>SUM('17. Hivatal'!E10)</f>
        <v>1738790</v>
      </c>
      <c r="F24" s="423">
        <f>SUM('17. Hivatal'!F10)</f>
        <v>1212000</v>
      </c>
      <c r="G24" s="423">
        <f>SUM('17. Hivatal'!G10)</f>
        <v>1212000</v>
      </c>
      <c r="H24" s="423">
        <f>SUM('17. Hivatal'!H10)</f>
        <v>1212003</v>
      </c>
      <c r="I24" s="423">
        <f>SUM('17. Hivatal'!I10)</f>
        <v>1515227</v>
      </c>
    </row>
    <row r="25" spans="1:9" ht="12.75" customHeight="1">
      <c r="A25" s="315" t="s">
        <v>66</v>
      </c>
      <c r="B25" s="315"/>
      <c r="C25" s="2049" t="s">
        <v>185</v>
      </c>
      <c r="D25" s="2049"/>
      <c r="E25" s="423">
        <f>SUM('17. Hivatal'!E17)</f>
        <v>1348461</v>
      </c>
      <c r="F25" s="423">
        <f>SUM('17. Hivatal'!F17)</f>
        <v>0</v>
      </c>
      <c r="G25" s="423">
        <f>SUM('17. Hivatal'!G17)</f>
        <v>0</v>
      </c>
      <c r="H25" s="423">
        <f>SUM('17. Hivatal'!H17)</f>
        <v>0</v>
      </c>
      <c r="I25" s="423">
        <f>SUM('17. Hivatal'!I17)</f>
        <v>1156271</v>
      </c>
    </row>
    <row r="26" spans="1:9" ht="12.75" customHeight="1">
      <c r="A26" s="315" t="s">
        <v>67</v>
      </c>
      <c r="B26" s="315"/>
      <c r="C26" s="2053" t="s">
        <v>486</v>
      </c>
      <c r="D26" s="2053"/>
      <c r="E26" s="423">
        <f>SUM('17. Hivatal'!E20)</f>
        <v>79073705</v>
      </c>
      <c r="F26" s="423">
        <f>SUM('17. Hivatal'!F20)</f>
        <v>87468794</v>
      </c>
      <c r="G26" s="423">
        <f>SUM('17. Hivatal'!G20)</f>
        <v>87468794</v>
      </c>
      <c r="H26" s="423">
        <f>SUM('17. Hivatal'!H20)</f>
        <v>94927994</v>
      </c>
      <c r="I26" s="423">
        <f>SUM('17. Hivatal'!I20)</f>
        <v>94927994</v>
      </c>
    </row>
    <row r="27" spans="1:9" ht="12.75" customHeight="1">
      <c r="A27" s="315" t="s">
        <v>68</v>
      </c>
      <c r="B27" s="315"/>
      <c r="C27" s="2053" t="s">
        <v>235</v>
      </c>
      <c r="D27" s="2053"/>
      <c r="E27" s="423">
        <f>SUM('17. Hivatal'!E19)</f>
        <v>790211</v>
      </c>
      <c r="F27" s="423">
        <f>SUM('17. Hivatal'!F19)</f>
        <v>267350</v>
      </c>
      <c r="G27" s="423">
        <f>SUM('17. Hivatal'!G19)</f>
        <v>267350</v>
      </c>
      <c r="H27" s="423">
        <f>SUM('17. Hivatal'!H19)</f>
        <v>267350</v>
      </c>
      <c r="I27" s="423">
        <f>SUM('17. Hivatal'!I19)</f>
        <v>267350</v>
      </c>
    </row>
    <row r="28" spans="1:9" ht="12.75" customHeight="1">
      <c r="A28" s="315" t="s">
        <v>70</v>
      </c>
      <c r="B28" s="315"/>
      <c r="C28" s="2044"/>
      <c r="D28" s="2045"/>
      <c r="E28" s="423"/>
      <c r="F28" s="423"/>
      <c r="G28" s="423"/>
      <c r="H28" s="423"/>
      <c r="I28" s="423"/>
    </row>
    <row r="29" spans="1:9" s="10" customFormat="1" ht="12.75" customHeight="1">
      <c r="A29" s="420" t="s">
        <v>97</v>
      </c>
      <c r="B29" s="420" t="s">
        <v>182</v>
      </c>
      <c r="C29" s="1797" t="s">
        <v>985</v>
      </c>
      <c r="D29" s="1798"/>
      <c r="E29" s="438">
        <f>SUM(E30:E33)</f>
        <v>92965316</v>
      </c>
      <c r="F29" s="438">
        <f>SUM(F30:F33)</f>
        <v>97394750</v>
      </c>
      <c r="G29" s="438">
        <f>SUM(G30:G33)</f>
        <v>97394750</v>
      </c>
      <c r="H29" s="438">
        <f>SUM(H30:H33)</f>
        <v>94797812</v>
      </c>
      <c r="I29" s="438">
        <f>SUM(I30:I33)</f>
        <v>94842286</v>
      </c>
    </row>
    <row r="30" spans="1:9" ht="12.75" customHeight="1">
      <c r="A30" s="315" t="s">
        <v>99</v>
      </c>
      <c r="B30" s="315"/>
      <c r="C30" s="884" t="s">
        <v>165</v>
      </c>
      <c r="D30" s="885"/>
      <c r="E30" s="423">
        <f>SUM('18. VÜKI'!E10)</f>
        <v>984913</v>
      </c>
      <c r="F30" s="423">
        <f>SUM('18. VÜKI'!F10)</f>
        <v>0</v>
      </c>
      <c r="G30" s="423">
        <f>SUM('18. VÜKI'!G10)</f>
        <v>0</v>
      </c>
      <c r="H30" s="423">
        <f>SUM('18. VÜKI'!H10)</f>
        <v>0</v>
      </c>
      <c r="I30" s="423">
        <f>SUM('18. VÜKI'!I10)</f>
        <v>0</v>
      </c>
    </row>
    <row r="31" spans="1:9" ht="12.75" customHeight="1">
      <c r="A31" s="315" t="s">
        <v>101</v>
      </c>
      <c r="B31" s="315"/>
      <c r="C31" s="2049" t="s">
        <v>568</v>
      </c>
      <c r="D31" s="2049"/>
      <c r="E31" s="423">
        <f>SUM('18. VÜKI'!E12)</f>
        <v>23409857</v>
      </c>
      <c r="F31" s="423">
        <f>SUM('18. VÜKI'!F12)</f>
        <v>18964000</v>
      </c>
      <c r="G31" s="423">
        <f>SUM('18. VÜKI'!G12)</f>
        <v>18964000</v>
      </c>
      <c r="H31" s="423">
        <f>SUM('18. VÜKI'!H12)</f>
        <v>23464100</v>
      </c>
      <c r="I31" s="423">
        <f>SUM('18. VÜKI'!I12)</f>
        <v>23475234</v>
      </c>
    </row>
    <row r="32" spans="1:9" ht="12.75" customHeight="1">
      <c r="A32" s="315" t="s">
        <v>103</v>
      </c>
      <c r="B32" s="315"/>
      <c r="C32" s="2051" t="s">
        <v>486</v>
      </c>
      <c r="D32" s="2052"/>
      <c r="E32" s="423">
        <v>67540538</v>
      </c>
      <c r="F32" s="423">
        <f>SUM('18. VÜKI'!F22)</f>
        <v>77083353</v>
      </c>
      <c r="G32" s="423">
        <f>SUM('18. VÜKI'!G22)</f>
        <v>77083353</v>
      </c>
      <c r="H32" s="423">
        <f>SUM('18. VÜKI'!H22)</f>
        <v>69986315</v>
      </c>
      <c r="I32" s="423">
        <f>SUM('18. VÜKI'!I22)</f>
        <v>70019655</v>
      </c>
    </row>
    <row r="33" spans="1:9" ht="12.75" customHeight="1">
      <c r="A33" s="315" t="s">
        <v>105</v>
      </c>
      <c r="B33" s="315"/>
      <c r="C33" s="2044" t="s">
        <v>235</v>
      </c>
      <c r="D33" s="2045"/>
      <c r="E33" s="423">
        <f>SUM('18. VÜKI'!E21)</f>
        <v>1030008</v>
      </c>
      <c r="F33" s="423">
        <f>SUM('18. VÜKI'!F21)</f>
        <v>1347397</v>
      </c>
      <c r="G33" s="423">
        <f>SUM('18. VÜKI'!G21)</f>
        <v>1347397</v>
      </c>
      <c r="H33" s="423">
        <f>SUM('18. VÜKI'!H21)</f>
        <v>1347397</v>
      </c>
      <c r="I33" s="423">
        <f>SUM('18. VÜKI'!I21)</f>
        <v>1347397</v>
      </c>
    </row>
    <row r="34" spans="1:9" ht="12.75" customHeight="1">
      <c r="A34" s="315" t="s">
        <v>107</v>
      </c>
      <c r="B34" s="315"/>
      <c r="C34" s="2044"/>
      <c r="D34" s="2045"/>
      <c r="E34" s="423"/>
      <c r="F34" s="423"/>
      <c r="G34" s="423"/>
      <c r="H34" s="423"/>
      <c r="I34" s="423"/>
    </row>
    <row r="35" spans="1:9" ht="12.75" customHeight="1">
      <c r="A35" s="420" t="s">
        <v>109</v>
      </c>
      <c r="B35" s="420" t="s">
        <v>183</v>
      </c>
      <c r="C35" s="1797" t="s">
        <v>986</v>
      </c>
      <c r="D35" s="1798"/>
      <c r="E35" s="438">
        <f>SUM(E36:E45)</f>
        <v>1184701944</v>
      </c>
      <c r="F35" s="438">
        <f>SUM(F36:F45)</f>
        <v>1074717213</v>
      </c>
      <c r="G35" s="438">
        <f>SUM(G36:G45)</f>
        <v>1074717213</v>
      </c>
      <c r="H35" s="438">
        <f>SUM(H36:H45)</f>
        <v>1088612777</v>
      </c>
      <c r="I35" s="438">
        <f>SUM(I36:I45)</f>
        <v>1108923774</v>
      </c>
    </row>
    <row r="36" spans="1:9" ht="29.25" customHeight="1">
      <c r="A36" s="315" t="s">
        <v>111</v>
      </c>
      <c r="B36" s="315"/>
      <c r="C36" s="2050" t="s">
        <v>165</v>
      </c>
      <c r="D36" s="2050"/>
      <c r="E36" s="423">
        <f>SUM('19 önkormányzat'!E21)</f>
        <v>210987321</v>
      </c>
      <c r="F36" s="423">
        <f>SUM('19 önkormányzat'!F21)</f>
        <v>204676466</v>
      </c>
      <c r="G36" s="423">
        <f>SUM('19 önkormányzat'!G21)</f>
        <v>204676466</v>
      </c>
      <c r="H36" s="423">
        <f>SUM('19 önkormányzat'!H21)</f>
        <v>218544423</v>
      </c>
      <c r="I36" s="423">
        <f>SUM('19 önkormányzat'!I21)</f>
        <v>218544423</v>
      </c>
    </row>
    <row r="37" spans="1:9" ht="12.75" customHeight="1">
      <c r="A37" s="315" t="s">
        <v>113</v>
      </c>
      <c r="B37" s="315"/>
      <c r="C37" s="2049" t="s">
        <v>167</v>
      </c>
      <c r="D37" s="2049"/>
      <c r="E37" s="423">
        <f>SUM('19 önkormányzat'!E22)</f>
        <v>14182798</v>
      </c>
      <c r="F37" s="423">
        <f>SUM('19 önkormányzat'!F22)</f>
        <v>0</v>
      </c>
      <c r="G37" s="423">
        <f>SUM('19 önkormányzat'!G22)</f>
        <v>0</v>
      </c>
      <c r="H37" s="423">
        <f>SUM('19 önkormányzat'!H22)</f>
        <v>0</v>
      </c>
      <c r="I37" s="423">
        <f>SUM('19 önkormányzat'!I22)</f>
        <v>0</v>
      </c>
    </row>
    <row r="38" spans="1:9" ht="12.75" customHeight="1">
      <c r="A38" s="315" t="s">
        <v>115</v>
      </c>
      <c r="B38" s="315"/>
      <c r="C38" s="2049" t="s">
        <v>174</v>
      </c>
      <c r="D38" s="2049"/>
      <c r="E38" s="423">
        <f>SUM('19 önkormányzat'!E31)</f>
        <v>186676160</v>
      </c>
      <c r="F38" s="423">
        <f>SUM('19 önkormányzat'!F31)</f>
        <v>168451387</v>
      </c>
      <c r="G38" s="423">
        <f>SUM('19 önkormányzat'!G31)</f>
        <v>168451387</v>
      </c>
      <c r="H38" s="423">
        <f>SUM('19 önkormányzat'!H31)</f>
        <v>168451387</v>
      </c>
      <c r="I38" s="423">
        <f>SUM('19 önkormányzat'!I31)</f>
        <v>168451387</v>
      </c>
    </row>
    <row r="39" spans="1:9" ht="30" customHeight="1">
      <c r="A39" s="315" t="s">
        <v>117</v>
      </c>
      <c r="B39" s="315"/>
      <c r="C39" s="2049" t="s">
        <v>78</v>
      </c>
      <c r="D39" s="2049"/>
      <c r="E39" s="423">
        <f>SUM('19 önkormányzat'!E40)</f>
        <v>16757229</v>
      </c>
      <c r="F39" s="423">
        <f>SUM('19 önkormányzat'!F40)</f>
        <v>15745228</v>
      </c>
      <c r="G39" s="423">
        <f>SUM('19 önkormányzat'!G40)</f>
        <v>18962459</v>
      </c>
      <c r="H39" s="423">
        <f>SUM('19 önkormányzat'!H40)</f>
        <v>18987702</v>
      </c>
      <c r="I39" s="423">
        <f>SUM('19 önkormányzat'!I40)</f>
        <v>25298699</v>
      </c>
    </row>
    <row r="40" spans="1:9" ht="42" customHeight="1">
      <c r="A40" s="315" t="s">
        <v>118</v>
      </c>
      <c r="B40" s="315"/>
      <c r="C40" s="2049" t="s">
        <v>13</v>
      </c>
      <c r="D40" s="2049"/>
      <c r="E40" s="423">
        <f>SUM('19 önkormányzat'!E41)</f>
        <v>15566246</v>
      </c>
      <c r="F40" s="423">
        <f>SUM('19 önkormányzat'!F41)</f>
        <v>24150568</v>
      </c>
      <c r="G40" s="423">
        <f>SUM('19 önkormányzat'!G41)</f>
        <v>24150568</v>
      </c>
      <c r="H40" s="423">
        <f>SUM('19 önkormányzat'!H41)</f>
        <v>24152932</v>
      </c>
      <c r="I40" s="423">
        <f>SUM('19 önkormányzat'!I41)</f>
        <v>38152932</v>
      </c>
    </row>
    <row r="41" spans="1:9" ht="12.75" customHeight="1">
      <c r="A41" s="315" t="s">
        <v>120</v>
      </c>
      <c r="B41" s="315"/>
      <c r="C41" s="2049" t="s">
        <v>185</v>
      </c>
      <c r="D41" s="2049"/>
      <c r="E41" s="423">
        <f>SUM('19 önkormányzat'!E46)</f>
        <v>815220</v>
      </c>
      <c r="F41" s="423">
        <f>SUM('19 önkormányzat'!F46)</f>
        <v>78000</v>
      </c>
      <c r="G41" s="423">
        <f>SUM('19 önkormányzat'!G46)</f>
        <v>78000</v>
      </c>
      <c r="H41" s="423">
        <f>SUM('19 önkormányzat'!H46)</f>
        <v>78000</v>
      </c>
      <c r="I41" s="423">
        <f>SUM('19 önkormányzat'!I46)</f>
        <v>78000</v>
      </c>
    </row>
    <row r="42" spans="1:9" ht="12.75" customHeight="1">
      <c r="A42" s="315" t="s">
        <v>122</v>
      </c>
      <c r="B42" s="315"/>
      <c r="C42" s="2049" t="s">
        <v>187</v>
      </c>
      <c r="D42" s="2049"/>
      <c r="E42" s="423">
        <f>SUM('19 önkormányzat'!E49)</f>
        <v>3200000</v>
      </c>
      <c r="F42" s="423">
        <f>SUM('19 önkormányzat'!F49)</f>
        <v>0</v>
      </c>
      <c r="G42" s="423">
        <f>SUM('19 önkormányzat'!G49)</f>
        <v>0</v>
      </c>
      <c r="H42" s="423">
        <f>SUM('19 önkormányzat'!H49)</f>
        <v>0</v>
      </c>
      <c r="I42" s="423">
        <f>SUM('19 önkormányzat'!I49)</f>
        <v>0</v>
      </c>
    </row>
    <row r="43" spans="1:9" ht="12.75" customHeight="1">
      <c r="A43" s="315" t="s">
        <v>124</v>
      </c>
      <c r="B43" s="315"/>
      <c r="C43" s="2049" t="s">
        <v>652</v>
      </c>
      <c r="D43" s="2049"/>
      <c r="E43" s="423">
        <f>SUM('19 önkormányzat'!E51)</f>
        <v>0</v>
      </c>
      <c r="F43" s="423">
        <f>SUM('19 önkormányzat'!F51)</f>
        <v>0</v>
      </c>
      <c r="G43" s="423">
        <f>SUM('19 önkormányzat'!G51)</f>
        <v>0</v>
      </c>
      <c r="H43" s="423">
        <f>SUM('19 önkormányzat'!H51)</f>
        <v>0</v>
      </c>
      <c r="I43" s="423">
        <f>SUM('19 önkormányzat'!I51)</f>
        <v>0</v>
      </c>
    </row>
    <row r="44" spans="1:9" ht="12.75" customHeight="1">
      <c r="A44" s="315" t="s">
        <v>126</v>
      </c>
      <c r="B44" s="315"/>
      <c r="C44" s="2049" t="s">
        <v>220</v>
      </c>
      <c r="D44" s="2049"/>
      <c r="E44" s="423">
        <f>SUM('19 önkormányzat'!E52)</f>
        <v>727099046</v>
      </c>
      <c r="F44" s="423">
        <f>SUM('19 önkormányzat'!F52)</f>
        <v>654580501</v>
      </c>
      <c r="G44" s="423">
        <f>SUM('19 önkormányzat'!G52)</f>
        <v>651363270</v>
      </c>
      <c r="H44" s="423">
        <f>SUM('19 önkormányzat'!H52)</f>
        <v>651363270</v>
      </c>
      <c r="I44" s="423">
        <f>SUM('19 önkormányzat'!I52)</f>
        <v>651363270</v>
      </c>
    </row>
    <row r="45" spans="1:9" ht="12.75" customHeight="1">
      <c r="A45" s="315" t="s">
        <v>128</v>
      </c>
      <c r="B45" s="315"/>
      <c r="C45" s="2049" t="s">
        <v>223</v>
      </c>
      <c r="D45" s="2049"/>
      <c r="E45" s="423">
        <f>SUM('19 önkormányzat'!E55)</f>
        <v>9417924</v>
      </c>
      <c r="F45" s="423">
        <f>SUM('19 önkormányzat'!F55)</f>
        <v>7035063</v>
      </c>
      <c r="G45" s="423">
        <f>SUM('19 önkormányzat'!G55)</f>
        <v>7035063</v>
      </c>
      <c r="H45" s="423">
        <f>SUM('19 önkormányzat'!H55)</f>
        <v>7035063</v>
      </c>
      <c r="I45" s="423">
        <f>SUM('19 önkormányzat'!I55)</f>
        <v>7035063</v>
      </c>
    </row>
    <row r="46" spans="1:9" ht="12.75" customHeight="1" thickBot="1">
      <c r="A46" s="497" t="s">
        <v>130</v>
      </c>
      <c r="B46" s="497"/>
      <c r="C46" s="2048" t="s">
        <v>486</v>
      </c>
      <c r="D46" s="2048"/>
      <c r="E46" s="599">
        <f>SUM(-E15-E20)-E26-E32</f>
        <v>-274808735</v>
      </c>
      <c r="F46" s="599">
        <f>SUM(-F15-F20)-F26-F32</f>
        <v>-312611623</v>
      </c>
      <c r="G46" s="599">
        <f>SUM(-G15-G20)-G26-G32</f>
        <v>-312611623</v>
      </c>
      <c r="H46" s="599">
        <f>SUM(-H15-H20)-H26-H32</f>
        <v>-313202745</v>
      </c>
      <c r="I46" s="599">
        <f>SUM(-I15-I20)-I26-I32</f>
        <v>-315592990</v>
      </c>
    </row>
    <row r="47" spans="1:9" s="10" customFormat="1" ht="12.75" customHeight="1" thickBot="1">
      <c r="A47" s="600" t="s">
        <v>131</v>
      </c>
      <c r="B47" s="601"/>
      <c r="C47" s="2042" t="s">
        <v>116</v>
      </c>
      <c r="D47" s="2043"/>
      <c r="E47" s="602">
        <f>SUM(E10+E18+E23+E29+E35)+E46</f>
        <v>1217317595</v>
      </c>
      <c r="F47" s="602">
        <f>SUM(F10+F18+F23+F29+F35)+F46</f>
        <v>1099874590</v>
      </c>
      <c r="G47" s="602">
        <f>SUM(G10+G18+G23+G29+G35)+G46</f>
        <v>1099874590</v>
      </c>
      <c r="H47" s="602">
        <f>SUM(H10+H18+H23+H29+H35)+H46</f>
        <v>1118723312</v>
      </c>
      <c r="I47" s="602">
        <f>SUM(I10+I18+I23+I29+I35)+I46</f>
        <v>1141098843</v>
      </c>
    </row>
    <row r="48" spans="1:9" ht="12.75" customHeight="1" thickBot="1">
      <c r="A48" s="2003"/>
      <c r="B48" s="2041"/>
      <c r="C48" s="2041"/>
      <c r="D48" s="2041"/>
      <c r="E48"/>
      <c r="F48"/>
      <c r="G48"/>
      <c r="H48"/>
      <c r="I48"/>
    </row>
    <row r="49" spans="1:9" ht="33.75" customHeight="1" thickBot="1">
      <c r="A49" s="2054" t="s">
        <v>156</v>
      </c>
      <c r="B49" s="2054"/>
      <c r="C49" s="593" t="s">
        <v>569</v>
      </c>
      <c r="D49" s="593" t="s">
        <v>500</v>
      </c>
      <c r="E49" s="597" t="s">
        <v>965</v>
      </c>
      <c r="F49" s="597" t="s">
        <v>997</v>
      </c>
      <c r="G49" s="597" t="s">
        <v>1139</v>
      </c>
      <c r="H49" s="597" t="s">
        <v>1141</v>
      </c>
      <c r="I49" s="597" t="s">
        <v>1164</v>
      </c>
    </row>
    <row r="50" spans="1:9" ht="12.75" customHeight="1" thickBot="1" thickTop="1">
      <c r="A50" s="2055"/>
      <c r="B50" s="2055"/>
      <c r="C50" s="281" t="s">
        <v>158</v>
      </c>
      <c r="D50" s="281" t="s">
        <v>159</v>
      </c>
      <c r="E50" s="282" t="s">
        <v>159</v>
      </c>
      <c r="F50" s="282" t="s">
        <v>160</v>
      </c>
      <c r="G50" s="282" t="s">
        <v>462</v>
      </c>
      <c r="H50" s="282" t="s">
        <v>482</v>
      </c>
      <c r="I50" s="282" t="s">
        <v>715</v>
      </c>
    </row>
    <row r="51" spans="1:9" ht="24.75" customHeight="1" thickTop="1">
      <c r="A51" s="136" t="s">
        <v>38</v>
      </c>
      <c r="B51" s="184" t="s">
        <v>164</v>
      </c>
      <c r="C51" s="92" t="s">
        <v>239</v>
      </c>
      <c r="D51" s="185">
        <f>'15. Óvoda'!D67</f>
        <v>30</v>
      </c>
      <c r="E51" s="247">
        <f>SUM(E52:E55)</f>
        <v>117182205</v>
      </c>
      <c r="F51" s="247">
        <f>SUM(F52:F55)</f>
        <v>129394821</v>
      </c>
      <c r="G51" s="247">
        <f>SUM(G52:G55)</f>
        <v>129394821</v>
      </c>
      <c r="H51" s="247">
        <f>SUM(H52:H55)</f>
        <v>129901469</v>
      </c>
      <c r="I51" s="247">
        <f>SUM(I52:I55)</f>
        <v>130534452</v>
      </c>
    </row>
    <row r="52" spans="1:9" ht="12.75" customHeight="1">
      <c r="A52" s="140" t="s">
        <v>40</v>
      </c>
      <c r="B52" s="141"/>
      <c r="C52" s="17" t="str">
        <f>'15. Óvoda'!C68</f>
        <v>Ebből: Személyi juttatás</v>
      </c>
      <c r="D52" s="17"/>
      <c r="E52" s="84">
        <f>SUM('15. Óvoda'!E68)</f>
        <v>71870371</v>
      </c>
      <c r="F52" s="84">
        <f>SUM('15. Óvoda'!F68)</f>
        <v>84763396</v>
      </c>
      <c r="G52" s="84">
        <f>SUM('15. Óvoda'!G68)</f>
        <v>84763396</v>
      </c>
      <c r="H52" s="84">
        <f>SUM('15. Óvoda'!H68)</f>
        <v>84808285</v>
      </c>
      <c r="I52" s="84">
        <f>SUM('15. Óvoda'!I68)</f>
        <v>84840986</v>
      </c>
    </row>
    <row r="53" spans="1:9" ht="12.75" customHeight="1">
      <c r="A53" s="140" t="s">
        <v>47</v>
      </c>
      <c r="B53" s="141"/>
      <c r="C53" s="17" t="str">
        <f>'15. Óvoda'!C69</f>
        <v>          Járulékok</v>
      </c>
      <c r="D53" s="17"/>
      <c r="E53" s="84">
        <f>SUM('15. Óvoda'!E69)</f>
        <v>20607189</v>
      </c>
      <c r="F53" s="84">
        <f>SUM('15. Óvoda'!F69)</f>
        <v>17215425</v>
      </c>
      <c r="G53" s="84">
        <f>SUM('15. Óvoda'!G69)</f>
        <v>17215425</v>
      </c>
      <c r="H53" s="84">
        <f>SUM('15. Óvoda'!H69)</f>
        <v>17224179</v>
      </c>
      <c r="I53" s="84">
        <f>SUM('15. Óvoda'!I69)</f>
        <v>17230556</v>
      </c>
    </row>
    <row r="54" spans="1:9" ht="12.75" customHeight="1">
      <c r="A54" s="140" t="s">
        <v>49</v>
      </c>
      <c r="B54" s="141"/>
      <c r="C54" s="17" t="str">
        <f>'15. Óvoda'!C70</f>
        <v>          Dologi kiadás</v>
      </c>
      <c r="D54" s="9"/>
      <c r="E54" s="84">
        <f>SUM('15. Óvoda'!E70)</f>
        <v>23887384</v>
      </c>
      <c r="F54" s="84">
        <f>SUM('15. Óvoda'!F70)</f>
        <v>26916000</v>
      </c>
      <c r="G54" s="84">
        <f>SUM('15. Óvoda'!G70)</f>
        <v>26916000</v>
      </c>
      <c r="H54" s="84">
        <f>SUM('15. Óvoda'!H70)</f>
        <v>27126050</v>
      </c>
      <c r="I54" s="84">
        <f>SUM('15. Óvoda'!I70)</f>
        <v>27527405</v>
      </c>
    </row>
    <row r="55" spans="1:9" ht="12.75" customHeight="1">
      <c r="A55" s="140" t="s">
        <v>51</v>
      </c>
      <c r="B55" s="141"/>
      <c r="C55" s="17" t="s">
        <v>268</v>
      </c>
      <c r="D55" s="17"/>
      <c r="E55" s="84">
        <f>SUM('15. Óvoda'!E71)</f>
        <v>817261</v>
      </c>
      <c r="F55" s="84">
        <f>SUM('15. Óvoda'!F71)</f>
        <v>500000</v>
      </c>
      <c r="G55" s="84">
        <f>SUM('15. Óvoda'!G71)</f>
        <v>500000</v>
      </c>
      <c r="H55" s="84">
        <f>SUM('15. Óvoda'!H71)</f>
        <v>742955</v>
      </c>
      <c r="I55" s="84">
        <f>SUM('15. Óvoda'!I71)</f>
        <v>935505</v>
      </c>
    </row>
    <row r="56" spans="1:9" ht="12.75" customHeight="1">
      <c r="A56" s="136" t="s">
        <v>53</v>
      </c>
      <c r="B56" s="138" t="s">
        <v>166</v>
      </c>
      <c r="C56" s="280" t="s">
        <v>1152</v>
      </c>
      <c r="D56" s="17">
        <f>'16. Műv. ház'!D38</f>
        <v>5</v>
      </c>
      <c r="E56" s="66">
        <f>SUM(E57:E60)</f>
        <v>14325698</v>
      </c>
      <c r="F56" s="66">
        <f>SUM(F57:F60)</f>
        <v>22031285</v>
      </c>
      <c r="G56" s="66">
        <f>SUM(G57:G60)</f>
        <v>22031285</v>
      </c>
      <c r="H56" s="66">
        <f>SUM(H57:H60)</f>
        <v>22206652</v>
      </c>
      <c r="I56" s="66">
        <f>SUM(I57:I60)</f>
        <v>24524479</v>
      </c>
    </row>
    <row r="57" spans="1:9" ht="12.75" customHeight="1">
      <c r="A57" s="140" t="s">
        <v>55</v>
      </c>
      <c r="B57" s="138"/>
      <c r="C57" s="128" t="str">
        <f>'16. Műv. ház'!C39</f>
        <v>Ebből: Személyi juttatás</v>
      </c>
      <c r="D57" s="128"/>
      <c r="E57" s="84">
        <f>SUM('16. Műv. ház'!E39)</f>
        <v>7693140</v>
      </c>
      <c r="F57" s="84">
        <f>SUM('16. Műv. ház'!F39)</f>
        <v>11352064</v>
      </c>
      <c r="G57" s="84">
        <f>SUM('16. Műv. ház'!G39)</f>
        <v>11352064</v>
      </c>
      <c r="H57" s="84">
        <f>SUM('16. Műv. ház'!H39)</f>
        <v>11498773</v>
      </c>
      <c r="I57" s="84">
        <f>SUM('16. Műv. ház'!I39)</f>
        <v>11597373</v>
      </c>
    </row>
    <row r="58" spans="1:9" ht="12.75" customHeight="1">
      <c r="A58" s="140" t="s">
        <v>57</v>
      </c>
      <c r="B58" s="138"/>
      <c r="C58" s="128" t="str">
        <f>'16. Műv. ház'!C40</f>
        <v>          Járulékok</v>
      </c>
      <c r="D58" s="17"/>
      <c r="E58" s="84">
        <f>SUM('16. Műv. ház'!E40)</f>
        <v>1553272</v>
      </c>
      <c r="F58" s="84">
        <f>SUM('16. Műv. ház'!F40)</f>
        <v>2290286</v>
      </c>
      <c r="G58" s="84">
        <f>SUM('16. Műv. ház'!G40)</f>
        <v>2290286</v>
      </c>
      <c r="H58" s="84">
        <f>SUM('16. Műv. ház'!H40)</f>
        <v>2318894</v>
      </c>
      <c r="I58" s="84">
        <f>SUM('16. Műv. ház'!I40)</f>
        <v>2338121</v>
      </c>
    </row>
    <row r="59" spans="1:9" ht="12.75" customHeight="1">
      <c r="A59" s="140" t="s">
        <v>86</v>
      </c>
      <c r="B59" s="138"/>
      <c r="C59" s="128" t="str">
        <f>'16. Műv. ház'!C41</f>
        <v>          Dologi kiadás</v>
      </c>
      <c r="D59" s="9"/>
      <c r="E59" s="84">
        <f>SUM('16. Műv. ház'!E41)</f>
        <v>5015296</v>
      </c>
      <c r="F59" s="84">
        <f>SUM('16. Műv. ház'!F41)</f>
        <v>7888935</v>
      </c>
      <c r="G59" s="84">
        <f>SUM('16. Műv. ház'!G41)</f>
        <v>7888935</v>
      </c>
      <c r="H59" s="84">
        <f>SUM('16. Műv. ház'!H41)</f>
        <v>7888985</v>
      </c>
      <c r="I59" s="84">
        <f>SUM('16. Műv. ház'!I41)</f>
        <v>10088985</v>
      </c>
    </row>
    <row r="60" spans="1:9" ht="12.75" customHeight="1">
      <c r="A60" s="140" t="s">
        <v>59</v>
      </c>
      <c r="B60" s="138"/>
      <c r="C60" s="128" t="s">
        <v>268</v>
      </c>
      <c r="D60" s="9"/>
      <c r="E60" s="84">
        <f>SUM('16. Műv. ház'!E42)</f>
        <v>63990</v>
      </c>
      <c r="F60" s="84">
        <f>SUM('16. Műv. ház'!F42)</f>
        <v>500000</v>
      </c>
      <c r="G60" s="84">
        <f>SUM('16. Műv. ház'!G42)</f>
        <v>500000</v>
      </c>
      <c r="H60" s="84">
        <f>SUM('16. Műv. ház'!H42)</f>
        <v>500000</v>
      </c>
      <c r="I60" s="84">
        <f>SUM('16. Műv. ház'!I42)</f>
        <v>500000</v>
      </c>
    </row>
    <row r="61" spans="1:9" ht="12.75" customHeight="1">
      <c r="A61" s="136" t="s">
        <v>61</v>
      </c>
      <c r="B61" s="138" t="s">
        <v>173</v>
      </c>
      <c r="C61" s="9" t="s">
        <v>306</v>
      </c>
      <c r="D61" s="9">
        <f>'17. Hivatal'!D46</f>
        <v>14</v>
      </c>
      <c r="E61" s="66">
        <f>SUM(E62:E65)</f>
        <v>82951167</v>
      </c>
      <c r="F61" s="66">
        <f>SUM(F62:F65)</f>
        <v>88948144</v>
      </c>
      <c r="G61" s="66">
        <f>SUM(G62:G65)</f>
        <v>88948144</v>
      </c>
      <c r="H61" s="66">
        <f>SUM(H62:H65)</f>
        <v>96407347</v>
      </c>
      <c r="I61" s="66">
        <f>SUM(I62:I65)</f>
        <v>97866842</v>
      </c>
    </row>
    <row r="62" spans="1:9" ht="12.75" customHeight="1">
      <c r="A62" s="140" t="s">
        <v>63</v>
      </c>
      <c r="B62" s="138"/>
      <c r="C62" s="17" t="str">
        <f>'17. Hivatal'!C47</f>
        <v>Ebből: Személyi juttatás</v>
      </c>
      <c r="D62" s="17"/>
      <c r="E62" s="84">
        <f>SUM('17. Hivatal'!E47)</f>
        <v>60086306</v>
      </c>
      <c r="F62" s="84">
        <f>SUM('17. Hivatal'!F47)</f>
        <v>65148670</v>
      </c>
      <c r="G62" s="84">
        <f>SUM('17. Hivatal'!G47)</f>
        <v>65148670</v>
      </c>
      <c r="H62" s="84">
        <f>SUM('17. Hivatal'!H47)</f>
        <v>71390678</v>
      </c>
      <c r="I62" s="84">
        <f>SUM('17. Hivatal'!I47)</f>
        <v>72189465</v>
      </c>
    </row>
    <row r="63" spans="1:9" ht="12.75" customHeight="1">
      <c r="A63" s="140" t="s">
        <v>65</v>
      </c>
      <c r="B63" s="138"/>
      <c r="C63" s="17" t="str">
        <f>'17. Hivatal'!C48</f>
        <v>          Járulékok</v>
      </c>
      <c r="D63" s="9"/>
      <c r="E63" s="84">
        <f>SUM('17. Hivatal'!E48)</f>
        <v>11807570</v>
      </c>
      <c r="F63" s="84">
        <f>SUM('17. Hivatal'!F48)</f>
        <v>12590474</v>
      </c>
      <c r="G63" s="84">
        <f>SUM('17. Hivatal'!G48)</f>
        <v>12590474</v>
      </c>
      <c r="H63" s="84">
        <f>SUM('17. Hivatal'!H48)</f>
        <v>13807666</v>
      </c>
      <c r="I63" s="84">
        <f>SUM('17. Hivatal'!I48)</f>
        <v>14000211</v>
      </c>
    </row>
    <row r="64" spans="1:9" ht="12.75" customHeight="1">
      <c r="A64" s="140" t="s">
        <v>92</v>
      </c>
      <c r="B64" s="138"/>
      <c r="C64" s="17" t="str">
        <f>'17. Hivatal'!C49</f>
        <v>          Dologi kiadás</v>
      </c>
      <c r="D64" s="17"/>
      <c r="E64" s="84">
        <f>SUM('17. Hivatal'!E49)</f>
        <v>10845813</v>
      </c>
      <c r="F64" s="84">
        <f>SUM('17. Hivatal'!F49)</f>
        <v>10709000</v>
      </c>
      <c r="G64" s="84">
        <f>SUM('17. Hivatal'!G49)</f>
        <v>10709000</v>
      </c>
      <c r="H64" s="84">
        <f>SUM('17. Hivatal'!H49)</f>
        <v>10709003</v>
      </c>
      <c r="I64" s="84">
        <f>SUM('17. Hivatal'!I49)</f>
        <v>10952376</v>
      </c>
    </row>
    <row r="65" spans="1:9" ht="12.75" customHeight="1">
      <c r="A65" s="140" t="s">
        <v>66</v>
      </c>
      <c r="B65" s="138"/>
      <c r="C65" s="17" t="s">
        <v>268</v>
      </c>
      <c r="D65" s="17"/>
      <c r="E65" s="84">
        <f>SUM('17. Hivatal'!E50)</f>
        <v>211478</v>
      </c>
      <c r="F65" s="84">
        <f>SUM('17. Hivatal'!F50)</f>
        <v>500000</v>
      </c>
      <c r="G65" s="84">
        <f>SUM('17. Hivatal'!G50)</f>
        <v>500000</v>
      </c>
      <c r="H65" s="84">
        <f>SUM('17. Hivatal'!H50)</f>
        <v>500000</v>
      </c>
      <c r="I65" s="84">
        <f>SUM('17. Hivatal'!I50)</f>
        <v>724790</v>
      </c>
    </row>
    <row r="66" spans="1:9" s="10" customFormat="1" ht="12.75" customHeight="1">
      <c r="A66" s="136" t="s">
        <v>67</v>
      </c>
      <c r="B66" s="138" t="s">
        <v>182</v>
      </c>
      <c r="C66" s="9" t="s">
        <v>570</v>
      </c>
      <c r="D66" s="9">
        <v>18</v>
      </c>
      <c r="E66" s="66">
        <f>SUM(E67:E70)</f>
        <v>92965316</v>
      </c>
      <c r="F66" s="66">
        <f>SUM(F67:F70)</f>
        <v>97394750</v>
      </c>
      <c r="G66" s="66">
        <f>SUM(G67:G70)</f>
        <v>97394750</v>
      </c>
      <c r="H66" s="66">
        <f>SUM(H67:H70)</f>
        <v>94797812</v>
      </c>
      <c r="I66" s="66">
        <f>SUM(I67:I70)</f>
        <v>94842286</v>
      </c>
    </row>
    <row r="67" spans="1:9" ht="12.75" customHeight="1">
      <c r="A67" s="140" t="s">
        <v>68</v>
      </c>
      <c r="B67" s="138"/>
      <c r="C67" s="17" t="s">
        <v>250</v>
      </c>
      <c r="D67" s="9"/>
      <c r="E67" s="84">
        <f>SUM('18. VÜKI'!E77)</f>
        <v>38651192</v>
      </c>
      <c r="F67" s="84">
        <f>SUM('18. VÜKI'!F77)</f>
        <v>44774976</v>
      </c>
      <c r="G67" s="84">
        <f>SUM('18. VÜKI'!G77)</f>
        <v>44774976</v>
      </c>
      <c r="H67" s="84">
        <f>SUM('18. VÜKI'!H77)</f>
        <v>42914700</v>
      </c>
      <c r="I67" s="84">
        <f>SUM('18. VÜKI'!I77)</f>
        <v>42629622</v>
      </c>
    </row>
    <row r="68" spans="1:9" ht="12.75" customHeight="1">
      <c r="A68" s="140" t="s">
        <v>70</v>
      </c>
      <c r="B68" s="138"/>
      <c r="C68" s="17" t="s">
        <v>571</v>
      </c>
      <c r="D68" s="9"/>
      <c r="E68" s="84">
        <f>SUM('18. VÜKI'!E78)</f>
        <v>10626743</v>
      </c>
      <c r="F68" s="84">
        <f>SUM('18. VÜKI'!F78)</f>
        <v>9229774</v>
      </c>
      <c r="G68" s="84">
        <f>SUM('18. VÜKI'!G78)</f>
        <v>9229774</v>
      </c>
      <c r="H68" s="84">
        <f>SUM('18. VÜKI'!H78)</f>
        <v>8493012</v>
      </c>
      <c r="I68" s="84">
        <f>SUM('18. VÜKI'!I78)</f>
        <v>8811430</v>
      </c>
    </row>
    <row r="69" spans="1:9" ht="12.75" customHeight="1">
      <c r="A69" s="140" t="s">
        <v>97</v>
      </c>
      <c r="B69" s="138"/>
      <c r="C69" s="17" t="s">
        <v>350</v>
      </c>
      <c r="D69" s="9"/>
      <c r="E69" s="84">
        <f>SUM('18. VÜKI'!E79)</f>
        <v>42206364</v>
      </c>
      <c r="F69" s="84">
        <f>SUM('18. VÜKI'!F79)</f>
        <v>42390000</v>
      </c>
      <c r="G69" s="84">
        <f>SUM('18. VÜKI'!G79)</f>
        <v>42390000</v>
      </c>
      <c r="H69" s="84">
        <f>SUM('18. VÜKI'!H79)</f>
        <v>42390100</v>
      </c>
      <c r="I69" s="84">
        <f>SUM('18. VÜKI'!I79)</f>
        <v>42401234</v>
      </c>
    </row>
    <row r="70" spans="1:9" ht="12.75" customHeight="1">
      <c r="A70" s="140" t="s">
        <v>99</v>
      </c>
      <c r="B70" s="138"/>
      <c r="C70" s="17" t="s">
        <v>268</v>
      </c>
      <c r="D70" s="9"/>
      <c r="E70" s="84">
        <f>'18. VÜKI'!E80</f>
        <v>1481017</v>
      </c>
      <c r="F70" s="84">
        <f>'18. VÜKI'!F80</f>
        <v>1000000</v>
      </c>
      <c r="G70" s="84">
        <f>'18. VÜKI'!G80</f>
        <v>1000000</v>
      </c>
      <c r="H70" s="84">
        <f>'18. VÜKI'!H80</f>
        <v>1000000</v>
      </c>
      <c r="I70" s="84">
        <f>'18. VÜKI'!I80</f>
        <v>1000000</v>
      </c>
    </row>
    <row r="71" spans="1:9" ht="12.75" customHeight="1">
      <c r="A71" s="136" t="s">
        <v>101</v>
      </c>
      <c r="B71" s="138" t="s">
        <v>183</v>
      </c>
      <c r="C71" s="9" t="s">
        <v>2</v>
      </c>
      <c r="D71" s="9">
        <v>4</v>
      </c>
      <c r="E71" s="66">
        <f>SUM(E72:E85)</f>
        <v>1184701944</v>
      </c>
      <c r="F71" s="66">
        <f>SUM(F72:F85)</f>
        <v>1074717213</v>
      </c>
      <c r="G71" s="66">
        <f>SUM(G72:G85)</f>
        <v>1074717213</v>
      </c>
      <c r="H71" s="66">
        <f>SUM(H72:H85)</f>
        <v>1088612777</v>
      </c>
      <c r="I71" s="66">
        <f>SUM(I72:I85)</f>
        <v>1108923774</v>
      </c>
    </row>
    <row r="72" spans="1:9" ht="12.75" customHeight="1">
      <c r="A72" s="140" t="s">
        <v>103</v>
      </c>
      <c r="B72" s="138"/>
      <c r="C72" s="17" t="s">
        <v>250</v>
      </c>
      <c r="D72" s="9"/>
      <c r="E72" s="84">
        <f>SUM('19 önkormányzat'!E136)</f>
        <v>24657111</v>
      </c>
      <c r="F72" s="84">
        <f>SUM('19 önkormányzat'!F136)</f>
        <v>25877312</v>
      </c>
      <c r="G72" s="84">
        <f>SUM('19 önkormányzat'!G136)</f>
        <v>25877312</v>
      </c>
      <c r="H72" s="84">
        <f>SUM('19 önkormányzat'!H136)</f>
        <v>25877312</v>
      </c>
      <c r="I72" s="84">
        <f>SUM('19 önkormányzat'!I136)</f>
        <v>25877312</v>
      </c>
    </row>
    <row r="73" spans="1:9" ht="12.75" customHeight="1">
      <c r="A73" s="140" t="s">
        <v>105</v>
      </c>
      <c r="B73" s="138"/>
      <c r="C73" s="17" t="s">
        <v>571</v>
      </c>
      <c r="D73" s="17"/>
      <c r="E73" s="84">
        <f>SUM('19 önkormányzat'!E137)</f>
        <v>4122203</v>
      </c>
      <c r="F73" s="84">
        <f>SUM('19 önkormányzat'!F137)</f>
        <v>5090525</v>
      </c>
      <c r="G73" s="84">
        <f>SUM('19 önkormányzat'!G137)</f>
        <v>5090525</v>
      </c>
      <c r="H73" s="84">
        <f>SUM('19 önkormányzat'!H137)</f>
        <v>5090525</v>
      </c>
      <c r="I73" s="84">
        <f>SUM('19 önkormányzat'!I137)</f>
        <v>5090525</v>
      </c>
    </row>
    <row r="74" spans="1:9" ht="12.75" customHeight="1">
      <c r="A74" s="140" t="s">
        <v>107</v>
      </c>
      <c r="B74" s="141"/>
      <c r="C74" s="17" t="s">
        <v>350</v>
      </c>
      <c r="D74" s="17"/>
      <c r="E74" s="84">
        <f>SUM('19 önkormányzat'!E138)</f>
        <v>97469979</v>
      </c>
      <c r="F74" s="84">
        <f>SUM('19 önkormányzat'!F138)</f>
        <v>34022339</v>
      </c>
      <c r="G74" s="84">
        <f>SUM('19 önkormányzat'!G138)</f>
        <v>34022339</v>
      </c>
      <c r="H74" s="84">
        <f>SUM('19 önkormányzat'!H138)</f>
        <v>39629018</v>
      </c>
      <c r="I74" s="84">
        <f>SUM('19 önkormányzat'!I138)</f>
        <v>45115833</v>
      </c>
    </row>
    <row r="75" spans="1:9" ht="12.75" customHeight="1">
      <c r="A75" s="140" t="s">
        <v>109</v>
      </c>
      <c r="B75" s="141"/>
      <c r="C75" s="17" t="s">
        <v>691</v>
      </c>
      <c r="D75" s="128"/>
      <c r="E75" s="84">
        <f>SUM('19 önkormányzat'!E139)</f>
        <v>3627050</v>
      </c>
      <c r="F75" s="84">
        <f>SUM('19 önkormányzat'!F139)</f>
        <v>4162000</v>
      </c>
      <c r="G75" s="84">
        <f>SUM('19 önkormányzat'!G139)</f>
        <v>4162000</v>
      </c>
      <c r="H75" s="84">
        <f>SUM('19 önkormányzat'!H139)</f>
        <v>4162000</v>
      </c>
      <c r="I75" s="84">
        <f>SUM('19 önkormányzat'!I139)</f>
        <v>4162000</v>
      </c>
    </row>
    <row r="76" spans="1:9" ht="12.75" customHeight="1">
      <c r="A76" s="140" t="s">
        <v>111</v>
      </c>
      <c r="B76" s="143"/>
      <c r="C76" s="17" t="s">
        <v>572</v>
      </c>
      <c r="D76" s="128"/>
      <c r="E76" s="84">
        <f>SUM('19 önkormányzat'!E141)</f>
        <v>40766879</v>
      </c>
      <c r="F76" s="84">
        <f>SUM('19 önkormányzat'!F141)</f>
        <v>32887850</v>
      </c>
      <c r="G76" s="84">
        <f>SUM('19 önkormányzat'!G141)</f>
        <v>32887850</v>
      </c>
      <c r="H76" s="84">
        <f>SUM('19 önkormányzat'!H141)</f>
        <v>38852413</v>
      </c>
      <c r="I76" s="84">
        <f>SUM('19 önkormányzat'!I141)</f>
        <v>38917253</v>
      </c>
    </row>
    <row r="77" spans="1:9" ht="12.75" customHeight="1">
      <c r="A77" s="140" t="s">
        <v>113</v>
      </c>
      <c r="B77" s="143"/>
      <c r="C77" s="17" t="s">
        <v>573</v>
      </c>
      <c r="D77" s="9"/>
      <c r="E77" s="84">
        <f>SUM('19 önkormányzat'!E142)</f>
        <v>54806758</v>
      </c>
      <c r="F77" s="84">
        <f>SUM('19 önkormányzat'!F142)</f>
        <v>3300000</v>
      </c>
      <c r="G77" s="84">
        <f>SUM('19 önkormányzat'!G142)</f>
        <v>3300000</v>
      </c>
      <c r="H77" s="84">
        <f>SUM('19 önkormányzat'!H142)</f>
        <v>9569777</v>
      </c>
      <c r="I77" s="84">
        <f>SUM('19 önkormányzat'!I142)</f>
        <v>21111383</v>
      </c>
    </row>
    <row r="78" spans="1:9" ht="13.5" customHeight="1">
      <c r="A78" s="140" t="s">
        <v>115</v>
      </c>
      <c r="B78" s="143"/>
      <c r="C78" s="17" t="s">
        <v>574</v>
      </c>
      <c r="D78" s="17"/>
      <c r="E78" s="84">
        <f>SUM('19 önkormányzat'!E152)</f>
        <v>274808735</v>
      </c>
      <c r="F78" s="84">
        <f>SUM('19 önkormányzat'!F152)</f>
        <v>312611623</v>
      </c>
      <c r="G78" s="84">
        <f>SUM('19 önkormányzat'!G152)</f>
        <v>312611623</v>
      </c>
      <c r="H78" s="84">
        <f>SUM('19 önkormányzat'!H152)</f>
        <v>313202745</v>
      </c>
      <c r="I78" s="84">
        <f>SUM('19 önkormányzat'!I152)</f>
        <v>315592990</v>
      </c>
    </row>
    <row r="79" spans="1:9" ht="13.5" customHeight="1">
      <c r="A79" s="140" t="s">
        <v>117</v>
      </c>
      <c r="B79" s="143"/>
      <c r="C79" s="17" t="s">
        <v>272</v>
      </c>
      <c r="D79" s="17"/>
      <c r="E79" s="84">
        <v>0</v>
      </c>
      <c r="F79" s="84">
        <v>0</v>
      </c>
      <c r="G79" s="84">
        <v>0</v>
      </c>
      <c r="H79" s="84">
        <v>0</v>
      </c>
      <c r="I79" s="84">
        <v>0</v>
      </c>
    </row>
    <row r="80" spans="1:9" ht="13.5" customHeight="1">
      <c r="A80" s="140" t="s">
        <v>118</v>
      </c>
      <c r="B80" s="143"/>
      <c r="C80" s="17" t="s">
        <v>692</v>
      </c>
      <c r="D80" s="17"/>
      <c r="E80" s="84"/>
      <c r="F80" s="84"/>
      <c r="G80" s="84"/>
      <c r="H80" s="84"/>
      <c r="I80" s="84"/>
    </row>
    <row r="81" spans="1:9" ht="13.5" customHeight="1">
      <c r="A81" s="140" t="s">
        <v>120</v>
      </c>
      <c r="B81" s="143"/>
      <c r="C81" s="17" t="s">
        <v>1145</v>
      </c>
      <c r="D81" s="17"/>
      <c r="E81" s="84"/>
      <c r="F81" s="84"/>
      <c r="G81" s="84"/>
      <c r="H81" s="84">
        <f>SUM('19 önkormányzat'!H114)</f>
        <v>116897</v>
      </c>
      <c r="I81" s="84">
        <f>SUM('19 önkormányzat'!I114)</f>
        <v>2482037</v>
      </c>
    </row>
    <row r="82" spans="1:9" ht="29.25" customHeight="1">
      <c r="A82" s="140" t="s">
        <v>122</v>
      </c>
      <c r="B82" s="143"/>
      <c r="C82" s="123" t="s">
        <v>270</v>
      </c>
      <c r="D82" s="17"/>
      <c r="E82" s="84">
        <v>9086397</v>
      </c>
      <c r="F82" s="84">
        <f>SUM('19 önkormányzat'!F148)</f>
        <v>7035063</v>
      </c>
      <c r="G82" s="84">
        <f>SUM('19 önkormányzat'!G148)</f>
        <v>7035063</v>
      </c>
      <c r="H82" s="84">
        <f>SUM('19 önkormányzat'!H148)</f>
        <v>7496735</v>
      </c>
      <c r="I82" s="84">
        <f>SUM('19 önkormányzat'!I148)</f>
        <v>8085459</v>
      </c>
    </row>
    <row r="83" spans="1:9" ht="29.25" customHeight="1">
      <c r="A83" s="140" t="s">
        <v>124</v>
      </c>
      <c r="B83" s="143"/>
      <c r="C83" s="123" t="s">
        <v>694</v>
      </c>
      <c r="D83" s="17"/>
      <c r="E83" s="84">
        <v>10729481</v>
      </c>
      <c r="F83" s="84"/>
      <c r="G83" s="84"/>
      <c r="H83" s="84"/>
      <c r="I83" s="84"/>
    </row>
    <row r="84" spans="1:9" ht="12.75">
      <c r="A84" s="140" t="s">
        <v>126</v>
      </c>
      <c r="B84" s="143"/>
      <c r="C84" s="123" t="s">
        <v>693</v>
      </c>
      <c r="D84" s="17"/>
      <c r="E84" s="84"/>
      <c r="F84" s="84"/>
      <c r="G84" s="84"/>
      <c r="H84" s="84"/>
      <c r="I84" s="84"/>
    </row>
    <row r="85" spans="1:9" ht="12.75" customHeight="1">
      <c r="A85" s="140" t="s">
        <v>128</v>
      </c>
      <c r="B85" s="143"/>
      <c r="C85" s="17" t="s">
        <v>521</v>
      </c>
      <c r="D85" s="17"/>
      <c r="E85" s="84">
        <v>664627351</v>
      </c>
      <c r="F85" s="84">
        <f>SUM('19 önkormányzat'!F140)</f>
        <v>649730501</v>
      </c>
      <c r="G85" s="84">
        <f>SUM('19 önkormányzat'!G140)</f>
        <v>649730501</v>
      </c>
      <c r="H85" s="84">
        <f>SUM('19 önkormányzat'!H140)</f>
        <v>644615355</v>
      </c>
      <c r="I85" s="84">
        <f>SUM('19 önkormányzat'!I140)</f>
        <v>642488982</v>
      </c>
    </row>
    <row r="86" spans="1:9" s="10" customFormat="1" ht="12.75" customHeight="1">
      <c r="A86" s="283" t="s">
        <v>130</v>
      </c>
      <c r="B86" s="284"/>
      <c r="C86" s="285" t="s">
        <v>550</v>
      </c>
      <c r="D86" s="285"/>
      <c r="E86" s="286">
        <f>E51+E56+E61+E71-E78+E66</f>
        <v>1217317595</v>
      </c>
      <c r="F86" s="286">
        <f>F51+F56+F61+F71-F78+F66</f>
        <v>1099874590</v>
      </c>
      <c r="G86" s="286">
        <f>G51+G56+G61+G71-G78+G66</f>
        <v>1099874590</v>
      </c>
      <c r="H86" s="286">
        <f>H51+H56+H61+H71-H78+H66</f>
        <v>1118723312</v>
      </c>
      <c r="I86" s="286">
        <f>I51+I56+I61+I71-I78+I66</f>
        <v>1141098843</v>
      </c>
    </row>
    <row r="87" spans="1:9" ht="12.75" customHeight="1">
      <c r="A87" s="283" t="s">
        <v>131</v>
      </c>
      <c r="B87" s="287"/>
      <c r="C87" s="288" t="s">
        <v>575</v>
      </c>
      <c r="D87" s="289"/>
      <c r="E87" s="290">
        <f>E86+E78</f>
        <v>1492126330</v>
      </c>
      <c r="F87" s="290">
        <f>F86+F78</f>
        <v>1412486213</v>
      </c>
      <c r="G87" s="290">
        <f>G86+G78</f>
        <v>1412486213</v>
      </c>
      <c r="H87" s="290">
        <f>H86+H78</f>
        <v>1431926057</v>
      </c>
      <c r="I87" s="290">
        <f>I86+I78</f>
        <v>1456691833</v>
      </c>
    </row>
    <row r="88" spans="1:9" ht="12.75" customHeight="1">
      <c r="A88" s="140" t="s">
        <v>133</v>
      </c>
      <c r="B88" s="103"/>
      <c r="C88" s="291" t="s">
        <v>576</v>
      </c>
      <c r="D88" s="103"/>
      <c r="E88" s="84"/>
      <c r="F88" s="84"/>
      <c r="G88" s="84"/>
      <c r="H88" s="84"/>
      <c r="I88" s="84"/>
    </row>
    <row r="89" spans="1:9" ht="12.75" customHeight="1">
      <c r="A89" s="140" t="s">
        <v>135</v>
      </c>
      <c r="B89" s="103"/>
      <c r="C89" s="178" t="s">
        <v>577</v>
      </c>
      <c r="D89" s="103"/>
      <c r="E89" s="84">
        <f>E52+E57+E62+E67+E72</f>
        <v>202958120</v>
      </c>
      <c r="F89" s="84">
        <f>F52+F57+F62+F67+F72</f>
        <v>231916418</v>
      </c>
      <c r="G89" s="84">
        <f>G52+G57+G62+G67+G72</f>
        <v>231916418</v>
      </c>
      <c r="H89" s="84">
        <f>H52+H57+H62+H67+H72</f>
        <v>236489748</v>
      </c>
      <c r="I89" s="84">
        <f>I52+I57+I62+I67+I72</f>
        <v>237134758</v>
      </c>
    </row>
    <row r="90" spans="1:9" ht="12.75" customHeight="1">
      <c r="A90" s="140" t="s">
        <v>137</v>
      </c>
      <c r="B90" s="103"/>
      <c r="C90" s="178" t="s">
        <v>578</v>
      </c>
      <c r="D90" s="103"/>
      <c r="E90" s="84">
        <f>E73+E68+E63+E58+E53</f>
        <v>48716977</v>
      </c>
      <c r="F90" s="84">
        <f>F73+F68+F63+F58+F53</f>
        <v>46416484</v>
      </c>
      <c r="G90" s="84">
        <f>G73+G68+G63+G58+G53</f>
        <v>46416484</v>
      </c>
      <c r="H90" s="84">
        <f>H73+H68+H63+H58+H53</f>
        <v>46934276</v>
      </c>
      <c r="I90" s="84">
        <f>I73+I68+I63+I58+I53</f>
        <v>47470843</v>
      </c>
    </row>
    <row r="91" spans="1:9" ht="12.75" customHeight="1">
      <c r="A91" s="140" t="s">
        <v>139</v>
      </c>
      <c r="B91" s="103"/>
      <c r="C91" s="178" t="s">
        <v>579</v>
      </c>
      <c r="D91" s="103"/>
      <c r="E91" s="84">
        <f>E54+E59+E64+E69+E74</f>
        <v>179424836</v>
      </c>
      <c r="F91" s="84">
        <f>F54+F59+F64+F69+F74</f>
        <v>121926274</v>
      </c>
      <c r="G91" s="84">
        <f>G54+G59+G64+G69+G74</f>
        <v>121926274</v>
      </c>
      <c r="H91" s="84">
        <f>H54+H59+H64+H69+H74</f>
        <v>127743156</v>
      </c>
      <c r="I91" s="84">
        <f>I54+I59+I64+I69+I74</f>
        <v>136085833</v>
      </c>
    </row>
    <row r="92" spans="1:9" s="10" customFormat="1" ht="12.75" customHeight="1">
      <c r="A92" s="136" t="s">
        <v>141</v>
      </c>
      <c r="B92" s="102"/>
      <c r="C92" s="292" t="s">
        <v>25</v>
      </c>
      <c r="D92" s="89"/>
      <c r="E92" s="89">
        <f>SUM(E89:E91)</f>
        <v>431099933</v>
      </c>
      <c r="F92" s="89">
        <f>SUM(F89:F91)</f>
        <v>400259176</v>
      </c>
      <c r="G92" s="89">
        <f>SUM(G89:G91)</f>
        <v>400259176</v>
      </c>
      <c r="H92" s="89">
        <f>SUM(H89:H91)</f>
        <v>411167180</v>
      </c>
      <c r="I92" s="89">
        <f>SUM(I89:I91)</f>
        <v>420691434</v>
      </c>
    </row>
    <row r="93" spans="1:9" s="10" customFormat="1" ht="12.75" customHeight="1">
      <c r="A93" s="140" t="s">
        <v>143</v>
      </c>
      <c r="B93" s="102"/>
      <c r="C93" s="178" t="s">
        <v>256</v>
      </c>
      <c r="D93" s="102"/>
      <c r="E93" s="84">
        <f>E76</f>
        <v>40766879</v>
      </c>
      <c r="F93" s="84">
        <f>F76</f>
        <v>32887850</v>
      </c>
      <c r="G93" s="84">
        <f>G76</f>
        <v>32887850</v>
      </c>
      <c r="H93" s="84">
        <f>H76</f>
        <v>38852413</v>
      </c>
      <c r="I93" s="84">
        <f>I76</f>
        <v>38917253</v>
      </c>
    </row>
    <row r="94" spans="1:9" s="10" customFormat="1" ht="12.75" customHeight="1">
      <c r="A94" s="140" t="s">
        <v>145</v>
      </c>
      <c r="B94" s="102"/>
      <c r="C94" s="178" t="s">
        <v>296</v>
      </c>
      <c r="D94" s="102"/>
      <c r="E94" s="84">
        <f>SUM(E75)</f>
        <v>3627050</v>
      </c>
      <c r="F94" s="84">
        <f>SUM(F75)</f>
        <v>4162000</v>
      </c>
      <c r="G94" s="84">
        <f>SUM(G75)</f>
        <v>4162000</v>
      </c>
      <c r="H94" s="84">
        <f>SUM(H75)</f>
        <v>4162000</v>
      </c>
      <c r="I94" s="84">
        <f>SUM(I75)</f>
        <v>4162000</v>
      </c>
    </row>
    <row r="95" spans="1:9" s="10" customFormat="1" ht="12.75" customHeight="1">
      <c r="A95" s="140" t="s">
        <v>147</v>
      </c>
      <c r="B95" s="102"/>
      <c r="C95" s="178" t="s">
        <v>298</v>
      </c>
      <c r="D95" s="102"/>
      <c r="E95" s="84">
        <f>E55+E60+E65+E70+E77</f>
        <v>57380504</v>
      </c>
      <c r="F95" s="84">
        <f>F55+F60+F65+F70+F77</f>
        <v>5800000</v>
      </c>
      <c r="G95" s="84">
        <f>G55+G60+G65+G70+G77</f>
        <v>5800000</v>
      </c>
      <c r="H95" s="84">
        <f>H55+H60+H65+H70+H77</f>
        <v>12312732</v>
      </c>
      <c r="I95" s="84">
        <f>I55+I60+I65+I70+I77</f>
        <v>24271678</v>
      </c>
    </row>
    <row r="96" spans="1:9" s="10" customFormat="1" ht="12.75" customHeight="1">
      <c r="A96" s="140">
        <v>46</v>
      </c>
      <c r="B96" s="102"/>
      <c r="C96" s="178" t="s">
        <v>300</v>
      </c>
      <c r="D96" s="102"/>
      <c r="E96" s="84">
        <f>E78</f>
        <v>274808735</v>
      </c>
      <c r="F96" s="84">
        <f>F78</f>
        <v>312611623</v>
      </c>
      <c r="G96" s="84">
        <f>G78</f>
        <v>312611623</v>
      </c>
      <c r="H96" s="84">
        <f>H78</f>
        <v>313202745</v>
      </c>
      <c r="I96" s="84">
        <f>I78</f>
        <v>315592990</v>
      </c>
    </row>
    <row r="97" spans="1:9" s="10" customFormat="1" ht="12.75" customHeight="1">
      <c r="A97" s="140" t="s">
        <v>1146</v>
      </c>
      <c r="B97" s="102"/>
      <c r="C97" s="178" t="s">
        <v>521</v>
      </c>
      <c r="D97" s="102"/>
      <c r="E97" s="84">
        <f>E85</f>
        <v>664627351</v>
      </c>
      <c r="F97" s="84">
        <f>F85</f>
        <v>649730501</v>
      </c>
      <c r="G97" s="84">
        <f>G85</f>
        <v>649730501</v>
      </c>
      <c r="H97" s="84">
        <f>H85</f>
        <v>644615355</v>
      </c>
      <c r="I97" s="84">
        <f>I85</f>
        <v>642488982</v>
      </c>
    </row>
    <row r="98" spans="1:9" s="10" customFormat="1" ht="12.75" customHeight="1">
      <c r="A98" s="140" t="s">
        <v>205</v>
      </c>
      <c r="B98" s="102"/>
      <c r="C98" s="17" t="s">
        <v>692</v>
      </c>
      <c r="D98" s="102"/>
      <c r="E98" s="84"/>
      <c r="F98" s="84">
        <v>0</v>
      </c>
      <c r="G98" s="84">
        <v>0</v>
      </c>
      <c r="H98" s="84">
        <f>SUM(H81)</f>
        <v>116897</v>
      </c>
      <c r="I98" s="84">
        <f>SUM(I81)</f>
        <v>2482037</v>
      </c>
    </row>
    <row r="99" spans="1:9" s="10" customFormat="1" ht="12.75" customHeight="1">
      <c r="A99" s="140" t="s">
        <v>207</v>
      </c>
      <c r="B99" s="102"/>
      <c r="C99" s="123" t="s">
        <v>694</v>
      </c>
      <c r="D99" s="102"/>
      <c r="E99" s="84">
        <f>SUM(E83)</f>
        <v>10729481</v>
      </c>
      <c r="F99" s="84"/>
      <c r="G99" s="84"/>
      <c r="H99" s="84"/>
      <c r="I99" s="84"/>
    </row>
    <row r="100" spans="1:9" s="10" customFormat="1" ht="12.75" customHeight="1">
      <c r="A100" s="140" t="s">
        <v>262</v>
      </c>
      <c r="B100" s="102"/>
      <c r="C100" s="123" t="s">
        <v>693</v>
      </c>
      <c r="D100" s="102"/>
      <c r="E100" s="84"/>
      <c r="F100" s="84"/>
      <c r="G100" s="84"/>
      <c r="H100" s="84"/>
      <c r="I100" s="84"/>
    </row>
    <row r="101" spans="1:9" s="10" customFormat="1" ht="12.75" customHeight="1">
      <c r="A101" s="140" t="s">
        <v>208</v>
      </c>
      <c r="B101" s="102"/>
      <c r="C101" s="178" t="s">
        <v>270</v>
      </c>
      <c r="D101" s="102"/>
      <c r="E101" s="84">
        <f>E82</f>
        <v>9086397</v>
      </c>
      <c r="F101" s="84">
        <f>F82</f>
        <v>7035063</v>
      </c>
      <c r="G101" s="84">
        <f>G82</f>
        <v>7035063</v>
      </c>
      <c r="H101" s="84">
        <f>H82</f>
        <v>7496735</v>
      </c>
      <c r="I101" s="84">
        <f>I82</f>
        <v>8085459</v>
      </c>
    </row>
    <row r="102" spans="1:9" s="10" customFormat="1" ht="12.75" customHeight="1">
      <c r="A102" s="140" t="s">
        <v>210</v>
      </c>
      <c r="B102" s="102"/>
      <c r="C102" s="178" t="s">
        <v>272</v>
      </c>
      <c r="D102" s="102"/>
      <c r="E102" s="84">
        <f>SUM(E79)</f>
        <v>0</v>
      </c>
      <c r="F102" s="84">
        <f>SUM(F79)</f>
        <v>0</v>
      </c>
      <c r="G102" s="84">
        <f>SUM(G79)</f>
        <v>0</v>
      </c>
      <c r="H102" s="84">
        <f>SUM(H79)</f>
        <v>0</v>
      </c>
      <c r="I102" s="84">
        <f>SUM(I79)</f>
        <v>0</v>
      </c>
    </row>
    <row r="103" spans="1:9" s="10" customFormat="1" ht="12.75" customHeight="1">
      <c r="A103" s="140" t="s">
        <v>264</v>
      </c>
      <c r="B103" s="289"/>
      <c r="C103" s="293" t="s">
        <v>550</v>
      </c>
      <c r="D103" s="289"/>
      <c r="E103" s="290">
        <f>SUM(E92:E102)</f>
        <v>1492126330</v>
      </c>
      <c r="F103" s="290">
        <f>SUM(F92:F102)</f>
        <v>1412486213</v>
      </c>
      <c r="G103" s="290">
        <f>SUM(G92:G102)</f>
        <v>1412486213</v>
      </c>
      <c r="H103" s="290">
        <f>SUM(H92:H102)</f>
        <v>1431926057</v>
      </c>
      <c r="I103" s="290">
        <f>SUM(I92:I102)</f>
        <v>1456691833</v>
      </c>
    </row>
    <row r="65535" ht="12.75" customHeight="1"/>
    <row r="65536" ht="12.75" customHeight="1"/>
  </sheetData>
  <sheetProtection selectLockedCells="1" selectUnlockedCells="1"/>
  <mergeCells count="45">
    <mergeCell ref="A8:B9"/>
    <mergeCell ref="C8:D8"/>
    <mergeCell ref="C9:D9"/>
    <mergeCell ref="A5:I5"/>
    <mergeCell ref="A4:I4"/>
    <mergeCell ref="A1:I1"/>
    <mergeCell ref="A2:I2"/>
    <mergeCell ref="A49:B50"/>
    <mergeCell ref="A6:D6"/>
    <mergeCell ref="A7:C7"/>
    <mergeCell ref="C12:D12"/>
    <mergeCell ref="C11:D11"/>
    <mergeCell ref="C14:D14"/>
    <mergeCell ref="C16:D16"/>
    <mergeCell ref="C19:D19"/>
    <mergeCell ref="C35:D35"/>
    <mergeCell ref="C34:D34"/>
    <mergeCell ref="C33:D33"/>
    <mergeCell ref="C32:D32"/>
    <mergeCell ref="C20:D20"/>
    <mergeCell ref="C21:D21"/>
    <mergeCell ref="C24:D24"/>
    <mergeCell ref="C25:D25"/>
    <mergeCell ref="C26:D26"/>
    <mergeCell ref="C27:D27"/>
    <mergeCell ref="C42:D42"/>
    <mergeCell ref="C43:D43"/>
    <mergeCell ref="C44:D44"/>
    <mergeCell ref="C45:D45"/>
    <mergeCell ref="C31:D31"/>
    <mergeCell ref="C36:D36"/>
    <mergeCell ref="C37:D37"/>
    <mergeCell ref="C38:D38"/>
    <mergeCell ref="C39:D39"/>
    <mergeCell ref="C40:D40"/>
    <mergeCell ref="A48:D48"/>
    <mergeCell ref="C47:D47"/>
    <mergeCell ref="C29:D29"/>
    <mergeCell ref="C28:D28"/>
    <mergeCell ref="C15:D15"/>
    <mergeCell ref="C17:D17"/>
    <mergeCell ref="C22:D22"/>
    <mergeCell ref="C23:D23"/>
    <mergeCell ref="C46:D46"/>
    <mergeCell ref="C41:D41"/>
  </mergeCells>
  <printOptions horizontalCentered="1"/>
  <pageMargins left="0.5118110236220472" right="0.7480314960629921" top="0.1968503937007874" bottom="0.4330708661417323" header="0.5118110236220472" footer="0.15748031496062992"/>
  <pageSetup horizontalDpi="600" verticalDpi="600" orientation="portrait" paperSize="9" scale="63" r:id="rId1"/>
  <headerFooter alignWithMargins="0">
    <oddFooter>&amp;C&amp;P. oldal</oddFooter>
  </headerFooter>
  <rowBreaks count="1" manualBreakCount="1">
    <brk id="70" max="8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18" customWidth="1"/>
    <col min="2" max="2" width="42.8515625" style="18" customWidth="1"/>
    <col min="3" max="3" width="12.00390625" style="18" customWidth="1"/>
    <col min="4" max="4" width="11.140625" style="18" customWidth="1"/>
    <col min="5" max="5" width="11.00390625" style="18" customWidth="1"/>
    <col min="6" max="16384" width="9.140625" style="18" customWidth="1"/>
  </cols>
  <sheetData>
    <row r="1" spans="4:5" ht="12.75" customHeight="1">
      <c r="D1" s="1655" t="s">
        <v>72</v>
      </c>
      <c r="E1" s="1655"/>
    </row>
    <row r="2" spans="2:5" ht="12.75" customHeight="1">
      <c r="B2" s="1651" t="s">
        <v>1</v>
      </c>
      <c r="C2" s="1651"/>
      <c r="D2" s="1651"/>
      <c r="E2" s="1651"/>
    </row>
    <row r="3" spans="2:5" ht="12.75" customHeight="1">
      <c r="B3" s="45"/>
      <c r="C3" s="45"/>
      <c r="D3" s="45"/>
      <c r="E3" s="45"/>
    </row>
    <row r="4" spans="2:5" ht="12.75" customHeight="1">
      <c r="B4" s="1656" t="s">
        <v>73</v>
      </c>
      <c r="C4" s="1656"/>
      <c r="D4" s="1656"/>
      <c r="E4" s="1656"/>
    </row>
    <row r="5" spans="2:5" ht="12.75" customHeight="1">
      <c r="B5" s="1656" t="s">
        <v>74</v>
      </c>
      <c r="C5" s="1656"/>
      <c r="D5" s="1656"/>
      <c r="E5" s="1656"/>
    </row>
    <row r="6" spans="4:5" ht="12.75" customHeight="1">
      <c r="D6" s="1655"/>
      <c r="E6" s="1655"/>
    </row>
    <row r="7" spans="4:5" ht="12.75" customHeight="1">
      <c r="D7" s="1657" t="s">
        <v>5</v>
      </c>
      <c r="E7" s="1657"/>
    </row>
    <row r="8" spans="1:5" ht="12.75" customHeight="1">
      <c r="A8" s="1654" t="s">
        <v>24</v>
      </c>
      <c r="B8" s="1654"/>
      <c r="C8" s="46" t="s">
        <v>75</v>
      </c>
      <c r="D8" s="46" t="s">
        <v>76</v>
      </c>
      <c r="E8" s="46" t="s">
        <v>77</v>
      </c>
    </row>
    <row r="9" spans="1:5" ht="12.75" customHeight="1">
      <c r="A9" s="47" t="s">
        <v>38</v>
      </c>
      <c r="B9" s="48" t="s">
        <v>78</v>
      </c>
      <c r="C9" s="49"/>
      <c r="D9" s="49"/>
      <c r="E9" s="49"/>
    </row>
    <row r="10" spans="1:5" ht="12.75" customHeight="1">
      <c r="A10" s="24" t="s">
        <v>40</v>
      </c>
      <c r="B10" s="49" t="s">
        <v>79</v>
      </c>
      <c r="C10" s="50">
        <v>30602</v>
      </c>
      <c r="D10" s="50">
        <f>C10*1.043</f>
        <v>31917.886</v>
      </c>
      <c r="E10" s="50">
        <f>D10*1.043</f>
        <v>33290.35509799999</v>
      </c>
    </row>
    <row r="11" spans="1:5" ht="12.75" customHeight="1">
      <c r="A11" s="47" t="s">
        <v>47</v>
      </c>
      <c r="B11" s="49" t="s">
        <v>80</v>
      </c>
      <c r="C11" s="50"/>
      <c r="D11" s="50"/>
      <c r="E11" s="50"/>
    </row>
    <row r="12" spans="1:5" ht="12.75" customHeight="1">
      <c r="A12" s="24" t="s">
        <v>49</v>
      </c>
      <c r="B12" s="49" t="s">
        <v>81</v>
      </c>
      <c r="C12" s="50"/>
      <c r="D12" s="50"/>
      <c r="E12" s="50"/>
    </row>
    <row r="13" spans="1:5" ht="12.75" customHeight="1">
      <c r="A13" s="47" t="s">
        <v>51</v>
      </c>
      <c r="B13" s="49" t="s">
        <v>82</v>
      </c>
      <c r="C13" s="50"/>
      <c r="D13" s="50"/>
      <c r="E13" s="50"/>
    </row>
    <row r="14" spans="1:5" ht="12.75" customHeight="1">
      <c r="A14" s="24" t="s">
        <v>53</v>
      </c>
      <c r="B14" s="49" t="s">
        <v>83</v>
      </c>
      <c r="C14" s="50"/>
      <c r="D14" s="50"/>
      <c r="E14" s="50"/>
    </row>
    <row r="15" spans="1:5" ht="12.75" customHeight="1">
      <c r="A15" s="47" t="s">
        <v>55</v>
      </c>
      <c r="B15" s="22" t="s">
        <v>84</v>
      </c>
      <c r="C15" s="50"/>
      <c r="D15" s="50"/>
      <c r="E15" s="50"/>
    </row>
    <row r="16" spans="1:5" ht="12.75" customHeight="1">
      <c r="A16" s="24" t="s">
        <v>57</v>
      </c>
      <c r="B16" s="49" t="s">
        <v>85</v>
      </c>
      <c r="C16" s="50">
        <v>27004</v>
      </c>
      <c r="D16" s="50">
        <f>C16*1.043</f>
        <v>28165.172</v>
      </c>
      <c r="E16" s="50">
        <f>D16*1.043</f>
        <v>29376.274395999997</v>
      </c>
    </row>
    <row r="17" spans="1:5" ht="12.75" customHeight="1">
      <c r="A17" s="47" t="s">
        <v>86</v>
      </c>
      <c r="B17" s="49" t="s">
        <v>87</v>
      </c>
      <c r="C17" s="50"/>
      <c r="D17" s="50"/>
      <c r="E17" s="50"/>
    </row>
    <row r="18" spans="1:5" ht="12.75" customHeight="1">
      <c r="A18" s="24" t="s">
        <v>59</v>
      </c>
      <c r="B18" s="49" t="s">
        <v>88</v>
      </c>
      <c r="C18" s="50"/>
      <c r="D18" s="50"/>
      <c r="E18" s="50"/>
    </row>
    <row r="19" spans="1:5" ht="12.75" customHeight="1">
      <c r="A19" s="47" t="s">
        <v>61</v>
      </c>
      <c r="B19" s="49" t="s">
        <v>89</v>
      </c>
      <c r="C19" s="50">
        <v>166778</v>
      </c>
      <c r="D19" s="50">
        <f>C19*1.043</f>
        <v>173949.454</v>
      </c>
      <c r="E19" s="50">
        <f>D19*1.043</f>
        <v>181429.280522</v>
      </c>
    </row>
    <row r="20" spans="1:5" ht="12.75" customHeight="1">
      <c r="A20" s="24" t="s">
        <v>63</v>
      </c>
      <c r="B20" s="22" t="s">
        <v>90</v>
      </c>
      <c r="C20" s="50"/>
      <c r="D20" s="50"/>
      <c r="E20" s="50"/>
    </row>
    <row r="21" spans="1:5" ht="12.75" customHeight="1">
      <c r="A21" s="47" t="s">
        <v>65</v>
      </c>
      <c r="B21" s="49" t="s">
        <v>91</v>
      </c>
      <c r="C21" s="50"/>
      <c r="D21" s="50"/>
      <c r="E21" s="50"/>
    </row>
    <row r="22" spans="1:5" ht="12.75" customHeight="1">
      <c r="A22" s="24" t="s">
        <v>92</v>
      </c>
      <c r="B22" s="49" t="s">
        <v>39</v>
      </c>
      <c r="C22" s="50">
        <v>132230</v>
      </c>
      <c r="D22" s="50">
        <f aca="true" t="shared" si="0" ref="D22:E24">C22*1.043</f>
        <v>137915.88999999998</v>
      </c>
      <c r="E22" s="50">
        <f t="shared" si="0"/>
        <v>143846.27326999998</v>
      </c>
    </row>
    <row r="23" spans="1:5" ht="12.75" customHeight="1">
      <c r="A23" s="47" t="s">
        <v>66</v>
      </c>
      <c r="B23" s="49" t="s">
        <v>93</v>
      </c>
      <c r="C23" s="50">
        <v>6045</v>
      </c>
      <c r="D23" s="50">
        <f t="shared" si="0"/>
        <v>6304.9349999999995</v>
      </c>
      <c r="E23" s="50">
        <f t="shared" si="0"/>
        <v>6576.047204999999</v>
      </c>
    </row>
    <row r="24" spans="1:5" ht="12.75" customHeight="1">
      <c r="A24" s="24" t="s">
        <v>67</v>
      </c>
      <c r="B24" s="49" t="s">
        <v>94</v>
      </c>
      <c r="C24" s="50">
        <v>8000</v>
      </c>
      <c r="D24" s="50">
        <f t="shared" si="0"/>
        <v>8344</v>
      </c>
      <c r="E24" s="50">
        <f t="shared" si="0"/>
        <v>8702.792</v>
      </c>
    </row>
    <row r="25" spans="1:5" ht="12.75" customHeight="1">
      <c r="A25" s="47" t="s">
        <v>68</v>
      </c>
      <c r="B25" s="49" t="s">
        <v>95</v>
      </c>
      <c r="C25" s="50"/>
      <c r="D25" s="50"/>
      <c r="E25" s="50"/>
    </row>
    <row r="26" spans="1:5" ht="12.75" customHeight="1">
      <c r="A26" s="24" t="s">
        <v>70</v>
      </c>
      <c r="B26" s="49" t="s">
        <v>96</v>
      </c>
      <c r="C26" s="50">
        <v>100</v>
      </c>
      <c r="D26" s="50">
        <f>C26*1.043</f>
        <v>104.3</v>
      </c>
      <c r="E26" s="50">
        <f>D26*1.043</f>
        <v>108.7849</v>
      </c>
    </row>
    <row r="27" spans="1:5" ht="12.75" customHeight="1">
      <c r="A27" s="47" t="s">
        <v>97</v>
      </c>
      <c r="B27" s="22" t="s">
        <v>98</v>
      </c>
      <c r="C27" s="50"/>
      <c r="D27" s="50"/>
      <c r="E27" s="50"/>
    </row>
    <row r="28" spans="1:5" ht="12.75" customHeight="1">
      <c r="A28" s="24" t="s">
        <v>99</v>
      </c>
      <c r="B28" s="49" t="s">
        <v>100</v>
      </c>
      <c r="C28" s="50"/>
      <c r="D28" s="50"/>
      <c r="E28" s="50"/>
    </row>
    <row r="29" spans="1:5" ht="12.75" customHeight="1">
      <c r="A29" s="47" t="s">
        <v>101</v>
      </c>
      <c r="B29" s="49" t="s">
        <v>102</v>
      </c>
      <c r="C29" s="50"/>
      <c r="D29" s="50"/>
      <c r="E29" s="50"/>
    </row>
    <row r="30" spans="1:5" ht="12.75" customHeight="1">
      <c r="A30" s="24" t="s">
        <v>103</v>
      </c>
      <c r="B30" s="49" t="s">
        <v>104</v>
      </c>
      <c r="C30" s="50"/>
      <c r="D30" s="50"/>
      <c r="E30" s="50"/>
    </row>
    <row r="31" spans="1:5" ht="12.75" customHeight="1">
      <c r="A31" s="47" t="s">
        <v>105</v>
      </c>
      <c r="B31" s="22" t="s">
        <v>106</v>
      </c>
      <c r="C31" s="50"/>
      <c r="D31" s="50"/>
      <c r="E31" s="50"/>
    </row>
    <row r="32" spans="1:5" ht="12.75" customHeight="1">
      <c r="A32" s="24" t="s">
        <v>107</v>
      </c>
      <c r="B32" s="49" t="s">
        <v>108</v>
      </c>
      <c r="C32" s="50">
        <v>60</v>
      </c>
      <c r="D32" s="50">
        <f>C32*1.043</f>
        <v>62.58</v>
      </c>
      <c r="E32" s="50">
        <f>D32*1.043</f>
        <v>65.27094</v>
      </c>
    </row>
    <row r="33" spans="1:5" ht="12.75" customHeight="1">
      <c r="A33" s="47" t="s">
        <v>109</v>
      </c>
      <c r="B33" s="49" t="s">
        <v>110</v>
      </c>
      <c r="C33" s="50"/>
      <c r="D33" s="50"/>
      <c r="E33" s="50"/>
    </row>
    <row r="34" spans="1:5" ht="12.75" customHeight="1">
      <c r="A34" s="24" t="s">
        <v>111</v>
      </c>
      <c r="B34" s="49" t="s">
        <v>112</v>
      </c>
      <c r="C34" s="50">
        <v>40</v>
      </c>
      <c r="D34" s="50">
        <f>C34*1.043</f>
        <v>41.72</v>
      </c>
      <c r="E34" s="50">
        <f>D34*1.043</f>
        <v>43.51396</v>
      </c>
    </row>
    <row r="35" spans="1:5" ht="12.75" customHeight="1">
      <c r="A35" s="47" t="s">
        <v>113</v>
      </c>
      <c r="B35" s="49" t="s">
        <v>114</v>
      </c>
      <c r="C35" s="50">
        <v>60000</v>
      </c>
      <c r="D35" s="50">
        <f>C54</f>
        <v>52500</v>
      </c>
      <c r="E35" s="50">
        <f>D54</f>
        <v>56359</v>
      </c>
    </row>
    <row r="36" spans="1:5" ht="12.75" customHeight="1">
      <c r="A36" s="24" t="s">
        <v>115</v>
      </c>
      <c r="B36" s="22" t="s">
        <v>116</v>
      </c>
      <c r="C36" s="51">
        <f>SUM(C9:C35)</f>
        <v>430859</v>
      </c>
      <c r="D36" s="51">
        <f>SUM(D9:D35)</f>
        <v>439305.937</v>
      </c>
      <c r="E36" s="51">
        <f>SUM(E9:E35)</f>
        <v>459797.592291</v>
      </c>
    </row>
    <row r="37" spans="1:5" ht="12.75" customHeight="1">
      <c r="A37" s="47" t="s">
        <v>117</v>
      </c>
      <c r="B37" s="49"/>
      <c r="C37" s="50"/>
      <c r="D37" s="50"/>
      <c r="E37" s="50"/>
    </row>
    <row r="38" spans="1:5" ht="12.75" customHeight="1">
      <c r="A38" s="24" t="s">
        <v>118</v>
      </c>
      <c r="B38" s="22" t="s">
        <v>119</v>
      </c>
      <c r="C38" s="50"/>
      <c r="D38" s="50"/>
      <c r="E38" s="50"/>
    </row>
    <row r="39" spans="1:5" ht="12.75" customHeight="1">
      <c r="A39" s="47" t="s">
        <v>120</v>
      </c>
      <c r="B39" s="49" t="s">
        <v>121</v>
      </c>
      <c r="C39" s="50">
        <v>169901</v>
      </c>
      <c r="D39" s="50">
        <f aca="true" t="shared" si="1" ref="D39:E43">C39*1.043</f>
        <v>177206.743</v>
      </c>
      <c r="E39" s="50">
        <f t="shared" si="1"/>
        <v>184826.63294899996</v>
      </c>
    </row>
    <row r="40" spans="1:5" ht="12.75" customHeight="1">
      <c r="A40" s="24" t="s">
        <v>122</v>
      </c>
      <c r="B40" s="49" t="s">
        <v>123</v>
      </c>
      <c r="C40" s="50">
        <v>43754</v>
      </c>
      <c r="D40" s="50">
        <f t="shared" si="1"/>
        <v>45635.422</v>
      </c>
      <c r="E40" s="50">
        <f t="shared" si="1"/>
        <v>47597.745145999994</v>
      </c>
    </row>
    <row r="41" spans="1:5" ht="12.75" customHeight="1">
      <c r="A41" s="47" t="s">
        <v>124</v>
      </c>
      <c r="B41" s="49" t="s">
        <v>125</v>
      </c>
      <c r="C41" s="50">
        <v>134174</v>
      </c>
      <c r="D41" s="50">
        <f t="shared" si="1"/>
        <v>139943.482</v>
      </c>
      <c r="E41" s="50">
        <f t="shared" si="1"/>
        <v>145961.05172599998</v>
      </c>
    </row>
    <row r="42" spans="1:5" ht="12.75" customHeight="1">
      <c r="A42" s="24" t="s">
        <v>126</v>
      </c>
      <c r="B42" s="49" t="s">
        <v>127</v>
      </c>
      <c r="C42" s="50">
        <v>8850</v>
      </c>
      <c r="D42" s="50">
        <f t="shared" si="1"/>
        <v>9230.55</v>
      </c>
      <c r="E42" s="50">
        <f t="shared" si="1"/>
        <v>9627.463649999998</v>
      </c>
    </row>
    <row r="43" spans="1:5" ht="12.75" customHeight="1">
      <c r="A43" s="47" t="s">
        <v>128</v>
      </c>
      <c r="B43" s="49" t="s">
        <v>129</v>
      </c>
      <c r="C43" s="50">
        <v>10480</v>
      </c>
      <c r="D43" s="50">
        <f t="shared" si="1"/>
        <v>10930.64</v>
      </c>
      <c r="E43" s="50">
        <f t="shared" si="1"/>
        <v>11400.657519999999</v>
      </c>
    </row>
    <row r="44" spans="1:5" ht="12.75" customHeight="1">
      <c r="A44" s="24" t="s">
        <v>130</v>
      </c>
      <c r="B44" s="22" t="s">
        <v>15</v>
      </c>
      <c r="C44" s="50"/>
      <c r="D44" s="50"/>
      <c r="E44" s="50"/>
    </row>
    <row r="45" spans="1:5" ht="12.75" customHeight="1">
      <c r="A45" s="47" t="s">
        <v>131</v>
      </c>
      <c r="B45" s="49" t="s">
        <v>132</v>
      </c>
      <c r="C45" s="50">
        <v>1000</v>
      </c>
      <c r="D45" s="50"/>
      <c r="E45" s="50"/>
    </row>
    <row r="46" spans="1:5" ht="12.75" customHeight="1">
      <c r="A46" s="24" t="s">
        <v>133</v>
      </c>
      <c r="B46" s="49" t="s">
        <v>134</v>
      </c>
      <c r="C46" s="50">
        <v>10200</v>
      </c>
      <c r="D46" s="50"/>
      <c r="E46" s="50"/>
    </row>
    <row r="47" spans="1:5" ht="12.75" customHeight="1">
      <c r="A47" s="47" t="s">
        <v>135</v>
      </c>
      <c r="B47" s="49" t="s">
        <v>136</v>
      </c>
      <c r="C47" s="50"/>
      <c r="D47" s="50"/>
      <c r="E47" s="50"/>
    </row>
    <row r="48" spans="1:5" ht="12.75" customHeight="1">
      <c r="A48" s="24" t="s">
        <v>137</v>
      </c>
      <c r="B48" s="49" t="s">
        <v>138</v>
      </c>
      <c r="C48" s="50"/>
      <c r="D48" s="50"/>
      <c r="E48" s="50"/>
    </row>
    <row r="49" spans="1:5" ht="12.75" customHeight="1">
      <c r="A49" s="47" t="s">
        <v>139</v>
      </c>
      <c r="B49" s="49" t="s">
        <v>140</v>
      </c>
      <c r="C49" s="50"/>
      <c r="D49" s="50"/>
      <c r="E49" s="50"/>
    </row>
    <row r="50" spans="1:5" ht="12.75" customHeight="1">
      <c r="A50" s="24" t="s">
        <v>141</v>
      </c>
      <c r="B50" s="49" t="s">
        <v>142</v>
      </c>
      <c r="C50" s="50"/>
      <c r="D50" s="50"/>
      <c r="E50" s="50"/>
    </row>
    <row r="51" spans="1:5" ht="12.75" customHeight="1">
      <c r="A51" s="47" t="s">
        <v>143</v>
      </c>
      <c r="B51" s="49" t="s">
        <v>144</v>
      </c>
      <c r="C51" s="50"/>
      <c r="D51" s="50"/>
      <c r="E51" s="50"/>
    </row>
    <row r="52" spans="1:5" ht="12.75" customHeight="1">
      <c r="A52" s="24" t="s">
        <v>145</v>
      </c>
      <c r="B52" s="49" t="s">
        <v>146</v>
      </c>
      <c r="C52" s="50"/>
      <c r="D52" s="50"/>
      <c r="E52" s="50"/>
    </row>
    <row r="53" spans="1:5" ht="12.75" customHeight="1">
      <c r="A53" s="47" t="s">
        <v>147</v>
      </c>
      <c r="B53" s="49" t="s">
        <v>148</v>
      </c>
      <c r="C53" s="50"/>
      <c r="D53" s="50"/>
      <c r="E53" s="50"/>
    </row>
    <row r="54" spans="1:5" ht="12.75" customHeight="1">
      <c r="A54" s="24" t="s">
        <v>149</v>
      </c>
      <c r="B54" s="22" t="s">
        <v>150</v>
      </c>
      <c r="C54" s="50">
        <v>52500</v>
      </c>
      <c r="D54" s="50">
        <v>56359</v>
      </c>
      <c r="E54" s="50">
        <v>60384</v>
      </c>
    </row>
    <row r="55" spans="1:5" ht="12.75" customHeight="1">
      <c r="A55" s="47" t="s">
        <v>151</v>
      </c>
      <c r="B55" s="22" t="s">
        <v>152</v>
      </c>
      <c r="C55" s="51">
        <f>SUM(C39:C54)</f>
        <v>430859</v>
      </c>
      <c r="D55" s="51">
        <f>SUM(D39:D54)</f>
        <v>439305.837</v>
      </c>
      <c r="E55" s="51">
        <f>SUM(E39:E54)</f>
        <v>459797.55099099997</v>
      </c>
    </row>
    <row r="57" spans="4:5" ht="12.75" customHeight="1">
      <c r="D57" s="21">
        <f>D55-D36</f>
        <v>-0.09999999997671694</v>
      </c>
      <c r="E57" s="21">
        <f>E55-E36</f>
        <v>-0.04130000004079193</v>
      </c>
    </row>
    <row r="59" ht="12.75" customHeight="1">
      <c r="C59" s="18">
        <v>430859</v>
      </c>
    </row>
    <row r="60" ht="12.75" customHeight="1">
      <c r="C60" s="21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63"/>
  <sheetViews>
    <sheetView showGridLines="0" zoomScaleSheetLayoutView="100" workbookViewId="0" topLeftCell="A1">
      <selection activeCell="A3" sqref="A3:H3"/>
    </sheetView>
  </sheetViews>
  <sheetFormatPr defaultColWidth="11.7109375" defaultRowHeight="12.75" customHeight="1"/>
  <cols>
    <col min="1" max="2" width="3.8515625" style="5" customWidth="1"/>
    <col min="3" max="3" width="60.140625" style="5" customWidth="1"/>
    <col min="4" max="4" width="21.7109375" style="52" customWidth="1"/>
    <col min="5" max="8" width="21.57421875" style="52" customWidth="1"/>
    <col min="9" max="16384" width="11.7109375" style="5" customWidth="1"/>
  </cols>
  <sheetData>
    <row r="1" spans="1:8" ht="12.75" customHeight="1">
      <c r="A1" s="1660" t="s">
        <v>153</v>
      </c>
      <c r="B1" s="1660"/>
      <c r="C1" s="1660"/>
      <c r="D1" s="1660"/>
      <c r="E1" s="1660"/>
      <c r="F1" s="1660"/>
      <c r="G1" s="1660"/>
      <c r="H1" s="1660"/>
    </row>
    <row r="2" spans="1:8" ht="12.75" customHeight="1">
      <c r="A2" s="1659" t="s">
        <v>1181</v>
      </c>
      <c r="B2" s="1659"/>
      <c r="C2" s="1659"/>
      <c r="D2" s="1659"/>
      <c r="E2" s="1659"/>
      <c r="F2" s="1659"/>
      <c r="G2" s="1659"/>
      <c r="H2" s="1659"/>
    </row>
    <row r="3" spans="1:8" ht="12.75" customHeight="1">
      <c r="A3" s="1689" t="s">
        <v>1182</v>
      </c>
      <c r="B3" s="1689"/>
      <c r="C3" s="1689"/>
      <c r="D3" s="1689"/>
      <c r="E3" s="1689"/>
      <c r="F3" s="1689"/>
      <c r="G3" s="1689"/>
      <c r="H3" s="1689"/>
    </row>
    <row r="4" spans="1:8" ht="26.25" customHeight="1">
      <c r="A4" s="1658" t="s">
        <v>2</v>
      </c>
      <c r="B4" s="1658"/>
      <c r="C4" s="1658"/>
      <c r="D4" s="1658"/>
      <c r="E4" s="1658"/>
      <c r="F4" s="1658"/>
      <c r="G4" s="1658"/>
      <c r="H4" s="1658"/>
    </row>
    <row r="5" spans="1:8" ht="12.75" customHeight="1">
      <c r="A5" s="1658" t="s">
        <v>154</v>
      </c>
      <c r="B5" s="1658"/>
      <c r="C5" s="1658"/>
      <c r="D5" s="1658"/>
      <c r="E5" s="1658"/>
      <c r="F5" s="1658"/>
      <c r="G5" s="1658"/>
      <c r="H5" s="1658"/>
    </row>
    <row r="6" spans="1:8" ht="12.75" customHeight="1">
      <c r="A6" s="2"/>
      <c r="B6" s="2"/>
      <c r="C6" s="2"/>
      <c r="D6" s="2"/>
      <c r="E6" s="2"/>
      <c r="F6" s="2"/>
      <c r="G6" s="2"/>
      <c r="H6" s="2"/>
    </row>
    <row r="7" spans="1:8" ht="12.75" customHeight="1" thickBot="1">
      <c r="A7" s="2"/>
      <c r="B7" s="2"/>
      <c r="C7" s="2"/>
      <c r="D7" s="1636"/>
      <c r="E7" s="1636"/>
      <c r="F7" s="1636"/>
      <c r="G7" s="1636"/>
      <c r="H7" s="1636" t="s">
        <v>214</v>
      </c>
    </row>
    <row r="8" spans="1:8" ht="46.5" customHeight="1" thickBot="1">
      <c r="A8" s="1663" t="s">
        <v>156</v>
      </c>
      <c r="B8" s="1664"/>
      <c r="C8" s="1598" t="s">
        <v>157</v>
      </c>
      <c r="D8" s="1637" t="s">
        <v>1078</v>
      </c>
      <c r="E8" s="1637" t="s">
        <v>997</v>
      </c>
      <c r="F8" s="1637" t="s">
        <v>1139</v>
      </c>
      <c r="G8" s="1637" t="s">
        <v>1141</v>
      </c>
      <c r="H8" s="381" t="s">
        <v>1164</v>
      </c>
    </row>
    <row r="9" spans="1:8" ht="12.75" customHeight="1" thickBot="1">
      <c r="A9" s="1665"/>
      <c r="B9" s="1666"/>
      <c r="C9" s="382" t="s">
        <v>158</v>
      </c>
      <c r="D9" s="1638" t="s">
        <v>159</v>
      </c>
      <c r="E9" s="1638" t="s">
        <v>160</v>
      </c>
      <c r="F9" s="1638" t="s">
        <v>161</v>
      </c>
      <c r="G9" s="1638" t="s">
        <v>462</v>
      </c>
      <c r="H9" s="383" t="s">
        <v>482</v>
      </c>
    </row>
    <row r="10" spans="1:8" s="57" customFormat="1" ht="12.75" customHeight="1">
      <c r="A10" s="54" t="s">
        <v>38</v>
      </c>
      <c r="B10" s="55"/>
      <c r="C10" s="56" t="s">
        <v>162</v>
      </c>
      <c r="D10" s="244">
        <f>SUM('19 önkormányzat'!E15)</f>
        <v>204138471</v>
      </c>
      <c r="E10" s="244">
        <f>SUM('19 önkormányzat'!F15)</f>
        <v>197827616</v>
      </c>
      <c r="F10" s="244">
        <f>SUM('19 önkormányzat'!G15)</f>
        <v>197827616</v>
      </c>
      <c r="G10" s="244">
        <f>SUM('19 önkormányzat'!H15)</f>
        <v>205286816</v>
      </c>
      <c r="H10" s="244">
        <f>SUM('19 önkormányzat'!I15)</f>
        <v>205286816</v>
      </c>
    </row>
    <row r="11" spans="1:8" s="63" customFormat="1" ht="12.75" customHeight="1">
      <c r="A11" s="58" t="s">
        <v>40</v>
      </c>
      <c r="B11" s="59"/>
      <c r="C11" s="60" t="s">
        <v>163</v>
      </c>
      <c r="D11" s="244">
        <f>SUM('19 önkormányzat'!E16)+'ÖNK ÖSSZESITŐ'!E30</f>
        <v>7833763</v>
      </c>
      <c r="E11" s="244">
        <f>SUM('19 önkormányzat'!F16)+'ÖNK ÖSSZESITŐ'!F30</f>
        <v>6848850</v>
      </c>
      <c r="F11" s="244">
        <f>SUM('19 önkormányzat'!G16)+'ÖNK ÖSSZESITŐ'!G30</f>
        <v>6848850</v>
      </c>
      <c r="G11" s="244">
        <f>SUM('19 önkormányzat'!H16)+'ÖNK ÖSSZESITŐ'!H30</f>
        <v>13257607</v>
      </c>
      <c r="H11" s="244">
        <f>SUM('19 önkormányzat'!I16)+'ÖNK ÖSSZESITŐ'!I30+'17. Hivatal'!I17+'15. Óvoda'!I9</f>
        <v>14503878</v>
      </c>
    </row>
    <row r="12" spans="1:8" s="68" customFormat="1" ht="12.75" customHeight="1">
      <c r="A12" s="64" t="s">
        <v>47</v>
      </c>
      <c r="B12" s="65" t="s">
        <v>164</v>
      </c>
      <c r="C12" s="9" t="s">
        <v>165</v>
      </c>
      <c r="D12" s="66">
        <f>SUM(D10:D11)</f>
        <v>211972234</v>
      </c>
      <c r="E12" s="66">
        <f>SUM(E10:E11)</f>
        <v>204676466</v>
      </c>
      <c r="F12" s="66">
        <f>SUM(F10:F11)</f>
        <v>204676466</v>
      </c>
      <c r="G12" s="66">
        <f>SUM(G10:G11)</f>
        <v>218544423</v>
      </c>
      <c r="H12" s="66">
        <f>SUM(H10:H11)</f>
        <v>219790694</v>
      </c>
    </row>
    <row r="13" spans="1:8" s="68" customFormat="1" ht="12.75" customHeight="1">
      <c r="A13" s="64" t="s">
        <v>49</v>
      </c>
      <c r="B13" s="65" t="s">
        <v>166</v>
      </c>
      <c r="C13" s="9" t="s">
        <v>167</v>
      </c>
      <c r="D13" s="67">
        <f>SUM('ÖNK ÖSSZESITŐ'!E37)</f>
        <v>14182798</v>
      </c>
      <c r="E13" s="67">
        <f>SUM('ÖNK ÖSSZESITŐ'!F37)</f>
        <v>0</v>
      </c>
      <c r="F13" s="67">
        <f>SUM('ÖNK ÖSSZESITŐ'!G37)</f>
        <v>0</v>
      </c>
      <c r="G13" s="67">
        <f>SUM('ÖNK ÖSSZESITŐ'!H37)</f>
        <v>0</v>
      </c>
      <c r="H13" s="67">
        <f>SUM('ÖNK ÖSSZESITŐ'!I37)</f>
        <v>0</v>
      </c>
    </row>
    <row r="14" spans="1:8" s="63" customFormat="1" ht="12.75" customHeight="1">
      <c r="A14" s="58" t="s">
        <v>51</v>
      </c>
      <c r="B14" s="59"/>
      <c r="C14" s="60" t="s">
        <v>168</v>
      </c>
      <c r="D14" s="61">
        <f>SUM('19 önkormányzat'!E26)</f>
        <v>8127945</v>
      </c>
      <c r="E14" s="61">
        <f>SUM('19 önkormányzat'!F26)</f>
        <v>7013063</v>
      </c>
      <c r="F14" s="61">
        <f>SUM('19 önkormányzat'!G26)</f>
        <v>7013063</v>
      </c>
      <c r="G14" s="61">
        <f>SUM('19 önkormányzat'!H26)</f>
        <v>7013063</v>
      </c>
      <c r="H14" s="61">
        <f>SUM('19 önkormányzat'!I26)</f>
        <v>7013063</v>
      </c>
    </row>
    <row r="15" spans="1:8" s="63" customFormat="1" ht="23.25" customHeight="1">
      <c r="A15" s="58" t="s">
        <v>53</v>
      </c>
      <c r="B15" s="59"/>
      <c r="C15" s="60" t="s">
        <v>169</v>
      </c>
      <c r="D15" s="61">
        <f>SUM('19 önkormányzat'!E27)</f>
        <v>164505470</v>
      </c>
      <c r="E15" s="61">
        <f>SUM('19 önkormányzat'!F27)</f>
        <v>150581381</v>
      </c>
      <c r="F15" s="61">
        <f>SUM('19 önkormányzat'!G27)</f>
        <v>150581381</v>
      </c>
      <c r="G15" s="61">
        <f>SUM('19 önkormányzat'!H27)</f>
        <v>150581381</v>
      </c>
      <c r="H15" s="61">
        <f>SUM('19 önkormányzat'!I27)</f>
        <v>150581381</v>
      </c>
    </row>
    <row r="16" spans="1:8" s="63" customFormat="1" ht="12.75" customHeight="1">
      <c r="A16" s="58" t="s">
        <v>55</v>
      </c>
      <c r="B16" s="59"/>
      <c r="C16" s="60" t="s">
        <v>170</v>
      </c>
      <c r="D16" s="61">
        <f>SUM('19 önkormányzat'!E28)</f>
        <v>12680105</v>
      </c>
      <c r="E16" s="61">
        <f>SUM('19 önkormányzat'!F28)</f>
        <v>10353962</v>
      </c>
      <c r="F16" s="61">
        <f>SUM('19 önkormányzat'!G28)</f>
        <v>10353962</v>
      </c>
      <c r="G16" s="61">
        <f>SUM('19 önkormányzat'!H28)</f>
        <v>10353962</v>
      </c>
      <c r="H16" s="61">
        <f>SUM('19 önkormányzat'!I28)</f>
        <v>10353962</v>
      </c>
    </row>
    <row r="17" spans="1:8" s="63" customFormat="1" ht="12.75" customHeight="1">
      <c r="A17" s="58" t="s">
        <v>57</v>
      </c>
      <c r="B17" s="59"/>
      <c r="C17" s="60" t="s">
        <v>171</v>
      </c>
      <c r="D17" s="61">
        <f>SUM('19 önkormányzat'!E29)</f>
        <v>0</v>
      </c>
      <c r="E17" s="61">
        <f>SUM('19 önkormányzat'!F29)</f>
        <v>0</v>
      </c>
      <c r="F17" s="61">
        <f>SUM('19 önkormányzat'!G29)</f>
        <v>0</v>
      </c>
      <c r="G17" s="61">
        <f>SUM('19 önkormányzat'!H29)</f>
        <v>0</v>
      </c>
      <c r="H17" s="61">
        <f>SUM('19 önkormányzat'!I29)</f>
        <v>0</v>
      </c>
    </row>
    <row r="18" spans="1:8" s="63" customFormat="1" ht="12.75" customHeight="1">
      <c r="A18" s="58" t="s">
        <v>86</v>
      </c>
      <c r="B18" s="59"/>
      <c r="C18" s="60" t="s">
        <v>172</v>
      </c>
      <c r="D18" s="61">
        <f>SUM('19 önkormányzat'!E30)</f>
        <v>1362640</v>
      </c>
      <c r="E18" s="61">
        <f>SUM('19 önkormányzat'!F30)</f>
        <v>502981</v>
      </c>
      <c r="F18" s="61">
        <f>SUM('19 önkormányzat'!G30)</f>
        <v>502981</v>
      </c>
      <c r="G18" s="61">
        <f>SUM('19 önkormányzat'!H30)</f>
        <v>502981</v>
      </c>
      <c r="H18" s="61">
        <f>SUM('19 önkormányzat'!I30)</f>
        <v>502981</v>
      </c>
    </row>
    <row r="19" spans="1:8" s="68" customFormat="1" ht="12.75" customHeight="1">
      <c r="A19" s="64" t="s">
        <v>59</v>
      </c>
      <c r="B19" s="65" t="s">
        <v>173</v>
      </c>
      <c r="C19" s="9" t="s">
        <v>174</v>
      </c>
      <c r="D19" s="699">
        <f>SUM(D14:D18)</f>
        <v>186676160</v>
      </c>
      <c r="E19" s="699">
        <f>SUM(E14:E18)</f>
        <v>168451387</v>
      </c>
      <c r="F19" s="699">
        <f>SUM(F14:F18)</f>
        <v>168451387</v>
      </c>
      <c r="G19" s="699">
        <f>SUM(G14:G18)</f>
        <v>168451387</v>
      </c>
      <c r="H19" s="699">
        <f>SUM(H14:H18)</f>
        <v>168451387</v>
      </c>
    </row>
    <row r="20" spans="1:8" s="63" customFormat="1" ht="12.75" customHeight="1">
      <c r="A20" s="58" t="s">
        <v>61</v>
      </c>
      <c r="B20" s="59"/>
      <c r="C20" s="60" t="s">
        <v>175</v>
      </c>
      <c r="D20" s="772">
        <f>SUM('17. Hivatal'!E11+'18. VÜKI'!E13+'19 önkormányzat'!E32)</f>
        <v>3702751</v>
      </c>
      <c r="E20" s="772">
        <f>SUM('17. Hivatal'!F11+'18. VÜKI'!F13+'19 önkormányzat'!F32)</f>
        <v>3707228</v>
      </c>
      <c r="F20" s="772">
        <f>SUM('17. Hivatal'!G11+'18. VÜKI'!G13+'19 önkormányzat'!G32)</f>
        <v>3707228</v>
      </c>
      <c r="G20" s="772">
        <f>SUM('17. Hivatal'!H11+'18. VÜKI'!H13+'19 önkormányzat'!H32)</f>
        <v>3701767</v>
      </c>
      <c r="H20" s="772">
        <f>SUM('17. Hivatal'!I11+'18. VÜKI'!I13+'19 önkormányzat'!I32)</f>
        <v>3701767</v>
      </c>
    </row>
    <row r="21" spans="1:8" s="63" customFormat="1" ht="12.75" customHeight="1">
      <c r="A21" s="58" t="s">
        <v>63</v>
      </c>
      <c r="B21" s="59"/>
      <c r="C21" s="60" t="s">
        <v>176</v>
      </c>
      <c r="D21" s="772">
        <f>SUM('17. Hivatal'!E12+'19 önkormányzat'!E33)</f>
        <v>4803116</v>
      </c>
      <c r="E21" s="772">
        <f>SUM('17. Hivatal'!F12+'19 önkormányzat'!F33)</f>
        <v>4780000</v>
      </c>
      <c r="F21" s="772">
        <f>SUM('17. Hivatal'!G12+'19 önkormányzat'!G33)</f>
        <v>7997231</v>
      </c>
      <c r="G21" s="772">
        <f>SUM('17. Hivatal'!H12+'19 önkormányzat'!H33)+'18. VÜKI'!H14</f>
        <v>8002692</v>
      </c>
      <c r="H21" s="772">
        <f>SUM('17. Hivatal'!I12+'19 önkormányzat'!I33)+'18. VÜKI'!I14</f>
        <v>8236991</v>
      </c>
    </row>
    <row r="22" spans="1:8" s="63" customFormat="1" ht="12.75" customHeight="1">
      <c r="A22" s="69" t="s">
        <v>65</v>
      </c>
      <c r="B22" s="70"/>
      <c r="C22" s="60" t="s">
        <v>177</v>
      </c>
      <c r="D22" s="772">
        <f>SUM('16. Műv. ház'!E10+'18. VÜKI'!E15+'19 önkormányzat'!E34)</f>
        <v>3120519</v>
      </c>
      <c r="E22" s="772">
        <f>SUM('16. Műv. ház'!F10+'18. VÜKI'!F15+'19 önkormányzat'!F34)</f>
        <v>3731000</v>
      </c>
      <c r="F22" s="772">
        <f>SUM('16. Műv. ház'!G10+'18. VÜKI'!G15+'19 önkormányzat'!G34)</f>
        <v>3731000</v>
      </c>
      <c r="G22" s="772">
        <f>SUM('16. Műv. ház'!H10+'18. VÜKI'!H15+'19 önkormányzat'!H34)</f>
        <v>3731000</v>
      </c>
      <c r="H22" s="772">
        <f>SUM('16. Műv. ház'!I10+'18. VÜKI'!I15+'19 önkormányzat'!I34)</f>
        <v>3731000</v>
      </c>
    </row>
    <row r="23" spans="1:8" s="63" customFormat="1" ht="12.75" customHeight="1">
      <c r="A23" s="58" t="s">
        <v>92</v>
      </c>
      <c r="B23" s="59"/>
      <c r="C23" s="60" t="s">
        <v>178</v>
      </c>
      <c r="D23" s="772">
        <f>SUM('15. Óvoda'!E11+'15. Óvoda'!E12+'18. VÜKI'!E16)</f>
        <v>19402162</v>
      </c>
      <c r="E23" s="772">
        <f>SUM('15. Óvoda'!F11+'15. Óvoda'!F12+'18. VÜKI'!F16)</f>
        <v>19449555</v>
      </c>
      <c r="F23" s="772">
        <f>SUM('15. Óvoda'!G11+'15. Óvoda'!G12+'18. VÜKI'!G16)</f>
        <v>19449555</v>
      </c>
      <c r="G23" s="772">
        <f>SUM('15. Óvoda'!H11+'15. Óvoda'!H12+'18. VÜKI'!H16)</f>
        <v>19449555</v>
      </c>
      <c r="H23" s="772">
        <f>SUM('15. Óvoda'!I11+'15. Óvoda'!I12+'18. VÜKI'!I16)</f>
        <v>19449555</v>
      </c>
    </row>
    <row r="24" spans="1:8" s="63" customFormat="1" ht="12.75" customHeight="1">
      <c r="A24" s="58" t="s">
        <v>66</v>
      </c>
      <c r="B24" s="59"/>
      <c r="C24" s="60" t="s">
        <v>179</v>
      </c>
      <c r="D24" s="772">
        <f>SUM('15. Óvoda'!E13+'17. Hivatal'!E13+'18. VÜKI'!E17+'19 önkormányzat'!E35)</f>
        <v>11551896</v>
      </c>
      <c r="E24" s="772">
        <f>SUM('15. Óvoda'!F13+'17. Hivatal'!F13+'18. VÜKI'!F17+'19 önkormányzat'!F35)</f>
        <v>7060000</v>
      </c>
      <c r="F24" s="772">
        <f>SUM('15. Óvoda'!G13+'17. Hivatal'!G13+'18. VÜKI'!G17+'19 önkormányzat'!G35)</f>
        <v>7060000</v>
      </c>
      <c r="G24" s="772">
        <f>SUM('15. Óvoda'!H13+'17. Hivatal'!H13+'18. VÜKI'!H17+'19 önkormányzat'!H35)</f>
        <v>11560000</v>
      </c>
      <c r="H24" s="772">
        <f>SUM('15. Óvoda'!I13+'17. Hivatal'!I13+'18. VÜKI'!I17+'19 önkormányzat'!I35)</f>
        <v>15420000</v>
      </c>
    </row>
    <row r="25" spans="1:8" s="63" customFormat="1" ht="12.75" customHeight="1">
      <c r="A25" s="63" t="s">
        <v>67</v>
      </c>
      <c r="B25" s="59"/>
      <c r="C25" s="712" t="s">
        <v>709</v>
      </c>
      <c r="D25" s="772">
        <f>SUM('15. Óvoda'!E16+'17. Hivatal'!E16)</f>
        <v>818000</v>
      </c>
      <c r="E25" s="772">
        <f>SUM('15. Óvoda'!F16+'17. Hivatal'!F16)</f>
        <v>0</v>
      </c>
      <c r="F25" s="772">
        <f>SUM('15. Óvoda'!G16+'17. Hivatal'!G16)</f>
        <v>0</v>
      </c>
      <c r="G25" s="772">
        <f>SUM('15. Óvoda'!H16+'17. Hivatal'!H16)</f>
        <v>0</v>
      </c>
      <c r="H25" s="772">
        <f>SUM('15. Óvoda'!I16+'17. Hivatal'!I16)</f>
        <v>292000</v>
      </c>
    </row>
    <row r="26" spans="1:8" s="63" customFormat="1" ht="12.75" customHeight="1">
      <c r="A26" s="58" t="s">
        <v>68</v>
      </c>
      <c r="B26" s="59"/>
      <c r="C26" s="60" t="s">
        <v>180</v>
      </c>
      <c r="D26" s="772">
        <v>554</v>
      </c>
      <c r="E26" s="772">
        <f>SUM('15. Óvoda'!F14+'16. Műv. ház'!F11+'17. Hivatal'!F14+'18. VÜKI'!F19+'19 önkormányzat'!F37)</f>
        <v>0</v>
      </c>
      <c r="F26" s="772">
        <f>SUM('15. Óvoda'!G14+'16. Műv. ház'!G11+'17. Hivatal'!G14+'18. VÜKI'!G19+'19 önkormányzat'!G37)</f>
        <v>0</v>
      </c>
      <c r="G26" s="772">
        <f>SUM('15. Óvoda'!H14+'16. Műv. ház'!H11+'17. Hivatal'!H14+'18. VÜKI'!H19+'19 önkormányzat'!H37)</f>
        <v>0</v>
      </c>
      <c r="H26" s="772">
        <f>SUM('15. Óvoda'!I14+'16. Műv. ház'!I11+'17. Hivatal'!I14+'18. VÜKI'!I19+'19 önkormányzat'!I37)</f>
        <v>5</v>
      </c>
    </row>
    <row r="27" spans="1:8" s="63" customFormat="1" ht="12.75" customHeight="1">
      <c r="A27" s="58" t="s">
        <v>70</v>
      </c>
      <c r="B27" s="59"/>
      <c r="C27" s="60" t="s">
        <v>1093</v>
      </c>
      <c r="D27" s="773">
        <f>SUM('19 önkormányzat'!E38)</f>
        <v>660167</v>
      </c>
      <c r="E27" s="773">
        <v>0</v>
      </c>
      <c r="F27" s="773">
        <v>0</v>
      </c>
      <c r="G27" s="773">
        <v>0</v>
      </c>
      <c r="H27" s="773">
        <v>113750</v>
      </c>
    </row>
    <row r="28" spans="1:8" s="63" customFormat="1" ht="12.75" customHeight="1">
      <c r="A28" s="58" t="s">
        <v>97</v>
      </c>
      <c r="B28" s="59"/>
      <c r="C28" s="60" t="s">
        <v>181</v>
      </c>
      <c r="D28" s="772">
        <v>333552</v>
      </c>
      <c r="E28" s="772">
        <f>SUM('15. Óvoda'!F15+'16. Műv. ház'!F12+'17. Hivatal'!F15+'18. VÜKI'!F18+'19 önkormányzat'!F39)</f>
        <v>0</v>
      </c>
      <c r="F28" s="772">
        <f>SUM('15. Óvoda'!G15+'16. Műv. ház'!G12+'17. Hivatal'!G15+'18. VÜKI'!G18+'19 önkormányzat'!G39)</f>
        <v>0</v>
      </c>
      <c r="G28" s="772">
        <f>SUM('15. Óvoda'!H15+'16. Műv. ház'!H12+'17. Hivatal'!H15+'18. VÜKI'!H18+'19 önkormányzat'!H39)</f>
        <v>25446</v>
      </c>
      <c r="H28" s="772">
        <f>SUM('15. Óvoda'!I15+'16. Műv. ház'!I12+'17. Hivatal'!I15+'18. VÜKI'!I18+'19 önkormányzat'!I39)</f>
        <v>2442797</v>
      </c>
    </row>
    <row r="29" spans="1:8" s="68" customFormat="1" ht="12.75" customHeight="1">
      <c r="A29" s="64" t="s">
        <v>99</v>
      </c>
      <c r="B29" s="9" t="s">
        <v>182</v>
      </c>
      <c r="C29" s="9" t="s">
        <v>78</v>
      </c>
      <c r="D29" s="699">
        <f>SUM(D20:D28)</f>
        <v>44392717</v>
      </c>
      <c r="E29" s="699">
        <f>SUM(E20:E28)</f>
        <v>38727783</v>
      </c>
      <c r="F29" s="699">
        <f>SUM(F20:F28)</f>
        <v>41945014</v>
      </c>
      <c r="G29" s="699">
        <f>SUM(G20:G28)</f>
        <v>46470460</v>
      </c>
      <c r="H29" s="699">
        <f>SUM(H20:H28)</f>
        <v>53387865</v>
      </c>
    </row>
    <row r="30" spans="1:8" s="68" customFormat="1" ht="12.75" customHeight="1">
      <c r="A30" s="64" t="s">
        <v>101</v>
      </c>
      <c r="B30" s="9" t="s">
        <v>183</v>
      </c>
      <c r="C30" s="9" t="s">
        <v>13</v>
      </c>
      <c r="D30" s="699">
        <f>SUM('ÖNK ÖSSZESITŐ'!E40)</f>
        <v>15566246</v>
      </c>
      <c r="E30" s="699">
        <f>SUM('ÖNK ÖSSZESITŐ'!F40)</f>
        <v>24150568</v>
      </c>
      <c r="F30" s="699">
        <f>SUM('ÖNK ÖSSZESITŐ'!G40)</f>
        <v>24150568</v>
      </c>
      <c r="G30" s="699">
        <f>SUM('ÖNK ÖSSZESITŐ'!H40)</f>
        <v>24152932</v>
      </c>
      <c r="H30" s="699">
        <f>SUM('ÖNK ÖSSZESITŐ'!I40)</f>
        <v>38152932</v>
      </c>
    </row>
    <row r="31" spans="1:8" s="68" customFormat="1" ht="12.75" customHeight="1">
      <c r="A31" s="64" t="s">
        <v>103</v>
      </c>
      <c r="B31" s="9" t="s">
        <v>184</v>
      </c>
      <c r="C31" s="9" t="s">
        <v>185</v>
      </c>
      <c r="D31" s="699">
        <v>2293681</v>
      </c>
      <c r="E31" s="699">
        <v>78000</v>
      </c>
      <c r="F31" s="699">
        <v>78000</v>
      </c>
      <c r="G31" s="699">
        <f>SUM('15. Óvoda'!H17+'19 önkormányzat'!H46)</f>
        <v>288000</v>
      </c>
      <c r="H31" s="699">
        <f>SUM('15. Óvoda'!I17+'19 önkormányzat'!I46)</f>
        <v>307305</v>
      </c>
    </row>
    <row r="32" spans="1:8" s="68" customFormat="1" ht="12.75" customHeight="1" thickBot="1">
      <c r="A32" s="64" t="s">
        <v>105</v>
      </c>
      <c r="B32" s="9" t="s">
        <v>186</v>
      </c>
      <c r="C32" s="9" t="s">
        <v>187</v>
      </c>
      <c r="D32" s="699">
        <f>SUM('ÖNK ÖSSZESITŐ'!E42)</f>
        <v>3200000</v>
      </c>
      <c r="E32" s="699">
        <v>0</v>
      </c>
      <c r="F32" s="699">
        <v>0</v>
      </c>
      <c r="G32" s="699">
        <f>SUM('15. Óvoda'!H18)</f>
        <v>242955</v>
      </c>
      <c r="H32" s="699">
        <f>SUM('15. Óvoda'!I18)</f>
        <v>435505</v>
      </c>
    </row>
    <row r="33" spans="1:8" s="71" customFormat="1" ht="19.5" customHeight="1" thickBot="1">
      <c r="A33" s="606" t="s">
        <v>107</v>
      </c>
      <c r="B33" s="607"/>
      <c r="C33" s="608" t="s">
        <v>188</v>
      </c>
      <c r="D33" s="609">
        <f>SUM(D12+D13+D19+D29+D30+D31+D32)</f>
        <v>478283836</v>
      </c>
      <c r="E33" s="609">
        <f>SUM(E12+E13+E19+E29+E30+E31+E32)</f>
        <v>436084204</v>
      </c>
      <c r="F33" s="609">
        <f>SUM(F12+F13+F19+F29+F30+F31+F32)</f>
        <v>439301435</v>
      </c>
      <c r="G33" s="609">
        <f>SUM(G12+G13+G19+G29+G30+G31+G32)</f>
        <v>458150157</v>
      </c>
      <c r="H33" s="609">
        <f>SUM(H12+H13+H19+H29+H30+H31+H32)</f>
        <v>480525688</v>
      </c>
    </row>
    <row r="34" spans="1:8" ht="12.75" customHeight="1">
      <c r="A34" s="610" t="s">
        <v>109</v>
      </c>
      <c r="B34" s="611"/>
      <c r="C34" s="612"/>
      <c r="D34" s="709"/>
      <c r="E34" s="709"/>
      <c r="F34" s="709"/>
      <c r="G34" s="709"/>
      <c r="H34" s="709"/>
    </row>
    <row r="35" spans="1:8" ht="12.75" customHeight="1">
      <c r="A35" s="485" t="s">
        <v>111</v>
      </c>
      <c r="B35" s="420" t="s">
        <v>189</v>
      </c>
      <c r="C35" s="421" t="s">
        <v>190</v>
      </c>
      <c r="D35" s="532">
        <f>SUM('ÖNK ÖSSZESITŐ'!F43)</f>
        <v>0</v>
      </c>
      <c r="E35" s="532">
        <f>SUM('ÖNK ÖSSZESITŐ'!G43)</f>
        <v>0</v>
      </c>
      <c r="F35" s="532">
        <f>SUM('ÖNK ÖSSZESITŐ'!H43)</f>
        <v>0</v>
      </c>
      <c r="G35" s="532">
        <f>SUM('ÖNK ÖSSZESITŐ'!I43)</f>
        <v>0</v>
      </c>
      <c r="H35" s="532">
        <f>SUM('ÖNK ÖSSZESITŐ'!J43)</f>
        <v>0</v>
      </c>
    </row>
    <row r="36" spans="1:8" s="68" customFormat="1" ht="12.75" customHeight="1">
      <c r="A36" s="613" t="s">
        <v>113</v>
      </c>
      <c r="B36" s="420" t="s">
        <v>191</v>
      </c>
      <c r="C36" s="421" t="s">
        <v>192</v>
      </c>
      <c r="D36" s="532">
        <v>729615835</v>
      </c>
      <c r="E36" s="532">
        <f>SUM('ÖNK ÖSSZESITŐ'!F16+'ÖNK ÖSSZESITŐ'!F21+'ÖNK ÖSSZESITŐ'!F27+'ÖNK ÖSSZESITŐ'!F33+'ÖNK ÖSSZESITŐ'!F44)</f>
        <v>656755323</v>
      </c>
      <c r="F36" s="532">
        <f>SUM('ÖNK ÖSSZESITŐ'!G16+'ÖNK ÖSSZESITŐ'!G21+'ÖNK ÖSSZESITŐ'!G27+'ÖNK ÖSSZESITŐ'!G33+'ÖNK ÖSSZESITŐ'!G44)</f>
        <v>653538092</v>
      </c>
      <c r="G36" s="532">
        <f>SUM('ÖNK ÖSSZESITŐ'!H16+'ÖNK ÖSSZESITŐ'!H21+'ÖNK ÖSSZESITŐ'!H27+'ÖNK ÖSSZESITŐ'!H33+'ÖNK ÖSSZESITŐ'!H44)</f>
        <v>653538092</v>
      </c>
      <c r="H36" s="532">
        <f>SUM('ÖNK ÖSSZESITŐ'!I16+'ÖNK ÖSSZESITŐ'!I21+'ÖNK ÖSSZESITŐ'!I27+'ÖNK ÖSSZESITŐ'!I33+'ÖNK ÖSSZESITŐ'!I44)</f>
        <v>653538092</v>
      </c>
    </row>
    <row r="37" spans="1:8" s="63" customFormat="1" ht="12.75" customHeight="1">
      <c r="A37" s="614" t="s">
        <v>115</v>
      </c>
      <c r="B37" s="533"/>
      <c r="C37" s="338" t="s">
        <v>193</v>
      </c>
      <c r="D37" s="534">
        <v>608262692</v>
      </c>
      <c r="E37" s="534">
        <v>563685297</v>
      </c>
      <c r="F37" s="534">
        <v>563685297</v>
      </c>
      <c r="G37" s="534">
        <v>569877496</v>
      </c>
      <c r="H37" s="534">
        <v>568450667</v>
      </c>
    </row>
    <row r="38" spans="1:8" s="63" customFormat="1" ht="12.75" customHeight="1">
      <c r="A38" s="615" t="s">
        <v>117</v>
      </c>
      <c r="B38" s="533"/>
      <c r="C38" s="338" t="s">
        <v>194</v>
      </c>
      <c r="D38" s="461">
        <v>121353143</v>
      </c>
      <c r="E38" s="461">
        <v>93070026</v>
      </c>
      <c r="F38" s="461">
        <v>89852795</v>
      </c>
      <c r="G38" s="461">
        <v>84122268</v>
      </c>
      <c r="H38" s="461">
        <v>85087425</v>
      </c>
    </row>
    <row r="39" spans="1:8" s="63" customFormat="1" ht="12.75" customHeight="1">
      <c r="A39" s="616" t="s">
        <v>118</v>
      </c>
      <c r="B39" s="420" t="s">
        <v>195</v>
      </c>
      <c r="C39" s="421" t="s">
        <v>196</v>
      </c>
      <c r="D39" s="461">
        <v>9417924</v>
      </c>
      <c r="E39" s="461">
        <f>SUM('ÖNK ÖSSZESITŐ'!F45)</f>
        <v>7035063</v>
      </c>
      <c r="F39" s="461">
        <f>SUM('ÖNK ÖSSZESITŐ'!G45)</f>
        <v>7035063</v>
      </c>
      <c r="G39" s="461">
        <f>SUM('ÖNK ÖSSZESITŐ'!H45)</f>
        <v>7035063</v>
      </c>
      <c r="H39" s="461">
        <f>SUM('ÖNK ÖSSZESITŐ'!I45)</f>
        <v>7035063</v>
      </c>
    </row>
    <row r="40" spans="1:8" s="68" customFormat="1" ht="28.5" customHeight="1" thickBot="1">
      <c r="A40" s="617" t="s">
        <v>120</v>
      </c>
      <c r="B40" s="618"/>
      <c r="C40" s="619" t="s">
        <v>197</v>
      </c>
      <c r="D40" s="620">
        <f>SUM(D35+D36+D39)</f>
        <v>739033759</v>
      </c>
      <c r="E40" s="620">
        <f>SUM(E35+E36+E39)</f>
        <v>663790386</v>
      </c>
      <c r="F40" s="620">
        <f>SUM(F35+F36+F39)</f>
        <v>660573155</v>
      </c>
      <c r="G40" s="620">
        <f>SUM(G35+G36+G39)</f>
        <v>660573155</v>
      </c>
      <c r="H40" s="620">
        <f>SUM(H35+H36+H39)</f>
        <v>660573155</v>
      </c>
    </row>
    <row r="41" spans="1:8" s="78" customFormat="1" ht="21.75" customHeight="1" thickBot="1">
      <c r="A41" s="603" t="s">
        <v>122</v>
      </c>
      <c r="B41" s="604"/>
      <c r="C41" s="604" t="s">
        <v>198</v>
      </c>
      <c r="D41" s="605">
        <f>D33+D40</f>
        <v>1217317595</v>
      </c>
      <c r="E41" s="605">
        <f>E33+E40</f>
        <v>1099874590</v>
      </c>
      <c r="F41" s="605">
        <f>F33+F40</f>
        <v>1099874590</v>
      </c>
      <c r="G41" s="605">
        <f>G33+G40</f>
        <v>1118723312</v>
      </c>
      <c r="H41" s="605">
        <f>H33+H40</f>
        <v>1141098843</v>
      </c>
    </row>
    <row r="42" spans="1:3" ht="12.75" customHeight="1">
      <c r="A42" s="79"/>
      <c r="C42" s="80"/>
    </row>
    <row r="43" spans="1:3" ht="12.75" customHeight="1">
      <c r="A43" s="79"/>
      <c r="C43" s="80"/>
    </row>
    <row r="44" spans="1:3" ht="1.5" customHeight="1" thickBot="1">
      <c r="A44" s="79"/>
      <c r="C44" s="80"/>
    </row>
    <row r="45" spans="1:8" ht="53.25" customHeight="1" thickBot="1">
      <c r="A45" s="1667" t="s">
        <v>156</v>
      </c>
      <c r="B45" s="1667"/>
      <c r="C45" s="53" t="s">
        <v>119</v>
      </c>
      <c r="D45" s="708" t="s">
        <v>965</v>
      </c>
      <c r="E45" s="708" t="s">
        <v>997</v>
      </c>
      <c r="F45" s="708" t="s">
        <v>1139</v>
      </c>
      <c r="G45" s="708" t="s">
        <v>1141</v>
      </c>
      <c r="H45" s="708" t="s">
        <v>1164</v>
      </c>
    </row>
    <row r="46" spans="1:8" ht="12.75" customHeight="1">
      <c r="A46" s="1667"/>
      <c r="B46" s="1667"/>
      <c r="C46" s="81" t="s">
        <v>158</v>
      </c>
      <c r="D46" s="710" t="s">
        <v>159</v>
      </c>
      <c r="E46" s="710" t="s">
        <v>160</v>
      </c>
      <c r="F46" s="710" t="s">
        <v>161</v>
      </c>
      <c r="G46" s="710" t="s">
        <v>462</v>
      </c>
      <c r="H46" s="710" t="s">
        <v>482</v>
      </c>
    </row>
    <row r="47" spans="1:8" s="68" customFormat="1" ht="12.75" customHeight="1">
      <c r="A47" s="64" t="s">
        <v>124</v>
      </c>
      <c r="B47" s="65" t="s">
        <v>164</v>
      </c>
      <c r="C47" s="9" t="s">
        <v>121</v>
      </c>
      <c r="D47" s="66">
        <f>SUM('ÖNK ÖSSZESITŐ'!E89)</f>
        <v>202958120</v>
      </c>
      <c r="E47" s="66">
        <f>SUM('ÖNK ÖSSZESITŐ'!F89)</f>
        <v>231916418</v>
      </c>
      <c r="F47" s="66">
        <f>SUM('ÖNK ÖSSZESITŐ'!G89)</f>
        <v>231916418</v>
      </c>
      <c r="G47" s="66">
        <f>SUM('ÖNK ÖSSZESITŐ'!H89)</f>
        <v>236489748</v>
      </c>
      <c r="H47" s="66">
        <f>SUM('ÖNK ÖSSZESITŐ'!I89)</f>
        <v>237134758</v>
      </c>
    </row>
    <row r="48" spans="1:8" s="68" customFormat="1" ht="12.75" customHeight="1">
      <c r="A48" s="64" t="s">
        <v>126</v>
      </c>
      <c r="B48" s="65" t="s">
        <v>166</v>
      </c>
      <c r="C48" s="9" t="s">
        <v>199</v>
      </c>
      <c r="D48" s="66">
        <f>SUM('ÖNK ÖSSZESITŐ'!E90)</f>
        <v>48716977</v>
      </c>
      <c r="E48" s="699">
        <f>SUM('ÖNK ÖSSZESITŐ'!F90)</f>
        <v>46416484</v>
      </c>
      <c r="F48" s="699">
        <f>SUM('ÖNK ÖSSZESITŐ'!G90)</f>
        <v>46416484</v>
      </c>
      <c r="G48" s="699">
        <f>SUM('ÖNK ÖSSZESITŐ'!H90)</f>
        <v>46934276</v>
      </c>
      <c r="H48" s="699">
        <f>SUM('ÖNK ÖSSZESITŐ'!I90)</f>
        <v>47470843</v>
      </c>
    </row>
    <row r="49" spans="1:8" ht="12.75" customHeight="1">
      <c r="A49" s="82" t="s">
        <v>128</v>
      </c>
      <c r="B49" s="65" t="s">
        <v>200</v>
      </c>
      <c r="C49" s="83" t="s">
        <v>125</v>
      </c>
      <c r="D49" s="66">
        <f>SUM('ÖNK ÖSSZESITŐ'!E91)</f>
        <v>179424836</v>
      </c>
      <c r="E49" s="699">
        <f>SUM('ÖNK ÖSSZESITŐ'!F91)</f>
        <v>121926274</v>
      </c>
      <c r="F49" s="699">
        <f>SUM('ÖNK ÖSSZESITŐ'!G91)</f>
        <v>121926274</v>
      </c>
      <c r="G49" s="699">
        <f>SUM('ÖNK ÖSSZESITŐ'!H91)</f>
        <v>127743156</v>
      </c>
      <c r="H49" s="699">
        <f>SUM('ÖNK ÖSSZESITŐ'!I91)</f>
        <v>136085833</v>
      </c>
    </row>
    <row r="50" spans="1:8" s="68" customFormat="1" ht="12.75" customHeight="1">
      <c r="A50" s="64" t="s">
        <v>130</v>
      </c>
      <c r="B50" s="65" t="s">
        <v>182</v>
      </c>
      <c r="C50" s="9" t="s">
        <v>201</v>
      </c>
      <c r="D50" s="66">
        <v>3627050</v>
      </c>
      <c r="E50" s="699">
        <f>SUM('ÖNK ÖSSZESITŐ'!F94)</f>
        <v>4162000</v>
      </c>
      <c r="F50" s="699">
        <f>SUM('ÖNK ÖSSZESITŐ'!G94)</f>
        <v>4162000</v>
      </c>
      <c r="G50" s="699">
        <f>SUM('ÖNK ÖSSZESITŐ'!H94)</f>
        <v>4162000</v>
      </c>
      <c r="H50" s="699">
        <f>SUM('ÖNK ÖSSZESITŐ'!I94)</f>
        <v>4162000</v>
      </c>
    </row>
    <row r="51" spans="1:8" s="68" customFormat="1" ht="12.75" customHeight="1">
      <c r="A51" s="64" t="s">
        <v>131</v>
      </c>
      <c r="B51" s="65" t="s">
        <v>183</v>
      </c>
      <c r="C51" s="9" t="s">
        <v>822</v>
      </c>
      <c r="D51" s="66"/>
      <c r="E51" s="699">
        <v>0</v>
      </c>
      <c r="F51" s="699">
        <v>0</v>
      </c>
      <c r="G51" s="699">
        <v>116897</v>
      </c>
      <c r="H51" s="699">
        <v>2482037</v>
      </c>
    </row>
    <row r="52" spans="1:8" s="68" customFormat="1" ht="12.75" customHeight="1">
      <c r="A52" s="64" t="s">
        <v>133</v>
      </c>
      <c r="B52" s="65" t="s">
        <v>184</v>
      </c>
      <c r="C52" s="9" t="s">
        <v>150</v>
      </c>
      <c r="D52" s="67">
        <v>664627351</v>
      </c>
      <c r="E52" s="1043">
        <f>SUM('ÖNK ÖSSZESITŐ'!F97)</f>
        <v>649730501</v>
      </c>
      <c r="F52" s="1043">
        <f>SUM('ÖNK ÖSSZESITŐ'!G97)</f>
        <v>649730501</v>
      </c>
      <c r="G52" s="1043">
        <f>SUM('ÖNK ÖSSZESITŐ'!H97)</f>
        <v>644615355</v>
      </c>
      <c r="H52" s="1043">
        <f>SUM('ÖNK ÖSSZESITŐ'!I97)</f>
        <v>642488982</v>
      </c>
    </row>
    <row r="53" spans="1:8" ht="12.75" customHeight="1">
      <c r="A53" s="82" t="s">
        <v>135</v>
      </c>
      <c r="B53" s="85"/>
      <c r="C53" s="60" t="s">
        <v>193</v>
      </c>
      <c r="D53" s="86">
        <v>573101751</v>
      </c>
      <c r="E53" s="1043">
        <f>SUM('21. céltartalék'!D23+'21. céltartalék'!D27)</f>
        <v>582035865</v>
      </c>
      <c r="F53" s="1043">
        <f>SUM('21. céltartalék'!E23+'21. céltartalék'!E27)</f>
        <v>582035865</v>
      </c>
      <c r="G53" s="1043">
        <v>581498979</v>
      </c>
      <c r="H53" s="1043">
        <f>SUM('21. céltartalék'!G23+'21. céltartalék'!G27)</f>
        <v>582767426</v>
      </c>
    </row>
    <row r="54" spans="1:8" ht="12.75" customHeight="1">
      <c r="A54" s="82" t="s">
        <v>137</v>
      </c>
      <c r="B54" s="85"/>
      <c r="C54" s="72" t="s">
        <v>194</v>
      </c>
      <c r="D54" s="87">
        <v>91525600</v>
      </c>
      <c r="E54" s="1043">
        <v>67694636</v>
      </c>
      <c r="F54" s="1043">
        <v>67694636</v>
      </c>
      <c r="G54" s="1043">
        <v>63116376</v>
      </c>
      <c r="H54" s="1043">
        <f>SUM('21. céltartalék'!G40+'21. céltartalék'!G48)</f>
        <v>59721556</v>
      </c>
    </row>
    <row r="55" spans="1:8" s="68" customFormat="1" ht="12.75" customHeight="1">
      <c r="A55" s="88" t="s">
        <v>139</v>
      </c>
      <c r="B55" s="75" t="s">
        <v>186</v>
      </c>
      <c r="C55" s="75" t="s">
        <v>202</v>
      </c>
      <c r="D55" s="1044">
        <f>SUM('ÖNK ÖSSZESITŐ'!E93)</f>
        <v>40766879</v>
      </c>
      <c r="E55" s="1044">
        <f>SUM('ÖNK ÖSSZESITŐ'!F93)</f>
        <v>32887850</v>
      </c>
      <c r="F55" s="1044">
        <f>SUM('ÖNK ÖSSZESITŐ'!G93)</f>
        <v>32887850</v>
      </c>
      <c r="G55" s="1044">
        <f>SUM('ÖNK ÖSSZESITŐ'!H93)</f>
        <v>38852413</v>
      </c>
      <c r="H55" s="1044">
        <f>SUM('ÖNK ÖSSZESITŐ'!I93)</f>
        <v>38917253</v>
      </c>
    </row>
    <row r="56" spans="1:8" s="68" customFormat="1" ht="12.75" customHeight="1">
      <c r="A56" s="90" t="s">
        <v>141</v>
      </c>
      <c r="B56" s="9" t="s">
        <v>189</v>
      </c>
      <c r="C56" s="9" t="s">
        <v>132</v>
      </c>
      <c r="D56" s="67">
        <v>48635850</v>
      </c>
      <c r="E56" s="1043">
        <f>SUM('6,7,8 Melléklet'!D18)</f>
        <v>4500000</v>
      </c>
      <c r="F56" s="1043">
        <f>SUM('6,7,8 Melléklet'!E18)</f>
        <v>4500000</v>
      </c>
      <c r="G56" s="1043">
        <f>SUM('6,7,8 Melléklet'!F18)</f>
        <v>11012732</v>
      </c>
      <c r="H56" s="1043">
        <f>SUM('6,7,8 Melléklet'!G18)</f>
        <v>22971678</v>
      </c>
    </row>
    <row r="57" spans="1:8" s="57" customFormat="1" ht="12.75" customHeight="1">
      <c r="A57" s="64" t="s">
        <v>143</v>
      </c>
      <c r="B57" s="65" t="s">
        <v>191</v>
      </c>
      <c r="C57" s="9" t="s">
        <v>134</v>
      </c>
      <c r="D57" s="67">
        <v>8744654</v>
      </c>
      <c r="E57" s="1043">
        <f>SUM('6,7,8 Melléklet'!D13)</f>
        <v>1300000</v>
      </c>
      <c r="F57" s="1043">
        <f>SUM('6,7,8 Melléklet'!E13)</f>
        <v>1300000</v>
      </c>
      <c r="G57" s="1043">
        <f>SUM('6,7,8 Melléklet'!F13)</f>
        <v>1300000</v>
      </c>
      <c r="H57" s="1043">
        <f>SUM('6,7,8 Melléklet'!G13)</f>
        <v>1300000</v>
      </c>
    </row>
    <row r="58" spans="1:8" s="68" customFormat="1" ht="12" customHeight="1" thickBot="1">
      <c r="A58" s="88" t="s">
        <v>145</v>
      </c>
      <c r="B58" s="74" t="s">
        <v>195</v>
      </c>
      <c r="C58" s="75" t="s">
        <v>203</v>
      </c>
      <c r="D58" s="89">
        <v>10729481</v>
      </c>
      <c r="E58" s="89">
        <v>0</v>
      </c>
      <c r="F58" s="89">
        <v>0</v>
      </c>
      <c r="G58" s="89">
        <v>0</v>
      </c>
      <c r="H58" s="89">
        <v>0</v>
      </c>
    </row>
    <row r="59" spans="1:8" s="91" customFormat="1" ht="27" customHeight="1" thickBot="1">
      <c r="A59" s="1668" t="s">
        <v>147</v>
      </c>
      <c r="B59" s="1668"/>
      <c r="C59" s="621" t="s">
        <v>204</v>
      </c>
      <c r="D59" s="622">
        <f>SUM(D47+D50+D55+D56)+D57+D58+D48+D49+D52+D51</f>
        <v>1208231198</v>
      </c>
      <c r="E59" s="622">
        <f>SUM(E47+E50+E55+E56)+E57+E58+E48+E49+E52+E51</f>
        <v>1092839527</v>
      </c>
      <c r="F59" s="622">
        <f>SUM(F47+F50+F55+F56)+F57+F58+F48+F49+F52+F51</f>
        <v>1092839527</v>
      </c>
      <c r="G59" s="622">
        <f>SUM(G47+G50+G55+G56)+G57+G58+G48+G49+G52+G51</f>
        <v>1111226577</v>
      </c>
      <c r="H59" s="622">
        <f>SUM(H47+H50+H55+H56)+H57+H58+H48+H49+H52+H51</f>
        <v>1133013384</v>
      </c>
    </row>
    <row r="60" spans="1:8" s="68" customFormat="1" ht="25.5" customHeight="1">
      <c r="A60" s="625" t="s">
        <v>149</v>
      </c>
      <c r="B60" s="626" t="s">
        <v>230</v>
      </c>
      <c r="C60" s="627" t="s">
        <v>206</v>
      </c>
      <c r="D60" s="711">
        <v>0</v>
      </c>
      <c r="E60" s="711">
        <v>0</v>
      </c>
      <c r="F60" s="711">
        <v>0</v>
      </c>
      <c r="G60" s="711">
        <v>0</v>
      </c>
      <c r="H60" s="711">
        <v>0</v>
      </c>
    </row>
    <row r="61" spans="1:8" s="68" customFormat="1" ht="12.75" customHeight="1">
      <c r="A61" s="485" t="s">
        <v>151</v>
      </c>
      <c r="B61" s="421" t="s">
        <v>520</v>
      </c>
      <c r="C61" s="421" t="s">
        <v>196</v>
      </c>
      <c r="D61" s="438">
        <v>9086397</v>
      </c>
      <c r="E61" s="438">
        <f>SUM('ÖNK ÖSSZESITŐ'!F101)</f>
        <v>7035063</v>
      </c>
      <c r="F61" s="438">
        <f>SUM('ÖNK ÖSSZESITŐ'!G101)</f>
        <v>7035063</v>
      </c>
      <c r="G61" s="438">
        <f>SUM('ÖNK ÖSSZESITŐ'!H101)</f>
        <v>7496735</v>
      </c>
      <c r="H61" s="438">
        <f>SUM('ÖNK ÖSSZESITŐ'!I101)</f>
        <v>8085459</v>
      </c>
    </row>
    <row r="62" spans="1:8" s="93" customFormat="1" ht="22.5" customHeight="1">
      <c r="A62" s="1669" t="s">
        <v>205</v>
      </c>
      <c r="B62" s="1670"/>
      <c r="C62" s="623" t="s">
        <v>209</v>
      </c>
      <c r="D62" s="624">
        <f>SUM(D60:D61)</f>
        <v>9086397</v>
      </c>
      <c r="E62" s="624">
        <f>SUM(E60:E61)</f>
        <v>7035063</v>
      </c>
      <c r="F62" s="624">
        <f>SUM(F60:F61)</f>
        <v>7035063</v>
      </c>
      <c r="G62" s="624">
        <f>SUM(G60:G61)</f>
        <v>7496735</v>
      </c>
      <c r="H62" s="624">
        <f>SUM(H60:H61)</f>
        <v>8085459</v>
      </c>
    </row>
    <row r="63" spans="1:8" s="94" customFormat="1" ht="22.5" customHeight="1" thickBot="1">
      <c r="A63" s="1661" t="s">
        <v>207</v>
      </c>
      <c r="B63" s="1662"/>
      <c r="C63" s="628" t="s">
        <v>211</v>
      </c>
      <c r="D63" s="629">
        <f>SUM(D59+D62)</f>
        <v>1217317595</v>
      </c>
      <c r="E63" s="629">
        <f>SUM(E59+E62)</f>
        <v>1099874590</v>
      </c>
      <c r="F63" s="629">
        <f>SUM(F59+F62)</f>
        <v>1099874590</v>
      </c>
      <c r="G63" s="629">
        <f>SUM(G59+G62)</f>
        <v>1118723312</v>
      </c>
      <c r="H63" s="629">
        <f>SUM(H59+H62)</f>
        <v>1141098843</v>
      </c>
    </row>
    <row r="65" ht="4.5" customHeight="1"/>
    <row r="65525" ht="12.75" customHeight="1"/>
    <row r="65526" ht="12.75" customHeight="1"/>
    <row r="65527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3:H3"/>
    <mergeCell ref="A4:H4"/>
    <mergeCell ref="A2:H2"/>
    <mergeCell ref="A1:H1"/>
    <mergeCell ref="A63:B63"/>
    <mergeCell ref="A8:B9"/>
    <mergeCell ref="A45:B46"/>
    <mergeCell ref="A59:B59"/>
    <mergeCell ref="A62:B62"/>
    <mergeCell ref="A5:H5"/>
  </mergeCells>
  <printOptions horizontalCentered="1"/>
  <pageMargins left="0.2755905511811024" right="0.2362204724409449" top="0.1968503937007874" bottom="0.15748031496062992" header="0.5118110236220472" footer="0.5118110236220472"/>
  <pageSetup firstPageNumber="1" useFirstPageNumber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view="pageBreakPreview" zoomScaleSheetLayoutView="100" zoomScalePageLayoutView="0" workbookViewId="0" topLeftCell="A1">
      <selection activeCell="A3" sqref="A3:H3"/>
    </sheetView>
  </sheetViews>
  <sheetFormatPr defaultColWidth="11.7109375" defaultRowHeight="12.75" customHeight="1"/>
  <cols>
    <col min="1" max="1" width="3.8515625" style="5" customWidth="1"/>
    <col min="2" max="2" width="4.57421875" style="79" customWidth="1"/>
    <col min="3" max="3" width="39.57421875" style="5" customWidth="1"/>
    <col min="4" max="8" width="18.7109375" style="5" customWidth="1"/>
    <col min="9" max="16384" width="11.7109375" style="5" customWidth="1"/>
  </cols>
  <sheetData>
    <row r="1" spans="1:8" ht="12.75" customHeight="1">
      <c r="A1" s="1674" t="s">
        <v>212</v>
      </c>
      <c r="B1" s="1674"/>
      <c r="C1" s="1674"/>
      <c r="D1" s="1674"/>
      <c r="E1" s="1674"/>
      <c r="F1" s="1674"/>
      <c r="G1" s="1674"/>
      <c r="H1" s="1674"/>
    </row>
    <row r="2" spans="1:8" ht="12.75" customHeight="1">
      <c r="A2" s="924"/>
      <c r="B2" s="924"/>
      <c r="C2" s="2063" t="s">
        <v>1181</v>
      </c>
      <c r="D2" s="2063"/>
      <c r="E2" s="2063"/>
      <c r="F2" s="2063"/>
      <c r="G2" s="2063"/>
      <c r="H2" s="924"/>
    </row>
    <row r="3" spans="1:8" ht="19.5" customHeight="1">
      <c r="A3" s="1659" t="s">
        <v>1182</v>
      </c>
      <c r="B3" s="1659"/>
      <c r="C3" s="1659"/>
      <c r="D3" s="1659"/>
      <c r="E3" s="1659"/>
      <c r="F3" s="1659"/>
      <c r="G3" s="1659"/>
      <c r="H3" s="1659"/>
    </row>
    <row r="4" spans="1:3" ht="4.5" customHeight="1">
      <c r="A4" s="1677"/>
      <c r="B4" s="1677"/>
      <c r="C4" s="1677"/>
    </row>
    <row r="5" spans="1:8" ht="38.25" customHeight="1">
      <c r="A5" s="1673" t="s">
        <v>1000</v>
      </c>
      <c r="B5" s="1673"/>
      <c r="C5" s="1673"/>
      <c r="D5" s="1673"/>
      <c r="E5" s="1673"/>
      <c r="F5" s="1673"/>
      <c r="G5" s="1673"/>
      <c r="H5" s="1673"/>
    </row>
    <row r="6" spans="1:8" ht="19.5" customHeight="1">
      <c r="A6" s="684"/>
      <c r="B6" s="684"/>
      <c r="C6" s="684"/>
      <c r="D6" s="684"/>
      <c r="E6" s="684"/>
      <c r="F6" s="684"/>
      <c r="G6" s="684"/>
      <c r="H6" s="684"/>
    </row>
    <row r="7" spans="1:8" ht="21.75" customHeight="1" thickBot="1">
      <c r="A7" s="5"/>
      <c r="B7" s="97" t="s">
        <v>213</v>
      </c>
      <c r="D7" s="925"/>
      <c r="E7" s="925"/>
      <c r="F7" s="925"/>
      <c r="G7" s="925"/>
      <c r="H7" s="925" t="s">
        <v>214</v>
      </c>
    </row>
    <row r="8" spans="1:8" ht="12.75" customHeight="1">
      <c r="A8" s="1678" t="s">
        <v>156</v>
      </c>
      <c r="B8" s="1671"/>
      <c r="C8" s="1681" t="s">
        <v>215</v>
      </c>
      <c r="D8" s="1671" t="s">
        <v>1094</v>
      </c>
      <c r="E8" s="1671" t="s">
        <v>997</v>
      </c>
      <c r="F8" s="1671" t="s">
        <v>1139</v>
      </c>
      <c r="G8" s="1671" t="s">
        <v>1141</v>
      </c>
      <c r="H8" s="1671" t="s">
        <v>1164</v>
      </c>
    </row>
    <row r="9" spans="1:8" s="99" customFormat="1" ht="33" customHeight="1">
      <c r="A9" s="1679"/>
      <c r="B9" s="1680"/>
      <c r="C9" s="1682"/>
      <c r="D9" s="1672"/>
      <c r="E9" s="1672"/>
      <c r="F9" s="1672"/>
      <c r="G9" s="1672"/>
      <c r="H9" s="1672"/>
    </row>
    <row r="10" spans="1:8" ht="12.75" customHeight="1" thickBot="1">
      <c r="A10" s="1675" t="s">
        <v>158</v>
      </c>
      <c r="B10" s="1676"/>
      <c r="C10" s="312" t="s">
        <v>159</v>
      </c>
      <c r="D10" s="313" t="s">
        <v>160</v>
      </c>
      <c r="E10" s="313" t="s">
        <v>161</v>
      </c>
      <c r="F10" s="313" t="s">
        <v>462</v>
      </c>
      <c r="G10" s="313" t="s">
        <v>482</v>
      </c>
      <c r="H10" s="313" t="s">
        <v>715</v>
      </c>
    </row>
    <row r="11" spans="1:8" ht="31.5" customHeight="1">
      <c r="A11" s="527" t="s">
        <v>38</v>
      </c>
      <c r="B11" s="114"/>
      <c r="C11" s="310" t="s">
        <v>165</v>
      </c>
      <c r="D11" s="308">
        <f>SUM('1. melléklet'!D12)</f>
        <v>211972234</v>
      </c>
      <c r="E11" s="308">
        <f>SUM('1. melléklet'!E12)</f>
        <v>204676466</v>
      </c>
      <c r="F11" s="308">
        <f>SUM('1. melléklet'!F12)</f>
        <v>204676466</v>
      </c>
      <c r="G11" s="308">
        <f>SUM('1. melléklet'!G12)</f>
        <v>218544423</v>
      </c>
      <c r="H11" s="308">
        <f>SUM('1. melléklet'!H12)</f>
        <v>219790694</v>
      </c>
    </row>
    <row r="12" spans="1:8" ht="21" customHeight="1">
      <c r="A12" s="679" t="s">
        <v>40</v>
      </c>
      <c r="B12" s="100"/>
      <c r="C12" s="101" t="s">
        <v>174</v>
      </c>
      <c r="D12" s="62">
        <f>SUM('1. melléklet'!D19)</f>
        <v>186676160</v>
      </c>
      <c r="E12" s="62">
        <f>SUM('1. melléklet'!E19)</f>
        <v>168451387</v>
      </c>
      <c r="F12" s="62">
        <f>SUM('1. melléklet'!F19)</f>
        <v>168451387</v>
      </c>
      <c r="G12" s="62">
        <f>SUM('1. melléklet'!G19)</f>
        <v>168451387</v>
      </c>
      <c r="H12" s="62">
        <f>SUM('1. melléklet'!H19)</f>
        <v>168451387</v>
      </c>
    </row>
    <row r="13" spans="1:8" ht="12.75" customHeight="1">
      <c r="A13" s="679" t="s">
        <v>47</v>
      </c>
      <c r="B13" s="100"/>
      <c r="C13" s="101" t="s">
        <v>9</v>
      </c>
      <c r="D13" s="62">
        <f>SUM('1. melléklet'!D29)</f>
        <v>44392717</v>
      </c>
      <c r="E13" s="62">
        <f>SUM('1. melléklet'!E29)</f>
        <v>38727783</v>
      </c>
      <c r="F13" s="62">
        <f>SUM('1. melléklet'!F29)</f>
        <v>41945014</v>
      </c>
      <c r="G13" s="62">
        <f>SUM('1. melléklet'!G29)</f>
        <v>46470460</v>
      </c>
      <c r="H13" s="62">
        <f>SUM('1. melléklet'!H29)</f>
        <v>53387865</v>
      </c>
    </row>
    <row r="14" spans="1:8" ht="12.75" customHeight="1" thickBot="1">
      <c r="A14" s="680" t="s">
        <v>49</v>
      </c>
      <c r="B14" s="301"/>
      <c r="C14" s="302" t="s">
        <v>185</v>
      </c>
      <c r="D14" s="111">
        <f>SUM('1. melléklet'!D31)</f>
        <v>2293681</v>
      </c>
      <c r="E14" s="111">
        <f>SUM('1. melléklet'!E31)</f>
        <v>78000</v>
      </c>
      <c r="F14" s="111">
        <f>SUM('1. melléklet'!F31)</f>
        <v>78000</v>
      </c>
      <c r="G14" s="111">
        <f>SUM('1. melléklet'!G31)</f>
        <v>288000</v>
      </c>
      <c r="H14" s="111">
        <f>SUM('1. melléklet'!H31)</f>
        <v>307305</v>
      </c>
    </row>
    <row r="15" spans="1:8" ht="12.75" customHeight="1" thickBot="1">
      <c r="A15" s="303" t="s">
        <v>51</v>
      </c>
      <c r="B15" s="304" t="s">
        <v>164</v>
      </c>
      <c r="C15" s="305" t="s">
        <v>216</v>
      </c>
      <c r="D15" s="306">
        <f>SUM(D11:D14)</f>
        <v>445334792</v>
      </c>
      <c r="E15" s="306">
        <f>SUM(E11:E14)</f>
        <v>411933636</v>
      </c>
      <c r="F15" s="306">
        <f>SUM(F11:F14)</f>
        <v>415150867</v>
      </c>
      <c r="G15" s="306">
        <f>SUM(G11:G14)</f>
        <v>433754270</v>
      </c>
      <c r="H15" s="306">
        <f>SUM(H11:H14)</f>
        <v>441937251</v>
      </c>
    </row>
    <row r="16" spans="1:8" ht="12.75" customHeight="1">
      <c r="A16" s="527" t="s">
        <v>53</v>
      </c>
      <c r="B16" s="114"/>
      <c r="C16" s="245" t="s">
        <v>121</v>
      </c>
      <c r="D16" s="113">
        <f>SUM('1. melléklet'!D47)</f>
        <v>202958120</v>
      </c>
      <c r="E16" s="113">
        <f>SUM('1. melléklet'!E47)</f>
        <v>231916418</v>
      </c>
      <c r="F16" s="113">
        <f>SUM('1. melléklet'!F47)</f>
        <v>231916418</v>
      </c>
      <c r="G16" s="113">
        <f>SUM('1. melléklet'!G47)</f>
        <v>236489748</v>
      </c>
      <c r="H16" s="1639">
        <f>SUM('1. melléklet'!H47)</f>
        <v>237134758</v>
      </c>
    </row>
    <row r="17" spans="1:8" ht="28.5" customHeight="1">
      <c r="A17" s="679" t="s">
        <v>55</v>
      </c>
      <c r="B17" s="100"/>
      <c r="C17" s="104" t="s">
        <v>199</v>
      </c>
      <c r="D17" s="113">
        <f>SUM('1. melléklet'!D48)</f>
        <v>48716977</v>
      </c>
      <c r="E17" s="113">
        <f>SUM('1. melléklet'!E48)</f>
        <v>46416484</v>
      </c>
      <c r="F17" s="113">
        <f>SUM('1. melléklet'!F48)</f>
        <v>46416484</v>
      </c>
      <c r="G17" s="113">
        <f>SUM('1. melléklet'!G48)</f>
        <v>46934276</v>
      </c>
      <c r="H17" s="1639">
        <f>SUM('1. melléklet'!H48)</f>
        <v>47470843</v>
      </c>
    </row>
    <row r="18" spans="1:8" ht="12.75" customHeight="1">
      <c r="A18" s="679" t="s">
        <v>57</v>
      </c>
      <c r="B18" s="100"/>
      <c r="C18" s="103" t="s">
        <v>125</v>
      </c>
      <c r="D18" s="113">
        <f>SUM('1. melléklet'!D49)</f>
        <v>179424836</v>
      </c>
      <c r="E18" s="113">
        <f>SUM('1. melléklet'!E49)</f>
        <v>121926274</v>
      </c>
      <c r="F18" s="113">
        <f>SUM('1. melléklet'!F49)</f>
        <v>121926274</v>
      </c>
      <c r="G18" s="113">
        <f>SUM('1. melléklet'!G49)</f>
        <v>127743156</v>
      </c>
      <c r="H18" s="1639">
        <f>SUM('1. melléklet'!H49)</f>
        <v>136085833</v>
      </c>
    </row>
    <row r="19" spans="1:8" ht="12.75" customHeight="1">
      <c r="A19" s="679" t="s">
        <v>86</v>
      </c>
      <c r="B19" s="100"/>
      <c r="C19" s="104" t="s">
        <v>201</v>
      </c>
      <c r="D19" s="62">
        <f>SUM('1. melléklet'!D50)</f>
        <v>3627050</v>
      </c>
      <c r="E19" s="62">
        <f>SUM('1. melléklet'!E50)</f>
        <v>4162000</v>
      </c>
      <c r="F19" s="62">
        <f>SUM('1. melléklet'!F50)</f>
        <v>4162000</v>
      </c>
      <c r="G19" s="62">
        <f>SUM('1. melléklet'!G50)</f>
        <v>4162000</v>
      </c>
      <c r="H19" s="62">
        <f>SUM('1. melléklet'!H50)</f>
        <v>4162000</v>
      </c>
    </row>
    <row r="20" spans="1:8" ht="12.75" customHeight="1">
      <c r="A20" s="679" t="s">
        <v>59</v>
      </c>
      <c r="B20" s="100"/>
      <c r="C20" s="104" t="s">
        <v>822</v>
      </c>
      <c r="D20" s="62"/>
      <c r="E20" s="62">
        <v>0</v>
      </c>
      <c r="F20" s="62">
        <v>0</v>
      </c>
      <c r="G20" s="62">
        <v>116897</v>
      </c>
      <c r="H20" s="62">
        <v>2482037</v>
      </c>
    </row>
    <row r="21" spans="1:8" ht="12.75" customHeight="1">
      <c r="A21" s="679" t="s">
        <v>61</v>
      </c>
      <c r="B21" s="100"/>
      <c r="C21" s="105" t="s">
        <v>217</v>
      </c>
      <c r="D21" s="62">
        <f>SUM('1. melléklet'!D54)</f>
        <v>91525600</v>
      </c>
      <c r="E21" s="62">
        <f>SUM('1. melléklet'!E54)</f>
        <v>67694636</v>
      </c>
      <c r="F21" s="62">
        <f>SUM('1. melléklet'!F54)</f>
        <v>67694636</v>
      </c>
      <c r="G21" s="62">
        <f>SUM('1. melléklet'!G54)</f>
        <v>63116376</v>
      </c>
      <c r="H21" s="62">
        <f>SUM('1. melléklet'!H54)</f>
        <v>59721556</v>
      </c>
    </row>
    <row r="22" spans="1:8" ht="12.75" customHeight="1" thickBot="1">
      <c r="A22" s="680" t="s">
        <v>63</v>
      </c>
      <c r="B22" s="301"/>
      <c r="C22" s="110" t="s">
        <v>202</v>
      </c>
      <c r="D22" s="307">
        <f>SUM('1. melléklet'!D55)</f>
        <v>40766879</v>
      </c>
      <c r="E22" s="307">
        <f>SUM('1. melléklet'!E55)</f>
        <v>32887850</v>
      </c>
      <c r="F22" s="307">
        <f>SUM('1. melléklet'!F55)</f>
        <v>32887850</v>
      </c>
      <c r="G22" s="307">
        <f>SUM('1. melléklet'!G55)</f>
        <v>38852413</v>
      </c>
      <c r="H22" s="307">
        <f>SUM('1. melléklet'!H55)</f>
        <v>38917253</v>
      </c>
    </row>
    <row r="23" spans="1:8" ht="12.75" customHeight="1" thickBot="1">
      <c r="A23" s="303" t="s">
        <v>65</v>
      </c>
      <c r="B23" s="304" t="s">
        <v>166</v>
      </c>
      <c r="C23" s="305" t="s">
        <v>218</v>
      </c>
      <c r="D23" s="309">
        <f>SUM(D16:D22)</f>
        <v>567019462</v>
      </c>
      <c r="E23" s="309">
        <f>SUM(E16:E22)</f>
        <v>505003662</v>
      </c>
      <c r="F23" s="309">
        <f>SUM(F16:F22)</f>
        <v>505003662</v>
      </c>
      <c r="G23" s="309">
        <f>SUM(G16:G22)</f>
        <v>517414866</v>
      </c>
      <c r="H23" s="309">
        <f>SUM(H16:H22)</f>
        <v>525974280</v>
      </c>
    </row>
    <row r="24" spans="1:8" ht="12.75" customHeight="1">
      <c r="A24" s="527" t="s">
        <v>92</v>
      </c>
      <c r="B24" s="114"/>
      <c r="C24" s="112" t="s">
        <v>219</v>
      </c>
      <c r="D24" s="308">
        <f>SUM(D25:D26)</f>
        <v>0</v>
      </c>
      <c r="E24" s="308">
        <f>SUM(E25:E26)</f>
        <v>0</v>
      </c>
      <c r="F24" s="308">
        <f>SUM(F25:F26)</f>
        <v>0</v>
      </c>
      <c r="G24" s="308">
        <f>SUM(G25:G26)</f>
        <v>0</v>
      </c>
      <c r="H24" s="308">
        <f>SUM(H25:H26)</f>
        <v>0</v>
      </c>
    </row>
    <row r="25" spans="1:8" s="300" customFormat="1" ht="27" customHeight="1">
      <c r="A25" s="681" t="s">
        <v>66</v>
      </c>
      <c r="B25" s="298"/>
      <c r="C25" s="295" t="s">
        <v>590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</row>
    <row r="26" spans="1:8" s="300" customFormat="1" ht="30" customHeight="1">
      <c r="A26" s="681" t="s">
        <v>67</v>
      </c>
      <c r="B26" s="298"/>
      <c r="C26" s="295" t="s">
        <v>591</v>
      </c>
      <c r="D26" s="299">
        <v>0</v>
      </c>
      <c r="E26" s="299">
        <v>0</v>
      </c>
      <c r="F26" s="299">
        <v>0</v>
      </c>
      <c r="G26" s="299">
        <v>0</v>
      </c>
      <c r="H26" s="299">
        <v>0</v>
      </c>
    </row>
    <row r="27" spans="1:8" ht="12.75" customHeight="1">
      <c r="A27" s="679" t="s">
        <v>68</v>
      </c>
      <c r="B27" s="100"/>
      <c r="C27" s="104" t="s">
        <v>220</v>
      </c>
      <c r="D27" s="62">
        <f>SUM(D29+D28)</f>
        <v>729615835</v>
      </c>
      <c r="E27" s="62">
        <f>SUM(E29+E28)</f>
        <v>656755323</v>
      </c>
      <c r="F27" s="62">
        <f>SUM(F29+F28)</f>
        <v>653538092</v>
      </c>
      <c r="G27" s="62">
        <f>SUM(G29+G28)</f>
        <v>653538092</v>
      </c>
      <c r="H27" s="62">
        <f>SUM(H29+H28)</f>
        <v>653538092</v>
      </c>
    </row>
    <row r="28" spans="1:8" s="98" customFormat="1" ht="12.75" customHeight="1">
      <c r="A28" s="682" t="s">
        <v>70</v>
      </c>
      <c r="B28" s="106"/>
      <c r="C28" s="107" t="s">
        <v>193</v>
      </c>
      <c r="D28" s="108">
        <f>SUM('1. melléklet'!D37)</f>
        <v>608262692</v>
      </c>
      <c r="E28" s="108">
        <f>SUM('1. melléklet'!E37)</f>
        <v>563685297</v>
      </c>
      <c r="F28" s="108">
        <f>SUM('1. melléklet'!F37)</f>
        <v>563685297</v>
      </c>
      <c r="G28" s="108">
        <v>569415824</v>
      </c>
      <c r="H28" s="108">
        <v>568450667</v>
      </c>
    </row>
    <row r="29" spans="1:8" s="98" customFormat="1" ht="12.75" customHeight="1">
      <c r="A29" s="682" t="s">
        <v>97</v>
      </c>
      <c r="B29" s="106"/>
      <c r="C29" s="109" t="s">
        <v>194</v>
      </c>
      <c r="D29" s="108">
        <f>SUM('1. melléklet'!D38)</f>
        <v>121353143</v>
      </c>
      <c r="E29" s="108">
        <v>93070026</v>
      </c>
      <c r="F29" s="108">
        <v>89852795</v>
      </c>
      <c r="G29" s="108">
        <v>84122268</v>
      </c>
      <c r="H29" s="108">
        <v>85087425</v>
      </c>
    </row>
    <row r="30" spans="1:8" ht="12.75" customHeight="1" thickBot="1">
      <c r="A30" s="680" t="s">
        <v>99</v>
      </c>
      <c r="B30" s="301"/>
      <c r="C30" s="110" t="s">
        <v>221</v>
      </c>
      <c r="D30" s="307">
        <f>SUM('1. melléklet'!D39)</f>
        <v>9417924</v>
      </c>
      <c r="E30" s="307">
        <f>SUM('1. melléklet'!E39)</f>
        <v>7035063</v>
      </c>
      <c r="F30" s="307">
        <f>SUM('1. melléklet'!F39)</f>
        <v>7035063</v>
      </c>
      <c r="G30" s="307">
        <f>SUM('1. melléklet'!G39)</f>
        <v>7035063</v>
      </c>
      <c r="H30" s="307">
        <f>SUM('1. melléklet'!H39)</f>
        <v>7035063</v>
      </c>
    </row>
    <row r="31" spans="1:8" ht="12.75" customHeight="1" thickBot="1">
      <c r="A31" s="303" t="s">
        <v>101</v>
      </c>
      <c r="B31" s="304" t="s">
        <v>173</v>
      </c>
      <c r="C31" s="305" t="s">
        <v>222</v>
      </c>
      <c r="D31" s="309">
        <f>SUM(D24+D27+D30)</f>
        <v>739033759</v>
      </c>
      <c r="E31" s="309">
        <f>SUM(E24+E27+E30)</f>
        <v>663790386</v>
      </c>
      <c r="F31" s="309">
        <f>SUM(F24+F27+F30)</f>
        <v>660573155</v>
      </c>
      <c r="G31" s="309">
        <f>SUM(G24+G27+G30)</f>
        <v>660573155</v>
      </c>
      <c r="H31" s="309">
        <f>SUM(H24+H27+H30)</f>
        <v>660573155</v>
      </c>
    </row>
    <row r="32" spans="1:8" ht="27.75" customHeight="1">
      <c r="A32" s="527" t="s">
        <v>103</v>
      </c>
      <c r="B32" s="114"/>
      <c r="C32" s="310" t="s">
        <v>592</v>
      </c>
      <c r="D32" s="308">
        <f>SUM(D33:D34)</f>
        <v>0</v>
      </c>
      <c r="E32" s="308">
        <f>SUM(E33:E34)</f>
        <v>0</v>
      </c>
      <c r="F32" s="308">
        <f>SUM(F33:F34)</f>
        <v>0</v>
      </c>
      <c r="G32" s="308">
        <f>SUM(G33:G34)</f>
        <v>0</v>
      </c>
      <c r="H32" s="308">
        <f>SUM(H33:H34)</f>
        <v>0</v>
      </c>
    </row>
    <row r="33" spans="1:8" s="297" customFormat="1" ht="27.75" customHeight="1">
      <c r="A33" s="683" t="s">
        <v>105</v>
      </c>
      <c r="B33" s="294"/>
      <c r="C33" s="295" t="s">
        <v>593</v>
      </c>
      <c r="D33" s="296">
        <v>0</v>
      </c>
      <c r="E33" s="296">
        <v>0</v>
      </c>
      <c r="F33" s="296">
        <v>0</v>
      </c>
      <c r="G33" s="296">
        <v>0</v>
      </c>
      <c r="H33" s="296">
        <v>0</v>
      </c>
    </row>
    <row r="34" spans="1:8" s="297" customFormat="1" ht="27.75" customHeight="1">
      <c r="A34" s="683" t="s">
        <v>107</v>
      </c>
      <c r="B34" s="294"/>
      <c r="C34" s="295" t="s">
        <v>594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</row>
    <row r="35" spans="1:8" ht="30.75" customHeight="1" thickBot="1">
      <c r="A35" s="680" t="s">
        <v>109</v>
      </c>
      <c r="B35" s="301"/>
      <c r="C35" s="110" t="s">
        <v>595</v>
      </c>
      <c r="D35" s="111">
        <f>SUM('1. melléklet'!D61)</f>
        <v>9086397</v>
      </c>
      <c r="E35" s="111">
        <f>SUM('1. melléklet'!E61)</f>
        <v>7035063</v>
      </c>
      <c r="F35" s="111">
        <f>SUM('1. melléklet'!F61)</f>
        <v>7035063</v>
      </c>
      <c r="G35" s="111">
        <f>SUM('1. melléklet'!G61)</f>
        <v>7496735</v>
      </c>
      <c r="H35" s="111">
        <f>SUM('1. melléklet'!H61)</f>
        <v>8085459</v>
      </c>
    </row>
    <row r="36" spans="1:8" ht="12.75" customHeight="1" thickBot="1">
      <c r="A36" s="303" t="s">
        <v>111</v>
      </c>
      <c r="B36" s="304" t="s">
        <v>182</v>
      </c>
      <c r="C36" s="311" t="s">
        <v>209</v>
      </c>
      <c r="D36" s="309">
        <f>SUM(D32:D35)</f>
        <v>9086397</v>
      </c>
      <c r="E36" s="309">
        <f>SUM(E32:E35)</f>
        <v>7035063</v>
      </c>
      <c r="F36" s="309">
        <f>SUM(F32:F35)</f>
        <v>7035063</v>
      </c>
      <c r="G36" s="309">
        <f>SUM(G32:G35)</f>
        <v>7496735</v>
      </c>
      <c r="H36" s="309">
        <f>SUM(H32:H35)</f>
        <v>8085459</v>
      </c>
    </row>
    <row r="37" spans="1:8" ht="29.25" customHeight="1">
      <c r="A37" s="527" t="s">
        <v>113</v>
      </c>
      <c r="B37" s="114"/>
      <c r="C37" s="112" t="s">
        <v>167</v>
      </c>
      <c r="D37" s="113">
        <f>SUM('1. melléklet'!D13)</f>
        <v>14182798</v>
      </c>
      <c r="E37" s="113">
        <f>SUM('1. melléklet'!E13)</f>
        <v>0</v>
      </c>
      <c r="F37" s="113">
        <f>SUM('1. melléklet'!F13)</f>
        <v>0</v>
      </c>
      <c r="G37" s="113">
        <f>SUM('1. melléklet'!G13)</f>
        <v>0</v>
      </c>
      <c r="H37" s="113">
        <f>SUM('1. melléklet'!H13)</f>
        <v>0</v>
      </c>
    </row>
    <row r="38" spans="1:8" ht="12.75" customHeight="1">
      <c r="A38" s="679" t="s">
        <v>115</v>
      </c>
      <c r="B38" s="100"/>
      <c r="C38" s="103" t="s">
        <v>224</v>
      </c>
      <c r="D38" s="86">
        <f>SUM('1. melléklet'!D30)</f>
        <v>15566246</v>
      </c>
      <c r="E38" s="86">
        <f>SUM('1. melléklet'!E30)</f>
        <v>24150568</v>
      </c>
      <c r="F38" s="86">
        <f>SUM('1. melléklet'!F30)</f>
        <v>24150568</v>
      </c>
      <c r="G38" s="86">
        <f>SUM('1. melléklet'!G30)</f>
        <v>24152932</v>
      </c>
      <c r="H38" s="86">
        <f>SUM('1. melléklet'!H30)</f>
        <v>38152932</v>
      </c>
    </row>
    <row r="39" spans="1:8" ht="12.75" customHeight="1">
      <c r="A39" s="680" t="s">
        <v>117</v>
      </c>
      <c r="B39" s="301"/>
      <c r="C39" s="241" t="s">
        <v>225</v>
      </c>
      <c r="D39" s="307">
        <f>SUM('1. melléklet'!D32)</f>
        <v>3200000</v>
      </c>
      <c r="E39" s="307">
        <f>SUM('1. melléklet'!E32)</f>
        <v>0</v>
      </c>
      <c r="F39" s="307">
        <f>SUM('1. melléklet'!F32)</f>
        <v>0</v>
      </c>
      <c r="G39" s="307">
        <f>SUM('1. melléklet'!G32)</f>
        <v>242955</v>
      </c>
      <c r="H39" s="307">
        <f>SUM('1. melléklet'!H32)</f>
        <v>435505</v>
      </c>
    </row>
    <row r="40" spans="1:8" ht="12.75" customHeight="1">
      <c r="A40" s="486" t="s">
        <v>118</v>
      </c>
      <c r="B40" s="420"/>
      <c r="C40" s="422" t="s">
        <v>696</v>
      </c>
      <c r="D40" s="637"/>
      <c r="E40" s="637"/>
      <c r="F40" s="637"/>
      <c r="G40" s="637"/>
      <c r="H40" s="637"/>
    </row>
    <row r="41" spans="1:8" ht="12.75" customHeight="1">
      <c r="A41" s="315" t="s">
        <v>120</v>
      </c>
      <c r="B41" s="420"/>
      <c r="C41" s="422" t="s">
        <v>712</v>
      </c>
      <c r="D41" s="637"/>
      <c r="E41" s="637"/>
      <c r="F41" s="637"/>
      <c r="G41" s="637"/>
      <c r="H41" s="637"/>
    </row>
    <row r="42" spans="1:8" ht="12.75" customHeight="1" thickBot="1">
      <c r="A42" s="633" t="s">
        <v>122</v>
      </c>
      <c r="B42" s="634" t="s">
        <v>183</v>
      </c>
      <c r="C42" s="635" t="s">
        <v>226</v>
      </c>
      <c r="D42" s="636">
        <f>SUM(D37:D41)</f>
        <v>32949044</v>
      </c>
      <c r="E42" s="636">
        <f>SUM(E37:E41)</f>
        <v>24150568</v>
      </c>
      <c r="F42" s="636">
        <f>SUM(F37:F41)</f>
        <v>24150568</v>
      </c>
      <c r="G42" s="636">
        <f>SUM(G37:G41)</f>
        <v>24395887</v>
      </c>
      <c r="H42" s="636">
        <f>SUM(H37:H41)</f>
        <v>38588437</v>
      </c>
    </row>
    <row r="43" spans="1:8" ht="12.75" customHeight="1">
      <c r="A43" s="527" t="s">
        <v>124</v>
      </c>
      <c r="B43" s="114"/>
      <c r="C43" s="112" t="s">
        <v>132</v>
      </c>
      <c r="D43" s="113">
        <f>SUM('1. melléklet'!D56)</f>
        <v>48635850</v>
      </c>
      <c r="E43" s="113">
        <f>SUM('1. melléklet'!E56)</f>
        <v>4500000</v>
      </c>
      <c r="F43" s="113">
        <f>SUM('1. melléklet'!F56)</f>
        <v>4500000</v>
      </c>
      <c r="G43" s="113">
        <f>SUM('1. melléklet'!G56)</f>
        <v>11012732</v>
      </c>
      <c r="H43" s="113">
        <f>SUM('1. melléklet'!H56)</f>
        <v>22971678</v>
      </c>
    </row>
    <row r="44" spans="1:8" ht="12.75" customHeight="1">
      <c r="A44" s="679" t="s">
        <v>126</v>
      </c>
      <c r="B44" s="100"/>
      <c r="C44" s="103" t="s">
        <v>134</v>
      </c>
      <c r="D44" s="113">
        <f>SUM('1. melléklet'!D57)</f>
        <v>8744654</v>
      </c>
      <c r="E44" s="113">
        <f>SUM('1. melléklet'!E57)</f>
        <v>1300000</v>
      </c>
      <c r="F44" s="113">
        <f>SUM('1. melléklet'!F57)</f>
        <v>1300000</v>
      </c>
      <c r="G44" s="113">
        <f>SUM('1. melléklet'!G57)</f>
        <v>1300000</v>
      </c>
      <c r="H44" s="113">
        <f>SUM('1. melléklet'!H57)</f>
        <v>1300000</v>
      </c>
    </row>
    <row r="45" spans="1:8" ht="12.75" customHeight="1">
      <c r="A45" s="680" t="s">
        <v>128</v>
      </c>
      <c r="B45" s="301"/>
      <c r="C45" s="241" t="s">
        <v>695</v>
      </c>
      <c r="D45" s="632">
        <f>SUM('1. melléklet'!D53)</f>
        <v>573101751</v>
      </c>
      <c r="E45" s="632">
        <f>SUM('1. melléklet'!E53)</f>
        <v>582035865</v>
      </c>
      <c r="F45" s="632">
        <f>SUM('1. melléklet'!F53)</f>
        <v>582035865</v>
      </c>
      <c r="G45" s="632">
        <f>SUM('1. melléklet'!G53)</f>
        <v>581498979</v>
      </c>
      <c r="H45" s="632">
        <f>SUM('1. melléklet'!H53)</f>
        <v>582767426</v>
      </c>
    </row>
    <row r="46" spans="1:8" ht="12.75" customHeight="1" thickBot="1">
      <c r="A46" s="680" t="s">
        <v>130</v>
      </c>
      <c r="B46" s="301"/>
      <c r="C46" s="241" t="s">
        <v>203</v>
      </c>
      <c r="D46" s="307">
        <f>SUM('1. melléklet'!D58)</f>
        <v>10729481</v>
      </c>
      <c r="E46" s="307">
        <f>SUM('1. melléklet'!E58)</f>
        <v>0</v>
      </c>
      <c r="F46" s="307">
        <f>SUM('1. melléklet'!F58)</f>
        <v>0</v>
      </c>
      <c r="G46" s="307">
        <f>SUM('1. melléklet'!G58)</f>
        <v>0</v>
      </c>
      <c r="H46" s="307">
        <f>SUM('1. melléklet'!H58)</f>
        <v>0</v>
      </c>
    </row>
    <row r="47" spans="1:8" ht="12.75" customHeight="1" thickBot="1">
      <c r="A47" s="303" t="s">
        <v>131</v>
      </c>
      <c r="B47" s="304" t="s">
        <v>184</v>
      </c>
      <c r="C47" s="305" t="s">
        <v>227</v>
      </c>
      <c r="D47" s="309">
        <f>SUM(D43:D46)</f>
        <v>641211736</v>
      </c>
      <c r="E47" s="309">
        <f>SUM(E43:E46)</f>
        <v>587835865</v>
      </c>
      <c r="F47" s="309">
        <f>SUM(F43:F46)</f>
        <v>587835865</v>
      </c>
      <c r="G47" s="309">
        <f>SUM(G43:G46)</f>
        <v>593811711</v>
      </c>
      <c r="H47" s="309">
        <f>SUM(H43:H46)</f>
        <v>607039104</v>
      </c>
    </row>
    <row r="49" spans="1:8" ht="12.75" customHeight="1">
      <c r="A49" s="115"/>
      <c r="B49" s="115"/>
      <c r="C49" s="115" t="s">
        <v>228</v>
      </c>
      <c r="D49" s="116">
        <f>SUM(D15+D31+D42)</f>
        <v>1217317595</v>
      </c>
      <c r="E49" s="116">
        <f>SUM(E15+E31+E42)</f>
        <v>1099874590</v>
      </c>
      <c r="F49" s="116">
        <f>SUM(F15+F31+F42)</f>
        <v>1099874590</v>
      </c>
      <c r="G49" s="116">
        <f>SUM(G15+G31+G42)</f>
        <v>1118723312</v>
      </c>
      <c r="H49" s="116">
        <f>SUM(H15+H31+H42)</f>
        <v>1141098843</v>
      </c>
    </row>
    <row r="50" spans="1:8" ht="12.75" customHeight="1">
      <c r="A50" s="115"/>
      <c r="B50" s="115"/>
      <c r="C50" s="115" t="s">
        <v>211</v>
      </c>
      <c r="D50" s="116">
        <f>SUM(D23+D36+D47)</f>
        <v>1217317595</v>
      </c>
      <c r="E50" s="116">
        <f>SUM(E23+E36+E47)</f>
        <v>1099874590</v>
      </c>
      <c r="F50" s="116">
        <f>SUM(F23+F36+F47)</f>
        <v>1099874590</v>
      </c>
      <c r="G50" s="116">
        <f>SUM(G23+G36+G47)</f>
        <v>1118723312</v>
      </c>
      <c r="H50" s="116">
        <f>SUM(H23+H36+H47)</f>
        <v>1141098843</v>
      </c>
    </row>
  </sheetData>
  <sheetProtection selectLockedCells="1" selectUnlockedCells="1"/>
  <mergeCells count="13">
    <mergeCell ref="A10:B10"/>
    <mergeCell ref="A4:C4"/>
    <mergeCell ref="A8:B9"/>
    <mergeCell ref="C8:C9"/>
    <mergeCell ref="D8:D9"/>
    <mergeCell ref="E8:E9"/>
    <mergeCell ref="G8:G9"/>
    <mergeCell ref="F8:F9"/>
    <mergeCell ref="H8:H9"/>
    <mergeCell ref="A5:H5"/>
    <mergeCell ref="A3:H3"/>
    <mergeCell ref="A1:H1"/>
    <mergeCell ref="C2:G2"/>
  </mergeCells>
  <printOptions horizontalCentered="1"/>
  <pageMargins left="0.7874015748031497" right="0.7874015748031497" top="1.062992125984252" bottom="1.062992125984252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61"/>
  <sheetViews>
    <sheetView view="pageBreakPreview" zoomScaleSheetLayoutView="100" zoomScalePageLayoutView="0" workbookViewId="0" topLeftCell="A1">
      <selection activeCell="D11" sqref="D11"/>
    </sheetView>
  </sheetViews>
  <sheetFormatPr defaultColWidth="11.7109375" defaultRowHeight="12.75"/>
  <cols>
    <col min="1" max="2" width="3.8515625" style="5" customWidth="1"/>
    <col min="3" max="3" width="44.00390625" style="5" customWidth="1"/>
    <col min="4" max="4" width="18.00390625" style="95" customWidth="1"/>
    <col min="5" max="8" width="16.8515625" style="95" customWidth="1"/>
    <col min="9" max="16384" width="11.7109375" style="5" customWidth="1"/>
  </cols>
  <sheetData>
    <row r="1" spans="1:7" s="96" customFormat="1" ht="18" customHeight="1">
      <c r="A1" s="1674" t="s">
        <v>229</v>
      </c>
      <c r="B1" s="1674"/>
      <c r="C1" s="1674"/>
      <c r="D1" s="1674"/>
      <c r="E1" s="1674"/>
      <c r="F1" s="1674"/>
      <c r="G1" s="1674"/>
    </row>
    <row r="2" spans="1:8" ht="19.5" customHeight="1">
      <c r="A2" s="1690" t="s">
        <v>1181</v>
      </c>
      <c r="B2" s="1690"/>
      <c r="C2" s="1690"/>
      <c r="D2" s="1690"/>
      <c r="E2" s="1690"/>
      <c r="F2" s="1690"/>
      <c r="G2" s="1690"/>
      <c r="H2" s="1690"/>
    </row>
    <row r="3" spans="1:8" ht="15" customHeight="1">
      <c r="A3" s="1687" t="s">
        <v>1182</v>
      </c>
      <c r="B3" s="1687"/>
      <c r="C3" s="1687"/>
      <c r="D3" s="1687"/>
      <c r="E3" s="1687"/>
      <c r="F3" s="1687"/>
      <c r="G3" s="1687"/>
      <c r="H3" s="1687"/>
    </row>
    <row r="4" spans="1:8" ht="6.75" customHeight="1">
      <c r="A4" s="1688"/>
      <c r="B4" s="1688"/>
      <c r="C4" s="1688"/>
      <c r="D4" s="5"/>
      <c r="E4" s="5"/>
      <c r="F4" s="5"/>
      <c r="G4" s="5"/>
      <c r="H4" s="5"/>
    </row>
    <row r="5" spans="1:8" ht="12.75" customHeight="1">
      <c r="A5" s="1689" t="s">
        <v>998</v>
      </c>
      <c r="B5" s="1689"/>
      <c r="C5" s="1689"/>
      <c r="D5" s="1689"/>
      <c r="E5" s="1689"/>
      <c r="F5" s="1689"/>
      <c r="G5" s="1689"/>
      <c r="H5" s="1689"/>
    </row>
    <row r="6" spans="1:8" ht="12.75" customHeight="1">
      <c r="A6" s="1689"/>
      <c r="B6" s="1689"/>
      <c r="C6" s="1689"/>
      <c r="D6" s="1689"/>
      <c r="E6" s="1689"/>
      <c r="F6" s="1689"/>
      <c r="G6" s="1689"/>
      <c r="H6" s="1689"/>
    </row>
    <row r="7" spans="2:8" ht="12.75" customHeight="1">
      <c r="B7" s="79"/>
      <c r="D7" s="5"/>
      <c r="E7" s="5"/>
      <c r="F7" s="5"/>
      <c r="G7" s="5"/>
      <c r="H7" s="5"/>
    </row>
    <row r="8" spans="2:8" ht="30" customHeight="1" thickBot="1">
      <c r="B8" s="79"/>
      <c r="D8" s="926"/>
      <c r="E8" s="926"/>
      <c r="F8" s="926"/>
      <c r="G8" s="926"/>
      <c r="H8" s="926" t="s">
        <v>214</v>
      </c>
    </row>
    <row r="9" spans="1:8" ht="63.75" customHeight="1">
      <c r="A9" s="1683" t="s">
        <v>156</v>
      </c>
      <c r="B9" s="1684"/>
      <c r="C9" s="331" t="s">
        <v>157</v>
      </c>
      <c r="D9" s="332" t="s">
        <v>1078</v>
      </c>
      <c r="E9" s="332" t="s">
        <v>997</v>
      </c>
      <c r="F9" s="332" t="s">
        <v>1139</v>
      </c>
      <c r="G9" s="332" t="s">
        <v>1141</v>
      </c>
      <c r="H9" s="332" t="s">
        <v>1164</v>
      </c>
    </row>
    <row r="10" spans="1:8" ht="12.75" customHeight="1" thickBot="1">
      <c r="A10" s="1685"/>
      <c r="B10" s="1686"/>
      <c r="C10" s="333" t="s">
        <v>158</v>
      </c>
      <c r="D10" s="334" t="s">
        <v>159</v>
      </c>
      <c r="E10" s="334" t="s">
        <v>160</v>
      </c>
      <c r="F10" s="334" t="s">
        <v>161</v>
      </c>
      <c r="G10" s="334" t="s">
        <v>462</v>
      </c>
      <c r="H10" s="334" t="s">
        <v>482</v>
      </c>
    </row>
    <row r="11" spans="1:8" ht="27" customHeight="1">
      <c r="A11" s="315" t="s">
        <v>38</v>
      </c>
      <c r="B11" s="655"/>
      <c r="C11" s="325" t="s">
        <v>580</v>
      </c>
      <c r="D11" s="128">
        <f>SUM('19 önkormányzat'!E9)</f>
        <v>58211337</v>
      </c>
      <c r="E11" s="128">
        <f>SUM('19 önkormányzat'!F9)</f>
        <v>62276520</v>
      </c>
      <c r="F11" s="128">
        <f>SUM('19 önkormányzat'!G9)</f>
        <v>62276520</v>
      </c>
      <c r="G11" s="128">
        <f>SUM('19 önkormányzat'!H9)</f>
        <v>62276520</v>
      </c>
      <c r="H11" s="128">
        <f>SUM('19 önkormányzat'!I9)</f>
        <v>62276520</v>
      </c>
    </row>
    <row r="12" spans="1:8" ht="28.5" customHeight="1">
      <c r="A12" s="315" t="s">
        <v>40</v>
      </c>
      <c r="B12" s="656"/>
      <c r="C12" s="317" t="s">
        <v>581</v>
      </c>
      <c r="D12" s="128">
        <f>SUM('19 önkormányzat'!E10)</f>
        <v>71893151</v>
      </c>
      <c r="E12" s="128">
        <f>SUM('19 önkormányzat'!F10)</f>
        <v>72775566</v>
      </c>
      <c r="F12" s="128">
        <f>SUM('19 önkormányzat'!G10)</f>
        <v>72775566</v>
      </c>
      <c r="G12" s="128">
        <f>SUM('19 önkormányzat'!H10)</f>
        <v>72775566</v>
      </c>
      <c r="H12" s="128">
        <f>SUM('19 önkormányzat'!I10)</f>
        <v>72775566</v>
      </c>
    </row>
    <row r="13" spans="1:8" ht="25.5" customHeight="1">
      <c r="A13" s="315" t="s">
        <v>47</v>
      </c>
      <c r="B13" s="656"/>
      <c r="C13" s="317" t="s">
        <v>602</v>
      </c>
      <c r="D13" s="128">
        <f>SUM('19 önkormányzat'!E11)</f>
        <v>66041405</v>
      </c>
      <c r="E13" s="128">
        <f>SUM('19 önkormányzat'!F11)</f>
        <v>58547790</v>
      </c>
      <c r="F13" s="128">
        <f>SUM('19 önkormányzat'!G11)</f>
        <v>58547790</v>
      </c>
      <c r="G13" s="128">
        <f>SUM('19 önkormányzat'!H11)</f>
        <v>58547790</v>
      </c>
      <c r="H13" s="128">
        <f>SUM('19 önkormányzat'!I11)</f>
        <v>58547790</v>
      </c>
    </row>
    <row r="14" spans="1:8" ht="26.25" customHeight="1">
      <c r="A14" s="315" t="s">
        <v>49</v>
      </c>
      <c r="B14" s="656"/>
      <c r="C14" s="317" t="s">
        <v>582</v>
      </c>
      <c r="D14" s="128">
        <f>SUM('19 önkormányzat'!E12)</f>
        <v>4760778</v>
      </c>
      <c r="E14" s="128">
        <f>SUM('19 önkormányzat'!F12)</f>
        <v>4227740</v>
      </c>
      <c r="F14" s="128">
        <f>SUM('19 önkormányzat'!G12)</f>
        <v>4227740</v>
      </c>
      <c r="G14" s="128">
        <f>SUM('19 önkormányzat'!H12)</f>
        <v>4227740</v>
      </c>
      <c r="H14" s="128">
        <f>SUM('19 önkormányzat'!I12)</f>
        <v>4227740</v>
      </c>
    </row>
    <row r="15" spans="1:8" ht="30" customHeight="1">
      <c r="A15" s="315" t="s">
        <v>51</v>
      </c>
      <c r="B15" s="656"/>
      <c r="C15" s="317" t="s">
        <v>583</v>
      </c>
      <c r="D15" s="128">
        <f>SUM('19 önkormányzat'!E13)</f>
        <v>2961270</v>
      </c>
      <c r="E15" s="128">
        <f>SUM('19 önkormányzat'!F13)</f>
        <v>0</v>
      </c>
      <c r="F15" s="128">
        <f>SUM('19 önkormányzat'!G13)</f>
        <v>0</v>
      </c>
      <c r="G15" s="128">
        <f>SUM('19 önkormányzat'!H13)</f>
        <v>7459200</v>
      </c>
      <c r="H15" s="128">
        <f>SUM('19 önkormányzat'!I13)</f>
        <v>7459200</v>
      </c>
    </row>
    <row r="16" spans="1:8" ht="12.75" customHeight="1">
      <c r="A16" s="315" t="s">
        <v>53</v>
      </c>
      <c r="B16" s="656"/>
      <c r="C16" s="317" t="s">
        <v>584</v>
      </c>
      <c r="D16" s="128">
        <f>SUM('19 önkormányzat'!E14)</f>
        <v>270530</v>
      </c>
      <c r="E16" s="128">
        <f>SUM('19 önkormányzat'!F14)</f>
        <v>0</v>
      </c>
      <c r="F16" s="128">
        <f>SUM('19 önkormányzat'!G14)</f>
        <v>0</v>
      </c>
      <c r="G16" s="128">
        <f>SUM('19 önkormányzat'!H14)</f>
        <v>0</v>
      </c>
      <c r="H16" s="128">
        <v>0</v>
      </c>
    </row>
    <row r="17" spans="1:8" s="68" customFormat="1" ht="12.75" customHeight="1">
      <c r="A17" s="420" t="s">
        <v>55</v>
      </c>
      <c r="B17" s="657"/>
      <c r="C17" s="120" t="s">
        <v>162</v>
      </c>
      <c r="D17" s="9">
        <f>SUM(D11:D16)</f>
        <v>204138471</v>
      </c>
      <c r="E17" s="9">
        <f>SUM(E11:E16)</f>
        <v>197827616</v>
      </c>
      <c r="F17" s="9">
        <f>SUM(F11:F16)</f>
        <v>197827616</v>
      </c>
      <c r="G17" s="9">
        <f>SUM(G11:G16)</f>
        <v>205286816</v>
      </c>
      <c r="H17" s="9">
        <f>SUM(H11:H16)</f>
        <v>205286816</v>
      </c>
    </row>
    <row r="18" spans="1:8" s="323" customFormat="1" ht="27" customHeight="1">
      <c r="A18" s="394" t="s">
        <v>57</v>
      </c>
      <c r="B18" s="658"/>
      <c r="C18" s="321" t="s">
        <v>163</v>
      </c>
      <c r="D18" s="322">
        <f>SUM('1. melléklet'!D11)</f>
        <v>7833763</v>
      </c>
      <c r="E18" s="322">
        <f>SUM('1. melléklet'!E11)</f>
        <v>6848850</v>
      </c>
      <c r="F18" s="322">
        <f>SUM('1. melléklet'!F11)</f>
        <v>6848850</v>
      </c>
      <c r="G18" s="322">
        <f>SUM('1. melléklet'!G11)</f>
        <v>13257607</v>
      </c>
      <c r="H18" s="322">
        <f>SUM('1. melléklet'!H11)</f>
        <v>14503878</v>
      </c>
    </row>
    <row r="19" spans="1:8" s="320" customFormat="1" ht="30.75" customHeight="1">
      <c r="A19" s="370" t="s">
        <v>86</v>
      </c>
      <c r="B19" s="659"/>
      <c r="C19" s="904" t="s">
        <v>823</v>
      </c>
      <c r="D19" s="905"/>
      <c r="E19" s="905"/>
      <c r="F19" s="905"/>
      <c r="G19" s="905">
        <v>9047619</v>
      </c>
      <c r="H19" s="905">
        <v>9047619</v>
      </c>
    </row>
    <row r="20" spans="1:8" s="320" customFormat="1" ht="12.75" customHeight="1">
      <c r="A20" s="370" t="s">
        <v>59</v>
      </c>
      <c r="B20" s="659"/>
      <c r="C20" s="318" t="s">
        <v>605</v>
      </c>
      <c r="D20" s="319"/>
      <c r="E20" s="319"/>
      <c r="F20" s="319"/>
      <c r="G20" s="319"/>
      <c r="H20" s="319"/>
    </row>
    <row r="21" spans="1:8" s="320" customFormat="1" ht="12.75" customHeight="1">
      <c r="A21" s="906" t="s">
        <v>61</v>
      </c>
      <c r="B21" s="660"/>
      <c r="C21" s="328" t="s">
        <v>826</v>
      </c>
      <c r="D21" s="919">
        <v>984913</v>
      </c>
      <c r="E21" s="919"/>
      <c r="F21" s="919"/>
      <c r="G21" s="919"/>
      <c r="H21" s="919"/>
    </row>
    <row r="22" spans="1:8" s="320" customFormat="1" ht="12.75" customHeight="1" thickBot="1">
      <c r="A22" s="906" t="s">
        <v>63</v>
      </c>
      <c r="B22" s="660"/>
      <c r="C22" s="328" t="s">
        <v>604</v>
      </c>
      <c r="D22" s="329">
        <v>6848850</v>
      </c>
      <c r="E22" s="329">
        <v>6848850</v>
      </c>
      <c r="F22" s="329">
        <v>6848850</v>
      </c>
      <c r="G22" s="329">
        <v>4209988</v>
      </c>
      <c r="H22" s="329">
        <v>4209988</v>
      </c>
    </row>
    <row r="23" spans="1:8" ht="25.5" customHeight="1" thickBot="1">
      <c r="A23" s="907" t="s">
        <v>65</v>
      </c>
      <c r="B23" s="661" t="s">
        <v>164</v>
      </c>
      <c r="C23" s="330" t="s">
        <v>165</v>
      </c>
      <c r="D23" s="908">
        <f>SUM(D17+D18)</f>
        <v>211972234</v>
      </c>
      <c r="E23" s="908">
        <f>SUM(E17+E18)</f>
        <v>204676466</v>
      </c>
      <c r="F23" s="908">
        <f>SUM(F17+F18)</f>
        <v>204676466</v>
      </c>
      <c r="G23" s="908">
        <f>SUM(G17+G18)</f>
        <v>218544423</v>
      </c>
      <c r="H23" s="908">
        <f>SUM(H17+H18)</f>
        <v>219790694</v>
      </c>
    </row>
    <row r="24" spans="1:8" ht="25.5" customHeight="1">
      <c r="A24" s="909" t="s">
        <v>92</v>
      </c>
      <c r="B24" s="909"/>
      <c r="C24" s="910" t="s">
        <v>825</v>
      </c>
      <c r="D24" s="911">
        <v>14182798</v>
      </c>
      <c r="E24" s="911"/>
      <c r="F24" s="911"/>
      <c r="G24" s="911"/>
      <c r="H24" s="911"/>
    </row>
    <row r="25" spans="1:8" s="63" customFormat="1" ht="25.5" customHeight="1" thickBot="1">
      <c r="A25" s="912" t="s">
        <v>66</v>
      </c>
      <c r="B25" s="912"/>
      <c r="C25" s="913" t="s">
        <v>824</v>
      </c>
      <c r="D25" s="914"/>
      <c r="E25" s="914"/>
      <c r="F25" s="914"/>
      <c r="G25" s="914"/>
      <c r="H25" s="914"/>
    </row>
    <row r="26" spans="1:8" s="68" customFormat="1" ht="29.25" customHeight="1" thickBot="1">
      <c r="A26" s="915" t="s">
        <v>67</v>
      </c>
      <c r="B26" s="662" t="s">
        <v>166</v>
      </c>
      <c r="C26" s="335" t="s">
        <v>167</v>
      </c>
      <c r="D26" s="916">
        <f>SUM('2. melléklet'!D37)</f>
        <v>14182798</v>
      </c>
      <c r="E26" s="916">
        <f>SUM('2. melléklet'!E37)</f>
        <v>0</v>
      </c>
      <c r="F26" s="916">
        <f>SUM('2. melléklet'!F37)</f>
        <v>0</v>
      </c>
      <c r="G26" s="916">
        <f>SUM('2. melléklet'!G37)</f>
        <v>0</v>
      </c>
      <c r="H26" s="916">
        <f>SUM('2. melléklet'!H37)</f>
        <v>0</v>
      </c>
    </row>
    <row r="27" spans="1:8" ht="12.75" customHeight="1">
      <c r="A27" s="713" t="s">
        <v>68</v>
      </c>
      <c r="B27" s="655"/>
      <c r="C27" s="314" t="s">
        <v>597</v>
      </c>
      <c r="D27" s="128">
        <f>SUM('1. melléklet'!D14)</f>
        <v>8127945</v>
      </c>
      <c r="E27" s="128">
        <f>SUM('1. melléklet'!E14)</f>
        <v>7013063</v>
      </c>
      <c r="F27" s="128">
        <f>SUM('1. melléklet'!F14)</f>
        <v>7013063</v>
      </c>
      <c r="G27" s="128">
        <f>SUM('1. melléklet'!G14)</f>
        <v>7013063</v>
      </c>
      <c r="H27" s="128">
        <f>SUM('1. melléklet'!H14)</f>
        <v>7013063</v>
      </c>
    </row>
    <row r="28" spans="1:8" ht="12.75" customHeight="1">
      <c r="A28" s="315" t="s">
        <v>70</v>
      </c>
      <c r="B28" s="656"/>
      <c r="C28" s="118" t="s">
        <v>598</v>
      </c>
      <c r="D28" s="128">
        <f>SUM('1. melléklet'!D15)</f>
        <v>164505470</v>
      </c>
      <c r="E28" s="128">
        <f>SUM('1. melléklet'!E15)</f>
        <v>150581381</v>
      </c>
      <c r="F28" s="128">
        <f>SUM('1. melléklet'!F15)</f>
        <v>150581381</v>
      </c>
      <c r="G28" s="128">
        <f>SUM('1. melléklet'!G15)</f>
        <v>150581381</v>
      </c>
      <c r="H28" s="128">
        <f>SUM('1. melléklet'!H15)</f>
        <v>150581381</v>
      </c>
    </row>
    <row r="29" spans="1:8" ht="12.75" customHeight="1">
      <c r="A29" s="315" t="s">
        <v>97</v>
      </c>
      <c r="B29" s="656"/>
      <c r="C29" s="118" t="s">
        <v>599</v>
      </c>
      <c r="D29" s="128">
        <f>SUM('1. melléklet'!D16)</f>
        <v>12680105</v>
      </c>
      <c r="E29" s="128">
        <f>SUM('1. melléklet'!E16)</f>
        <v>10353962</v>
      </c>
      <c r="F29" s="128">
        <f>SUM('1. melléklet'!F16)</f>
        <v>10353962</v>
      </c>
      <c r="G29" s="128">
        <f>SUM('1. melléklet'!G16)</f>
        <v>10353962</v>
      </c>
      <c r="H29" s="128">
        <f>SUM('1. melléklet'!H16)</f>
        <v>10353962</v>
      </c>
    </row>
    <row r="30" spans="1:8" ht="12.75" customHeight="1">
      <c r="A30" s="315" t="s">
        <v>99</v>
      </c>
      <c r="B30" s="656"/>
      <c r="C30" s="317" t="s">
        <v>600</v>
      </c>
      <c r="D30" s="128">
        <f>SUM('1. melléklet'!D17)</f>
        <v>0</v>
      </c>
      <c r="E30" s="128">
        <f>SUM('1. melléklet'!E17)</f>
        <v>0</v>
      </c>
      <c r="F30" s="128">
        <f>SUM('1. melléklet'!F17)</f>
        <v>0</v>
      </c>
      <c r="G30" s="128">
        <f>SUM('1. melléklet'!G17)</f>
        <v>0</v>
      </c>
      <c r="H30" s="128">
        <f>SUM('1. melléklet'!H17)</f>
        <v>0</v>
      </c>
    </row>
    <row r="31" spans="1:8" ht="12.75" customHeight="1" thickBot="1">
      <c r="A31" s="315" t="s">
        <v>101</v>
      </c>
      <c r="B31" s="663"/>
      <c r="C31" s="324" t="s">
        <v>601</v>
      </c>
      <c r="D31" s="128">
        <f>SUM('1. melléklet'!D18)</f>
        <v>1362640</v>
      </c>
      <c r="E31" s="128">
        <f>SUM('1. melléklet'!E18)</f>
        <v>502981</v>
      </c>
      <c r="F31" s="128">
        <f>SUM('1. melléklet'!F18)</f>
        <v>502981</v>
      </c>
      <c r="G31" s="128">
        <f>SUM('1. melléklet'!G18)</f>
        <v>502981</v>
      </c>
      <c r="H31" s="128">
        <f>SUM('1. melléklet'!H18)</f>
        <v>502981</v>
      </c>
    </row>
    <row r="32" spans="1:8" ht="24.75" customHeight="1" thickBot="1">
      <c r="A32" s="677" t="s">
        <v>103</v>
      </c>
      <c r="B32" s="664" t="s">
        <v>173</v>
      </c>
      <c r="C32" s="326" t="s">
        <v>174</v>
      </c>
      <c r="D32" s="327">
        <f>SUM(D27:D31)</f>
        <v>186676160</v>
      </c>
      <c r="E32" s="327">
        <f>SUM(E27:E31)</f>
        <v>168451387</v>
      </c>
      <c r="F32" s="327">
        <f>SUM(F27:F31)</f>
        <v>168451387</v>
      </c>
      <c r="G32" s="327">
        <f>SUM(G27:G31)</f>
        <v>168451387</v>
      </c>
      <c r="H32" s="327">
        <f>SUM(H27:H31)</f>
        <v>168451387</v>
      </c>
    </row>
    <row r="33" spans="1:8" ht="12.75" customHeight="1">
      <c r="A33" s="315" t="s">
        <v>105</v>
      </c>
      <c r="B33" s="665"/>
      <c r="C33" s="316" t="s">
        <v>585</v>
      </c>
      <c r="D33" s="316">
        <f>SUM('1. melléklet'!D20)</f>
        <v>3702751</v>
      </c>
      <c r="E33" s="316">
        <f>SUM('1. melléklet'!E20)</f>
        <v>3707228</v>
      </c>
      <c r="F33" s="316">
        <f>SUM('1. melléklet'!F20)</f>
        <v>3707228</v>
      </c>
      <c r="G33" s="316">
        <f>SUM('1. melléklet'!G20)</f>
        <v>3701767</v>
      </c>
      <c r="H33" s="316">
        <f>SUM('1. melléklet'!H20)</f>
        <v>3701767</v>
      </c>
    </row>
    <row r="34" spans="1:8" ht="12.75" customHeight="1">
      <c r="A34" s="315" t="s">
        <v>107</v>
      </c>
      <c r="B34" s="665"/>
      <c r="C34" s="316" t="s">
        <v>176</v>
      </c>
      <c r="D34" s="316">
        <f>SUM('1. melléklet'!D21)</f>
        <v>4803116</v>
      </c>
      <c r="E34" s="316">
        <f>SUM('1. melléklet'!E21)</f>
        <v>4780000</v>
      </c>
      <c r="F34" s="316">
        <f>SUM('1. melléklet'!F21)</f>
        <v>7997231</v>
      </c>
      <c r="G34" s="316">
        <f>SUM('1. melléklet'!G21)</f>
        <v>8002692</v>
      </c>
      <c r="H34" s="316">
        <f>SUM('1. melléklet'!H21)</f>
        <v>8236991</v>
      </c>
    </row>
    <row r="35" spans="1:8" ht="12.75" customHeight="1">
      <c r="A35" s="315" t="s">
        <v>109</v>
      </c>
      <c r="B35" s="665"/>
      <c r="C35" s="316" t="s">
        <v>177</v>
      </c>
      <c r="D35" s="316">
        <f>SUM('1. melléklet'!D22)</f>
        <v>3120519</v>
      </c>
      <c r="E35" s="316">
        <f>SUM('1. melléklet'!E22)</f>
        <v>3731000</v>
      </c>
      <c r="F35" s="316">
        <f>SUM('1. melléklet'!F22)</f>
        <v>3731000</v>
      </c>
      <c r="G35" s="316">
        <f>SUM('1. melléklet'!G22)</f>
        <v>3731000</v>
      </c>
      <c r="H35" s="316">
        <f>SUM('1. melléklet'!H22)</f>
        <v>3731000</v>
      </c>
    </row>
    <row r="36" spans="1:8" ht="12.75" customHeight="1">
      <c r="A36" s="315" t="s">
        <v>111</v>
      </c>
      <c r="B36" s="665"/>
      <c r="C36" s="316" t="s">
        <v>687</v>
      </c>
      <c r="D36" s="316">
        <f>SUM('1. melléklet'!D23)</f>
        <v>19402162</v>
      </c>
      <c r="E36" s="316">
        <f>SUM('1. melléklet'!E23)</f>
        <v>19449555</v>
      </c>
      <c r="F36" s="316">
        <f>SUM('1. melléklet'!F23)</f>
        <v>19449555</v>
      </c>
      <c r="G36" s="316">
        <f>SUM('1. melléklet'!G23)</f>
        <v>19449555</v>
      </c>
      <c r="H36" s="316">
        <f>SUM('1. melléklet'!H23)</f>
        <v>19449555</v>
      </c>
    </row>
    <row r="37" spans="1:8" ht="12.75" customHeight="1">
      <c r="A37" s="315" t="s">
        <v>113</v>
      </c>
      <c r="B37" s="665"/>
      <c r="C37" s="316" t="s">
        <v>179</v>
      </c>
      <c r="D37" s="316">
        <f>SUM('1. melléklet'!D24)</f>
        <v>11551896</v>
      </c>
      <c r="E37" s="316">
        <f>SUM('1. melléklet'!E24)</f>
        <v>7060000</v>
      </c>
      <c r="F37" s="316">
        <f>SUM('1. melléklet'!F24)</f>
        <v>7060000</v>
      </c>
      <c r="G37" s="316">
        <f>SUM('1. melléklet'!G24)</f>
        <v>11560000</v>
      </c>
      <c r="H37" s="316">
        <f>SUM('1. melléklet'!H24)</f>
        <v>15420000</v>
      </c>
    </row>
    <row r="38" spans="1:8" ht="12.75" customHeight="1">
      <c r="A38" s="315" t="s">
        <v>115</v>
      </c>
      <c r="B38" s="315"/>
      <c r="C38" s="316" t="s">
        <v>710</v>
      </c>
      <c r="D38" s="316">
        <f>SUM('1. melléklet'!D25)</f>
        <v>818000</v>
      </c>
      <c r="E38" s="316">
        <f>SUM('1. melléklet'!E25)</f>
        <v>0</v>
      </c>
      <c r="F38" s="316">
        <f>SUM('1. melléklet'!F25)</f>
        <v>0</v>
      </c>
      <c r="G38" s="316">
        <f>SUM('1. melléklet'!G25)</f>
        <v>0</v>
      </c>
      <c r="H38" s="316">
        <f>SUM('1. melléklet'!H25)</f>
        <v>292000</v>
      </c>
    </row>
    <row r="39" spans="1:8" ht="12.75" customHeight="1">
      <c r="A39" s="713" t="s">
        <v>117</v>
      </c>
      <c r="B39" s="655"/>
      <c r="C39" s="314" t="s">
        <v>596</v>
      </c>
      <c r="D39" s="316">
        <f>SUM('1. melléklet'!D26)</f>
        <v>554</v>
      </c>
      <c r="E39" s="316">
        <f>SUM('1. melléklet'!E26)</f>
        <v>0</v>
      </c>
      <c r="F39" s="316">
        <f>SUM('1. melléklet'!F26)</f>
        <v>0</v>
      </c>
      <c r="G39" s="316">
        <f>SUM('1. melléklet'!G26)</f>
        <v>0</v>
      </c>
      <c r="H39" s="316">
        <f>SUM('1. melléklet'!H26)</f>
        <v>5</v>
      </c>
    </row>
    <row r="40" spans="1:8" ht="12.75" customHeight="1">
      <c r="A40" s="713" t="s">
        <v>118</v>
      </c>
      <c r="B40" s="917"/>
      <c r="C40" s="918" t="s">
        <v>821</v>
      </c>
      <c r="D40" s="316">
        <f>SUM('1. melléklet'!D27)</f>
        <v>660167</v>
      </c>
      <c r="E40" s="316">
        <f>SUM('1. melléklet'!E27)</f>
        <v>0</v>
      </c>
      <c r="F40" s="316">
        <f>SUM('1. melléklet'!F27)</f>
        <v>0</v>
      </c>
      <c r="G40" s="316">
        <f>SUM('1. melléklet'!G27)</f>
        <v>0</v>
      </c>
      <c r="H40" s="316">
        <f>SUM('1. melléklet'!H27)</f>
        <v>113750</v>
      </c>
    </row>
    <row r="41" spans="1:8" ht="12.75" customHeight="1" thickBot="1">
      <c r="A41" s="315" t="s">
        <v>120</v>
      </c>
      <c r="B41" s="663"/>
      <c r="C41" s="324" t="s">
        <v>181</v>
      </c>
      <c r="D41" s="316">
        <f>SUM('1. melléklet'!D28)</f>
        <v>333552</v>
      </c>
      <c r="E41" s="316">
        <f>SUM('1. melléklet'!E28)</f>
        <v>0</v>
      </c>
      <c r="F41" s="316">
        <f>SUM('1. melléklet'!F28)</f>
        <v>0</v>
      </c>
      <c r="G41" s="316">
        <f>SUM('1. melléklet'!G28)</f>
        <v>25446</v>
      </c>
      <c r="H41" s="316">
        <f>SUM('1. melléklet'!H28)</f>
        <v>2442797</v>
      </c>
    </row>
    <row r="42" spans="1:8" s="68" customFormat="1" ht="19.5" customHeight="1">
      <c r="A42" s="678" t="s">
        <v>122</v>
      </c>
      <c r="B42" s="666" t="s">
        <v>182</v>
      </c>
      <c r="C42" s="336" t="s">
        <v>216</v>
      </c>
      <c r="D42" s="337">
        <f>SUM(D33:D41)</f>
        <v>44392717</v>
      </c>
      <c r="E42" s="337">
        <f>SUM(E33:E41)</f>
        <v>38727783</v>
      </c>
      <c r="F42" s="337">
        <f>SUM(F33:F41)</f>
        <v>41945014</v>
      </c>
      <c r="G42" s="337">
        <f>SUM(G33:G41)</f>
        <v>46470460</v>
      </c>
      <c r="H42" s="337">
        <f>SUM(H33:H41)</f>
        <v>53387865</v>
      </c>
    </row>
    <row r="43" spans="1:8" ht="12.75" customHeight="1">
      <c r="A43" s="316" t="s">
        <v>124</v>
      </c>
      <c r="B43" s="667"/>
      <c r="C43" s="316" t="s">
        <v>586</v>
      </c>
      <c r="D43" s="316">
        <f>SUM('1. melléklet'!D30)</f>
        <v>15566246</v>
      </c>
      <c r="E43" s="316">
        <f>SUM('1. melléklet'!E30)</f>
        <v>24150568</v>
      </c>
      <c r="F43" s="316">
        <f>SUM('1. melléklet'!F30)</f>
        <v>24150568</v>
      </c>
      <c r="G43" s="316">
        <f>SUM('1. melléklet'!G30)</f>
        <v>24152932</v>
      </c>
      <c r="H43" s="316">
        <f>SUM('1. melléklet'!H30)</f>
        <v>38152932</v>
      </c>
    </row>
    <row r="44" spans="1:8" ht="12.75" customHeight="1" thickBot="1">
      <c r="A44" s="316" t="s">
        <v>126</v>
      </c>
      <c r="B44" s="668"/>
      <c r="C44" s="341" t="s">
        <v>606</v>
      </c>
      <c r="D44" s="342"/>
      <c r="E44" s="342"/>
      <c r="F44" s="342"/>
      <c r="G44" s="342"/>
      <c r="H44" s="342"/>
    </row>
    <row r="45" spans="1:8" s="68" customFormat="1" ht="21.75" customHeight="1" thickBot="1">
      <c r="A45" s="654" t="s">
        <v>128</v>
      </c>
      <c r="B45" s="669" t="s">
        <v>183</v>
      </c>
      <c r="C45" s="344" t="s">
        <v>13</v>
      </c>
      <c r="D45" s="344">
        <f>SUM(D43:D44)</f>
        <v>15566246</v>
      </c>
      <c r="E45" s="344">
        <f>SUM(E43:E44)</f>
        <v>24150568</v>
      </c>
      <c r="F45" s="344">
        <f>SUM(F43:F44)</f>
        <v>24150568</v>
      </c>
      <c r="G45" s="344">
        <f>SUM(G43:G44)</f>
        <v>24152932</v>
      </c>
      <c r="H45" s="344">
        <f>SUM(H43:H44)</f>
        <v>38152932</v>
      </c>
    </row>
    <row r="46" spans="1:8" ht="12.75" customHeight="1">
      <c r="A46" s="316" t="s">
        <v>130</v>
      </c>
      <c r="B46" s="670"/>
      <c r="C46" s="1260" t="s">
        <v>587</v>
      </c>
      <c r="D46" s="343">
        <v>895220</v>
      </c>
      <c r="E46" s="343">
        <v>78000</v>
      </c>
      <c r="F46" s="343">
        <v>78000</v>
      </c>
      <c r="G46" s="343">
        <f>SUM(G47:G48)</f>
        <v>288000</v>
      </c>
      <c r="H46" s="343">
        <v>307305</v>
      </c>
    </row>
    <row r="47" spans="1:8" s="320" customFormat="1" ht="12.75" customHeight="1">
      <c r="A47" s="340" t="s">
        <v>131</v>
      </c>
      <c r="B47" s="671"/>
      <c r="C47" s="340" t="s">
        <v>607</v>
      </c>
      <c r="D47" s="340"/>
      <c r="E47" s="340"/>
      <c r="F47" s="340"/>
      <c r="G47" s="340">
        <v>210000</v>
      </c>
      <c r="H47" s="340">
        <v>210000</v>
      </c>
    </row>
    <row r="48" spans="1:8" s="320" customFormat="1" ht="12.75" customHeight="1">
      <c r="A48" s="340" t="s">
        <v>133</v>
      </c>
      <c r="B48" s="671"/>
      <c r="C48" s="340" t="s">
        <v>608</v>
      </c>
      <c r="D48" s="340"/>
      <c r="E48" s="340">
        <v>78000</v>
      </c>
      <c r="F48" s="340">
        <v>78000</v>
      </c>
      <c r="G48" s="340">
        <v>78000</v>
      </c>
      <c r="H48" s="340">
        <v>78000</v>
      </c>
    </row>
    <row r="49" spans="1:8" ht="12.75" customHeight="1">
      <c r="A49" s="316" t="s">
        <v>135</v>
      </c>
      <c r="B49" s="667"/>
      <c r="C49" s="316" t="s">
        <v>588</v>
      </c>
      <c r="D49" s="316">
        <v>1398461</v>
      </c>
      <c r="E49" s="316"/>
      <c r="F49" s="316"/>
      <c r="G49" s="316"/>
      <c r="H49" s="316"/>
    </row>
    <row r="50" spans="1:8" s="320" customFormat="1" ht="12.75" customHeight="1" thickBot="1">
      <c r="A50" s="340" t="s">
        <v>137</v>
      </c>
      <c r="B50" s="672"/>
      <c r="C50" s="345" t="s">
        <v>609</v>
      </c>
      <c r="D50" s="345"/>
      <c r="E50" s="345"/>
      <c r="F50" s="345"/>
      <c r="G50" s="345"/>
      <c r="H50" s="345"/>
    </row>
    <row r="51" spans="1:8" s="68" customFormat="1" ht="19.5" customHeight="1" thickBot="1">
      <c r="A51" s="654" t="s">
        <v>139</v>
      </c>
      <c r="B51" s="669" t="s">
        <v>184</v>
      </c>
      <c r="C51" s="344" t="s">
        <v>185</v>
      </c>
      <c r="D51" s="344">
        <f>SUM(D46+D49)</f>
        <v>2293681</v>
      </c>
      <c r="E51" s="344">
        <f>SUM(E46+E49)</f>
        <v>78000</v>
      </c>
      <c r="F51" s="344">
        <f>SUM(F46+F49)</f>
        <v>78000</v>
      </c>
      <c r="G51" s="344">
        <f>SUM(G46+G49)</f>
        <v>288000</v>
      </c>
      <c r="H51" s="344">
        <f>SUM(H46+H49)</f>
        <v>307305</v>
      </c>
    </row>
    <row r="52" spans="1:8" ht="12.75" customHeight="1">
      <c r="A52" s="316" t="s">
        <v>141</v>
      </c>
      <c r="B52" s="670"/>
      <c r="C52" s="343" t="s">
        <v>589</v>
      </c>
      <c r="D52" s="343">
        <v>3200000</v>
      </c>
      <c r="E52" s="343"/>
      <c r="F52" s="343"/>
      <c r="G52" s="343">
        <v>242955</v>
      </c>
      <c r="H52" s="343">
        <v>435505</v>
      </c>
    </row>
    <row r="53" spans="1:8" ht="14.25" customHeight="1" thickBot="1">
      <c r="A53" s="316" t="s">
        <v>143</v>
      </c>
      <c r="B53" s="668"/>
      <c r="C53" s="341" t="s">
        <v>610</v>
      </c>
      <c r="D53" s="342"/>
      <c r="E53" s="342"/>
      <c r="F53" s="342"/>
      <c r="G53" s="342"/>
      <c r="H53" s="342"/>
    </row>
    <row r="54" spans="1:8" s="68" customFormat="1" ht="20.25" customHeight="1" thickBot="1">
      <c r="A54" s="654" t="s">
        <v>145</v>
      </c>
      <c r="B54" s="669" t="s">
        <v>184</v>
      </c>
      <c r="C54" s="344" t="s">
        <v>225</v>
      </c>
      <c r="D54" s="344">
        <f>SUM(D52)</f>
        <v>3200000</v>
      </c>
      <c r="E54" s="344">
        <f>SUM(E52)</f>
        <v>0</v>
      </c>
      <c r="F54" s="344">
        <f>SUM(F52)</f>
        <v>0</v>
      </c>
      <c r="G54" s="344">
        <f>SUM(G52)</f>
        <v>242955</v>
      </c>
      <c r="H54" s="344">
        <f>SUM(H52)</f>
        <v>435505</v>
      </c>
    </row>
    <row r="55" spans="1:8" s="63" customFormat="1" ht="25.5">
      <c r="A55" s="338" t="s">
        <v>147</v>
      </c>
      <c r="B55" s="673"/>
      <c r="C55" s="347" t="s">
        <v>613</v>
      </c>
      <c r="D55" s="348"/>
      <c r="E55" s="348"/>
      <c r="F55" s="348"/>
      <c r="G55" s="348"/>
      <c r="H55" s="348"/>
    </row>
    <row r="56" spans="1:8" s="63" customFormat="1" ht="25.5">
      <c r="A56" s="338" t="s">
        <v>149</v>
      </c>
      <c r="B56" s="674"/>
      <c r="C56" s="349" t="s">
        <v>611</v>
      </c>
      <c r="D56" s="339"/>
      <c r="E56" s="339"/>
      <c r="F56" s="339"/>
      <c r="G56" s="339"/>
      <c r="H56" s="339"/>
    </row>
    <row r="57" spans="1:8" ht="17.25" customHeight="1">
      <c r="A57" s="316" t="s">
        <v>151</v>
      </c>
      <c r="B57" s="667"/>
      <c r="C57" s="316" t="s">
        <v>612</v>
      </c>
      <c r="D57" s="316">
        <f>SUM(D55+D56)</f>
        <v>0</v>
      </c>
      <c r="E57" s="316">
        <f>SUM(E55+E56)</f>
        <v>0</v>
      </c>
      <c r="F57" s="316">
        <f>SUM(F55+F56)</f>
        <v>0</v>
      </c>
      <c r="G57" s="316">
        <f>SUM(G55+G56)</f>
        <v>0</v>
      </c>
      <c r="H57" s="316">
        <f>SUM(H55+H56)</f>
        <v>0</v>
      </c>
    </row>
    <row r="58" spans="1:8" ht="12.75">
      <c r="A58" s="316" t="s">
        <v>205</v>
      </c>
      <c r="B58" s="667"/>
      <c r="C58" s="316" t="s">
        <v>220</v>
      </c>
      <c r="D58" s="316">
        <f>SUM('1. melléklet'!D36)</f>
        <v>729615835</v>
      </c>
      <c r="E58" s="316">
        <f>SUM('1. melléklet'!E36)</f>
        <v>656755323</v>
      </c>
      <c r="F58" s="316">
        <f>SUM('1. melléklet'!F36)</f>
        <v>653538092</v>
      </c>
      <c r="G58" s="316">
        <f>SUM('1. melléklet'!G36)</f>
        <v>653538092</v>
      </c>
      <c r="H58" s="316">
        <f>SUM('1. melléklet'!H36)</f>
        <v>653538092</v>
      </c>
    </row>
    <row r="59" spans="1:8" ht="12.75">
      <c r="A59" s="316" t="s">
        <v>207</v>
      </c>
      <c r="B59" s="668"/>
      <c r="C59" s="341" t="s">
        <v>223</v>
      </c>
      <c r="D59" s="341">
        <f>SUM('1. melléklet'!D39)</f>
        <v>9417924</v>
      </c>
      <c r="E59" s="341">
        <f>SUM('1. melléklet'!E39)</f>
        <v>7035063</v>
      </c>
      <c r="F59" s="341">
        <f>SUM('1. melléklet'!F39)</f>
        <v>7035063</v>
      </c>
      <c r="G59" s="341">
        <f>SUM('1. melléklet'!G39)</f>
        <v>7035063</v>
      </c>
      <c r="H59" s="341">
        <f>SUM('1. melléklet'!H39)</f>
        <v>7035063</v>
      </c>
    </row>
    <row r="60" spans="1:8" s="68" customFormat="1" ht="21" customHeight="1">
      <c r="A60" s="654" t="s">
        <v>262</v>
      </c>
      <c r="B60" s="675" t="s">
        <v>186</v>
      </c>
      <c r="C60" s="654" t="s">
        <v>614</v>
      </c>
      <c r="D60" s="654">
        <f>SUM(D57+D58+D59)</f>
        <v>739033759</v>
      </c>
      <c r="E60" s="654">
        <f>SUM(E57+E58+E59)</f>
        <v>663790386</v>
      </c>
      <c r="F60" s="654">
        <f>SUM(F57+F58+F59)</f>
        <v>660573155</v>
      </c>
      <c r="G60" s="654">
        <f>SUM(G57+G58+G59)</f>
        <v>660573155</v>
      </c>
      <c r="H60" s="654">
        <f>SUM(H57+H58+H59)</f>
        <v>660573155</v>
      </c>
    </row>
    <row r="61" spans="1:8" s="346" customFormat="1" ht="15.75">
      <c r="A61" s="653" t="s">
        <v>208</v>
      </c>
      <c r="B61" s="676"/>
      <c r="C61" s="653" t="s">
        <v>198</v>
      </c>
      <c r="D61" s="653">
        <f>SUM(D23+D26+D32+D42+D45+D51+D54+D60)</f>
        <v>1217317595</v>
      </c>
      <c r="E61" s="653">
        <f>SUM(E23+E26+E32+E42+E45+E51+E54+E60)</f>
        <v>1099874590</v>
      </c>
      <c r="F61" s="653">
        <f>SUM(F23+F26+F32+F42+F45+F51+F54+F60)</f>
        <v>1099874590</v>
      </c>
      <c r="G61" s="653">
        <f>SUM(G23+G26+G32+G42+G45+G51+G54+G60)</f>
        <v>1118723312</v>
      </c>
      <c r="H61" s="653">
        <f>SUM(H23+H26+H32+H42+H45+H51+H54+H60)</f>
        <v>1141098843</v>
      </c>
    </row>
  </sheetData>
  <sheetProtection/>
  <mergeCells count="6">
    <mergeCell ref="A9:B10"/>
    <mergeCell ref="A4:C4"/>
    <mergeCell ref="A1:G1"/>
    <mergeCell ref="A5:H6"/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Q117"/>
  <sheetViews>
    <sheetView view="pageBreakPreview" zoomScaleSheetLayoutView="100" zoomScalePageLayoutView="0" workbookViewId="0" topLeftCell="A1">
      <selection activeCell="D21" sqref="D21"/>
    </sheetView>
  </sheetViews>
  <sheetFormatPr defaultColWidth="11.7109375" defaultRowHeight="12.75" customHeight="1"/>
  <cols>
    <col min="1" max="2" width="3.8515625" style="5" customWidth="1"/>
    <col min="3" max="3" width="44.7109375" style="5" customWidth="1"/>
    <col min="4" max="4" width="22.00390625" style="52" customWidth="1"/>
    <col min="5" max="8" width="20.57421875" style="52" customWidth="1"/>
    <col min="9" max="16384" width="11.7109375" style="5" customWidth="1"/>
  </cols>
  <sheetData>
    <row r="1" spans="1:8" s="96" customFormat="1" ht="18" customHeight="1">
      <c r="A1" s="1674" t="s">
        <v>231</v>
      </c>
      <c r="B1" s="1674"/>
      <c r="C1" s="1674"/>
      <c r="D1" s="1674"/>
      <c r="E1" s="1674"/>
      <c r="F1" s="1674"/>
      <c r="G1" s="1674"/>
      <c r="H1" s="1674"/>
    </row>
    <row r="2" spans="1:8" ht="19.5" customHeight="1">
      <c r="A2" s="1700" t="s">
        <v>1181</v>
      </c>
      <c r="B2" s="1700"/>
      <c r="C2" s="1700"/>
      <c r="D2" s="1700"/>
      <c r="E2" s="1700"/>
      <c r="F2" s="1700"/>
      <c r="G2" s="1700"/>
      <c r="H2" s="1700"/>
    </row>
    <row r="3" spans="1:8" ht="19.5" customHeight="1">
      <c r="A3" s="1644"/>
      <c r="B3" s="1644"/>
      <c r="C3" s="1700" t="s">
        <v>1182</v>
      </c>
      <c r="D3" s="1700"/>
      <c r="E3" s="1700"/>
      <c r="F3" s="1700"/>
      <c r="G3" s="1700"/>
      <c r="H3" s="1644"/>
    </row>
    <row r="4" spans="1:247" ht="45.75" customHeight="1">
      <c r="A4" s="1701" t="s">
        <v>232</v>
      </c>
      <c r="B4" s="1701"/>
      <c r="C4" s="1701"/>
      <c r="D4" s="1701"/>
      <c r="E4" s="1701"/>
      <c r="F4" s="1701"/>
      <c r="G4" s="1701"/>
      <c r="H4" s="170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2.75" customHeight="1">
      <c r="A5" s="1702" t="s">
        <v>999</v>
      </c>
      <c r="B5" s="1702"/>
      <c r="C5" s="1702"/>
      <c r="D5" s="1702"/>
      <c r="E5" s="1702"/>
      <c r="F5" s="1702"/>
      <c r="G5" s="1702"/>
      <c r="H5" s="170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2.75" customHeight="1">
      <c r="A6" s="920"/>
      <c r="B6" s="920"/>
      <c r="C6" s="920"/>
      <c r="D6" s="920"/>
      <c r="E6" s="920"/>
      <c r="F6" s="920"/>
      <c r="G6" s="920"/>
      <c r="H6" s="92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5.75" customHeight="1" thickBot="1">
      <c r="A7" s="1695" t="s">
        <v>233</v>
      </c>
      <c r="B7" s="1695"/>
      <c r="C7" s="1695"/>
      <c r="D7" s="926"/>
      <c r="E7" s="926"/>
      <c r="F7" s="926"/>
      <c r="G7" s="926"/>
      <c r="H7" s="926" t="s">
        <v>214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7" customHeight="1">
      <c r="A8" s="1691" t="s">
        <v>156</v>
      </c>
      <c r="B8" s="1692"/>
      <c r="C8" s="380" t="s">
        <v>157</v>
      </c>
      <c r="D8" s="381" t="s">
        <v>1078</v>
      </c>
      <c r="E8" s="381" t="s">
        <v>997</v>
      </c>
      <c r="F8" s="381" t="s">
        <v>1139</v>
      </c>
      <c r="G8" s="381" t="s">
        <v>1141</v>
      </c>
      <c r="H8" s="381" t="s">
        <v>1164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2.75" customHeight="1" thickBot="1">
      <c r="A9" s="1693"/>
      <c r="B9" s="1694"/>
      <c r="C9" s="382" t="s">
        <v>158</v>
      </c>
      <c r="D9" s="383" t="s">
        <v>159</v>
      </c>
      <c r="E9" s="383" t="s">
        <v>160</v>
      </c>
      <c r="F9" s="383" t="s">
        <v>161</v>
      </c>
      <c r="G9" s="383" t="s">
        <v>462</v>
      </c>
      <c r="H9" s="383" t="s">
        <v>482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320" customFormat="1" ht="23.25" customHeight="1">
      <c r="A10" s="376" t="s">
        <v>38</v>
      </c>
      <c r="B10" s="377"/>
      <c r="C10" s="378" t="s">
        <v>580</v>
      </c>
      <c r="D10" s="379">
        <f>SUM('19 önkormányzat'!E9)</f>
        <v>58211337</v>
      </c>
      <c r="E10" s="379">
        <f>SUM('19 önkormányzat'!F9)</f>
        <v>62276520</v>
      </c>
      <c r="F10" s="379">
        <f>SUM('19 önkormányzat'!G9)</f>
        <v>62276520</v>
      </c>
      <c r="G10" s="379">
        <f>SUM('19 önkormányzat'!H9)</f>
        <v>62276520</v>
      </c>
      <c r="H10" s="379">
        <f>SUM('19 önkormányzat'!I9)</f>
        <v>62276520</v>
      </c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297"/>
      <c r="FQ10" s="29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297"/>
      <c r="GO10" s="29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297"/>
      <c r="HA10" s="297"/>
      <c r="HB10" s="297"/>
      <c r="HC10" s="297"/>
      <c r="HD10" s="297"/>
      <c r="HE10" s="297"/>
      <c r="HF10" s="297"/>
      <c r="HG10" s="297"/>
      <c r="HH10" s="297"/>
      <c r="HI10" s="297"/>
      <c r="HJ10" s="297"/>
      <c r="HK10" s="297"/>
      <c r="HL10" s="297"/>
      <c r="HM10" s="297"/>
      <c r="HN10" s="297"/>
      <c r="HO10" s="297"/>
      <c r="HP10" s="297"/>
      <c r="HQ10" s="297"/>
      <c r="HR10" s="297"/>
      <c r="HS10" s="297"/>
      <c r="HT10" s="297"/>
      <c r="HU10" s="297"/>
      <c r="HV10" s="297"/>
      <c r="HW10" s="297"/>
      <c r="HX10" s="297"/>
      <c r="HY10" s="297"/>
      <c r="HZ10" s="297"/>
      <c r="IA10" s="297"/>
      <c r="IB10" s="297"/>
      <c r="IC10" s="297"/>
      <c r="ID10" s="297"/>
      <c r="IE10" s="297"/>
      <c r="IF10" s="297"/>
      <c r="IG10" s="297"/>
      <c r="IH10" s="297"/>
      <c r="II10" s="297"/>
      <c r="IJ10" s="297"/>
      <c r="IK10" s="297"/>
      <c r="IL10" s="297"/>
      <c r="IM10" s="297"/>
    </row>
    <row r="11" spans="1:247" s="320" customFormat="1" ht="27.75" customHeight="1">
      <c r="A11" s="370" t="s">
        <v>40</v>
      </c>
      <c r="B11" s="371"/>
      <c r="C11" s="372" t="s">
        <v>581</v>
      </c>
      <c r="D11" s="379">
        <f>SUM('19 önkormányzat'!E10)</f>
        <v>71893151</v>
      </c>
      <c r="E11" s="379">
        <f>SUM('19 önkormányzat'!F10)</f>
        <v>72775566</v>
      </c>
      <c r="F11" s="379">
        <f>SUM('19 önkormányzat'!G10)</f>
        <v>72775566</v>
      </c>
      <c r="G11" s="379">
        <f>SUM('19 önkormányzat'!H10)</f>
        <v>72775566</v>
      </c>
      <c r="H11" s="379">
        <f>SUM('19 önkormányzat'!I10)</f>
        <v>72775566</v>
      </c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  <c r="IM11" s="297"/>
    </row>
    <row r="12" spans="1:247" s="320" customFormat="1" ht="29.25" customHeight="1">
      <c r="A12" s="370" t="s">
        <v>47</v>
      </c>
      <c r="B12" s="371"/>
      <c r="C12" s="372" t="s">
        <v>602</v>
      </c>
      <c r="D12" s="379">
        <f>SUM('19 önkormányzat'!E11)</f>
        <v>66041405</v>
      </c>
      <c r="E12" s="379">
        <f>SUM('19 önkormányzat'!F11)</f>
        <v>58547790</v>
      </c>
      <c r="F12" s="379">
        <f>SUM('19 önkormányzat'!G11)</f>
        <v>58547790</v>
      </c>
      <c r="G12" s="379">
        <f>SUM('19 önkormányzat'!H11)</f>
        <v>58547790</v>
      </c>
      <c r="H12" s="379">
        <f>SUM('19 önkormányzat'!I11)</f>
        <v>58547790</v>
      </c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7"/>
      <c r="FT12" s="297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7"/>
      <c r="HQ12" s="297"/>
      <c r="HR12" s="297"/>
      <c r="HS12" s="297"/>
      <c r="HT12" s="297"/>
      <c r="HU12" s="297"/>
      <c r="HV12" s="297"/>
      <c r="HW12" s="297"/>
      <c r="HX12" s="297"/>
      <c r="HY12" s="297"/>
      <c r="HZ12" s="297"/>
      <c r="IA12" s="297"/>
      <c r="IB12" s="297"/>
      <c r="IC12" s="297"/>
      <c r="ID12" s="297"/>
      <c r="IE12" s="297"/>
      <c r="IF12" s="297"/>
      <c r="IG12" s="297"/>
      <c r="IH12" s="297"/>
      <c r="II12" s="297"/>
      <c r="IJ12" s="297"/>
      <c r="IK12" s="297"/>
      <c r="IL12" s="297"/>
      <c r="IM12" s="297"/>
    </row>
    <row r="13" spans="1:247" s="320" customFormat="1" ht="24" customHeight="1">
      <c r="A13" s="370" t="s">
        <v>49</v>
      </c>
      <c r="B13" s="371"/>
      <c r="C13" s="372" t="s">
        <v>582</v>
      </c>
      <c r="D13" s="379">
        <f>SUM('19 önkormányzat'!E12)</f>
        <v>4760778</v>
      </c>
      <c r="E13" s="379">
        <f>SUM('19 önkormányzat'!F12)</f>
        <v>4227740</v>
      </c>
      <c r="F13" s="379">
        <f>SUM('19 önkormányzat'!G12)</f>
        <v>4227740</v>
      </c>
      <c r="G13" s="379">
        <f>SUM('19 önkormányzat'!H12)</f>
        <v>4227740</v>
      </c>
      <c r="H13" s="379">
        <f>SUM('19 önkormányzat'!I12)</f>
        <v>4227740</v>
      </c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  <c r="IK13" s="297"/>
      <c r="IL13" s="297"/>
      <c r="IM13" s="297"/>
    </row>
    <row r="14" spans="1:247" s="320" customFormat="1" ht="22.5" customHeight="1">
      <c r="A14" s="370" t="s">
        <v>51</v>
      </c>
      <c r="B14" s="371"/>
      <c r="C14" s="372" t="s">
        <v>583</v>
      </c>
      <c r="D14" s="379">
        <f>SUM('19 önkormányzat'!E13)</f>
        <v>2961270</v>
      </c>
      <c r="E14" s="379">
        <f>SUM('19 önkormányzat'!F13)</f>
        <v>0</v>
      </c>
      <c r="F14" s="379">
        <f>SUM('19 önkormányzat'!G13)</f>
        <v>0</v>
      </c>
      <c r="G14" s="379">
        <f>SUM('19 önkormányzat'!H13)</f>
        <v>7459200</v>
      </c>
      <c r="H14" s="379">
        <f>SUM('19 önkormányzat'!I13)</f>
        <v>7459200</v>
      </c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297"/>
      <c r="FQ14" s="29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297"/>
      <c r="GC14" s="29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297"/>
      <c r="GO14" s="29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297"/>
      <c r="HA14" s="297"/>
      <c r="HB14" s="297"/>
      <c r="HC14" s="297"/>
      <c r="HD14" s="297"/>
      <c r="HE14" s="297"/>
      <c r="HF14" s="297"/>
      <c r="HG14" s="297"/>
      <c r="HH14" s="297"/>
      <c r="HI14" s="297"/>
      <c r="HJ14" s="297"/>
      <c r="HK14" s="297"/>
      <c r="HL14" s="297"/>
      <c r="HM14" s="297"/>
      <c r="HN14" s="297"/>
      <c r="HO14" s="297"/>
      <c r="HP14" s="297"/>
      <c r="HQ14" s="297"/>
      <c r="HR14" s="297"/>
      <c r="HS14" s="297"/>
      <c r="HT14" s="297"/>
      <c r="HU14" s="297"/>
      <c r="HV14" s="297"/>
      <c r="HW14" s="297"/>
      <c r="HX14" s="297"/>
      <c r="HY14" s="297"/>
      <c r="HZ14" s="297"/>
      <c r="IA14" s="297"/>
      <c r="IB14" s="297"/>
      <c r="IC14" s="297"/>
      <c r="ID14" s="297"/>
      <c r="IE14" s="297"/>
      <c r="IF14" s="297"/>
      <c r="IG14" s="297"/>
      <c r="IH14" s="297"/>
      <c r="II14" s="297"/>
      <c r="IJ14" s="297"/>
      <c r="IK14" s="297"/>
      <c r="IL14" s="297"/>
      <c r="IM14" s="297"/>
    </row>
    <row r="15" spans="1:247" s="320" customFormat="1" ht="12.75" customHeight="1">
      <c r="A15" s="370" t="s">
        <v>53</v>
      </c>
      <c r="B15" s="371"/>
      <c r="C15" s="372" t="s">
        <v>584</v>
      </c>
      <c r="D15" s="379">
        <f>SUM('19 önkormányzat'!E14)</f>
        <v>270530</v>
      </c>
      <c r="E15" s="379">
        <f>SUM('19 önkormányzat'!F14)</f>
        <v>0</v>
      </c>
      <c r="F15" s="379">
        <f>SUM('19 önkormányzat'!G14)</f>
        <v>0</v>
      </c>
      <c r="G15" s="379">
        <f>SUM('19 önkormányzat'!H14)</f>
        <v>0</v>
      </c>
      <c r="H15" s="379">
        <f>SUM('19 önkormányzat'!I14)</f>
        <v>0</v>
      </c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7"/>
      <c r="FK15" s="297"/>
      <c r="FL15" s="297"/>
      <c r="FM15" s="297"/>
      <c r="FN15" s="297"/>
      <c r="FO15" s="297"/>
      <c r="FP15" s="297"/>
      <c r="FQ15" s="297"/>
      <c r="FR15" s="297"/>
      <c r="FS15" s="297"/>
      <c r="FT15" s="297"/>
      <c r="FU15" s="297"/>
      <c r="FV15" s="297"/>
      <c r="FW15" s="297"/>
      <c r="FX15" s="297"/>
      <c r="FY15" s="297"/>
      <c r="FZ15" s="297"/>
      <c r="GA15" s="297"/>
      <c r="GB15" s="297"/>
      <c r="GC15" s="297"/>
      <c r="GD15" s="297"/>
      <c r="GE15" s="297"/>
      <c r="GF15" s="297"/>
      <c r="GG15" s="297"/>
      <c r="GH15" s="297"/>
      <c r="GI15" s="297"/>
      <c r="GJ15" s="297"/>
      <c r="GK15" s="297"/>
      <c r="GL15" s="297"/>
      <c r="GM15" s="297"/>
      <c r="GN15" s="297"/>
      <c r="GO15" s="297"/>
      <c r="GP15" s="297"/>
      <c r="GQ15" s="297"/>
      <c r="GR15" s="297"/>
      <c r="GS15" s="297"/>
      <c r="GT15" s="297"/>
      <c r="GU15" s="297"/>
      <c r="GV15" s="297"/>
      <c r="GW15" s="297"/>
      <c r="GX15" s="297"/>
      <c r="GY15" s="297"/>
      <c r="GZ15" s="297"/>
      <c r="HA15" s="297"/>
      <c r="HB15" s="297"/>
      <c r="HC15" s="297"/>
      <c r="HD15" s="297"/>
      <c r="HE15" s="297"/>
      <c r="HF15" s="297"/>
      <c r="HG15" s="297"/>
      <c r="HH15" s="297"/>
      <c r="HI15" s="297"/>
      <c r="HJ15" s="297"/>
      <c r="HK15" s="297"/>
      <c r="HL15" s="297"/>
      <c r="HM15" s="297"/>
      <c r="HN15" s="297"/>
      <c r="HO15" s="297"/>
      <c r="HP15" s="297"/>
      <c r="HQ15" s="297"/>
      <c r="HR15" s="297"/>
      <c r="HS15" s="297"/>
      <c r="HT15" s="297"/>
      <c r="HU15" s="297"/>
      <c r="HV15" s="297"/>
      <c r="HW15" s="297"/>
      <c r="HX15" s="297"/>
      <c r="HY15" s="297"/>
      <c r="HZ15" s="297"/>
      <c r="IA15" s="297"/>
      <c r="IB15" s="297"/>
      <c r="IC15" s="297"/>
      <c r="ID15" s="297"/>
      <c r="IE15" s="297"/>
      <c r="IF15" s="297"/>
      <c r="IG15" s="297"/>
      <c r="IH15" s="297"/>
      <c r="II15" s="297"/>
      <c r="IJ15" s="297"/>
      <c r="IK15" s="297"/>
      <c r="IL15" s="297"/>
      <c r="IM15" s="297"/>
    </row>
    <row r="16" spans="1:247" ht="12.75" customHeight="1">
      <c r="A16" s="352" t="s">
        <v>55</v>
      </c>
      <c r="B16" s="374"/>
      <c r="C16" s="316" t="s">
        <v>162</v>
      </c>
      <c r="D16" s="357">
        <f>SUM(D10:D15)</f>
        <v>204138471</v>
      </c>
      <c r="E16" s="357">
        <f>SUM(E10:E15)</f>
        <v>197827616</v>
      </c>
      <c r="F16" s="357">
        <f>SUM(F10:F15)</f>
        <v>197827616</v>
      </c>
      <c r="G16" s="357">
        <f>SUM(G10:G15)</f>
        <v>205286816</v>
      </c>
      <c r="H16" s="357">
        <f>SUM(H10:H15)</f>
        <v>205286816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2.75" customHeight="1">
      <c r="A17" s="352" t="s">
        <v>57</v>
      </c>
      <c r="B17" s="354"/>
      <c r="C17" s="358" t="s">
        <v>163</v>
      </c>
      <c r="D17" s="357">
        <v>6848850</v>
      </c>
      <c r="E17" s="357">
        <v>6848850</v>
      </c>
      <c r="F17" s="357">
        <v>6848850</v>
      </c>
      <c r="G17" s="357">
        <f>SUM(G18:G20)</f>
        <v>13257607</v>
      </c>
      <c r="H17" s="357">
        <f>SUM(H18:H20)</f>
        <v>13257607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2.75" customHeight="1">
      <c r="A18" s="351" t="s">
        <v>86</v>
      </c>
      <c r="B18" s="355"/>
      <c r="C18" s="340" t="s">
        <v>827</v>
      </c>
      <c r="D18" s="129"/>
      <c r="E18" s="129"/>
      <c r="F18" s="129"/>
      <c r="G18" s="129">
        <v>9047619</v>
      </c>
      <c r="H18" s="129">
        <v>9047619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8" s="122" customFormat="1" ht="12.75" customHeight="1">
      <c r="A19" s="121" t="s">
        <v>59</v>
      </c>
      <c r="B19" s="356"/>
      <c r="C19" s="340" t="s">
        <v>605</v>
      </c>
      <c r="D19" s="258"/>
      <c r="E19" s="258"/>
      <c r="F19" s="258"/>
      <c r="G19" s="258"/>
      <c r="H19" s="258"/>
    </row>
    <row r="20" spans="1:247" ht="12.75" customHeight="1">
      <c r="A20" s="121" t="s">
        <v>61</v>
      </c>
      <c r="B20" s="217"/>
      <c r="C20" s="340" t="s">
        <v>604</v>
      </c>
      <c r="D20" s="258">
        <v>6848850</v>
      </c>
      <c r="E20" s="258">
        <v>6848850</v>
      </c>
      <c r="F20" s="258">
        <v>6848850</v>
      </c>
      <c r="G20" s="258">
        <v>4209988</v>
      </c>
      <c r="H20" s="258">
        <v>4209988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s="68" customFormat="1" ht="12.75" customHeight="1">
      <c r="A21" s="359" t="s">
        <v>63</v>
      </c>
      <c r="B21" s="100" t="s">
        <v>164</v>
      </c>
      <c r="C21" s="360" t="s">
        <v>165</v>
      </c>
      <c r="D21" s="361">
        <f>SUM(D16+D17)</f>
        <v>210987321</v>
      </c>
      <c r="E21" s="361">
        <f>SUM(E16+E17)</f>
        <v>204676466</v>
      </c>
      <c r="F21" s="361">
        <f>SUM(F16+F17)</f>
        <v>204676466</v>
      </c>
      <c r="G21" s="361">
        <f>SUM(G16+G17)</f>
        <v>218544423</v>
      </c>
      <c r="H21" s="361">
        <f>SUM(H16+H17)</f>
        <v>218544423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</row>
    <row r="22" spans="1:247" s="68" customFormat="1" ht="12.75" customHeight="1">
      <c r="A22" s="359" t="s">
        <v>65</v>
      </c>
      <c r="B22" s="100" t="s">
        <v>166</v>
      </c>
      <c r="C22" s="362" t="s">
        <v>167</v>
      </c>
      <c r="D22" s="361">
        <v>14182798</v>
      </c>
      <c r="E22" s="361"/>
      <c r="F22" s="361"/>
      <c r="G22" s="361"/>
      <c r="H22" s="36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</row>
    <row r="23" spans="1:247" s="68" customFormat="1" ht="12.75" customHeight="1">
      <c r="A23" s="359" t="s">
        <v>92</v>
      </c>
      <c r="B23" s="65" t="s">
        <v>173</v>
      </c>
      <c r="C23" s="185" t="s">
        <v>174</v>
      </c>
      <c r="D23" s="66">
        <f>SUM('1. melléklet'!D19)</f>
        <v>186676160</v>
      </c>
      <c r="E23" s="66">
        <f>SUM('1. melléklet'!E19)</f>
        <v>168451387</v>
      </c>
      <c r="F23" s="66">
        <f>SUM('1. melléklet'!F19)</f>
        <v>168451387</v>
      </c>
      <c r="G23" s="66">
        <f>SUM('1. melléklet'!G19)</f>
        <v>168451387</v>
      </c>
      <c r="H23" s="66">
        <f>SUM('1. melléklet'!H19)</f>
        <v>168451387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</row>
    <row r="24" spans="1:247" ht="12.75" customHeight="1">
      <c r="A24" s="121" t="s">
        <v>66</v>
      </c>
      <c r="B24" s="85"/>
      <c r="C24" s="316" t="s">
        <v>585</v>
      </c>
      <c r="D24" s="84">
        <f>SUM('19 önkormányzat'!E32)</f>
        <v>3345228</v>
      </c>
      <c r="E24" s="84">
        <f>SUM('19 önkormányzat'!F32)</f>
        <v>3345228</v>
      </c>
      <c r="F24" s="84">
        <f>SUM('19 önkormányzat'!G32)</f>
        <v>3345228</v>
      </c>
      <c r="G24" s="84">
        <f>SUM('19 önkormányzat'!H32)</f>
        <v>3345228</v>
      </c>
      <c r="H24" s="84">
        <f>SUM('19 önkormányzat'!I32)</f>
        <v>3345228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2.75" customHeight="1">
      <c r="A25" s="121" t="s">
        <v>67</v>
      </c>
      <c r="B25" s="85"/>
      <c r="C25" s="316" t="s">
        <v>176</v>
      </c>
      <c r="D25" s="84">
        <f>SUM('19 önkormányzat'!E33)</f>
        <v>4026406</v>
      </c>
      <c r="E25" s="84">
        <f>SUM('19 önkormányzat'!F33)</f>
        <v>4000000</v>
      </c>
      <c r="F25" s="84">
        <f>SUM('19 önkormányzat'!G33)</f>
        <v>7217231</v>
      </c>
      <c r="G25" s="84">
        <f>SUM('19 önkormányzat'!H33)</f>
        <v>7217231</v>
      </c>
      <c r="H25" s="84">
        <f>SUM('19 önkormányzat'!I33)</f>
        <v>7217231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2.75" customHeight="1">
      <c r="A26" s="121" t="s">
        <v>68</v>
      </c>
      <c r="B26" s="85"/>
      <c r="C26" s="316" t="s">
        <v>177</v>
      </c>
      <c r="D26" s="84">
        <f>SUM('19 önkormányzat'!E34)</f>
        <v>2389529</v>
      </c>
      <c r="E26" s="84">
        <f>SUM('19 önkormányzat'!F34)</f>
        <v>2400000</v>
      </c>
      <c r="F26" s="84">
        <f>SUM('19 önkormányzat'!G34)</f>
        <v>2400000</v>
      </c>
      <c r="G26" s="84">
        <f>SUM('19 önkormányzat'!H34)</f>
        <v>2400000</v>
      </c>
      <c r="H26" s="84">
        <f>SUM('19 önkormányzat'!I34)</f>
        <v>2400000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3.5" customHeight="1">
      <c r="A27" s="121" t="s">
        <v>70</v>
      </c>
      <c r="B27" s="85"/>
      <c r="C27" s="316" t="s">
        <v>179</v>
      </c>
      <c r="D27" s="84">
        <f>SUM('19 önkormányzat'!E35)</f>
        <v>6025093</v>
      </c>
      <c r="E27" s="84">
        <f>SUM('19 önkormányzat'!F35)</f>
        <v>6000000</v>
      </c>
      <c r="F27" s="84">
        <f>SUM('19 önkormányzat'!G35)</f>
        <v>6000000</v>
      </c>
      <c r="G27" s="84">
        <f>SUM('19 önkormányzat'!H35)</f>
        <v>6000000</v>
      </c>
      <c r="H27" s="84">
        <f>SUM('19 önkormányzat'!I35)</f>
        <v>9780000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3.5" customHeight="1">
      <c r="A28" s="121" t="s">
        <v>97</v>
      </c>
      <c r="B28" s="85"/>
      <c r="C28" s="316" t="s">
        <v>710</v>
      </c>
      <c r="D28" s="84">
        <f>SUM('19 önkormányzat'!E36)</f>
        <v>0</v>
      </c>
      <c r="E28" s="84">
        <f>SUM('19 önkormányzat'!F36)</f>
        <v>0</v>
      </c>
      <c r="F28" s="84">
        <f>SUM('19 önkormányzat'!G36)</f>
        <v>0</v>
      </c>
      <c r="G28" s="84">
        <f>SUM('19 önkormányzat'!H36)</f>
        <v>0</v>
      </c>
      <c r="H28" s="84">
        <f>SUM('19 önkormányzat'!I36)</f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2.75" customHeight="1">
      <c r="A29" s="121" t="s">
        <v>99</v>
      </c>
      <c r="B29" s="85"/>
      <c r="C29" s="314" t="s">
        <v>596</v>
      </c>
      <c r="D29" s="84">
        <f>SUM('19 önkormányzat'!E37)</f>
        <v>535</v>
      </c>
      <c r="E29" s="84">
        <f>SUM('19 önkormányzat'!F37)</f>
        <v>0</v>
      </c>
      <c r="F29" s="84">
        <f>SUM('19 önkormányzat'!G37)</f>
        <v>0</v>
      </c>
      <c r="G29" s="84">
        <f>SUM('19 önkormányzat'!H37)</f>
        <v>0</v>
      </c>
      <c r="H29" s="84">
        <f>SUM('19 önkormányzat'!I37)</f>
        <v>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2.75" customHeight="1">
      <c r="A30" s="121" t="s">
        <v>101</v>
      </c>
      <c r="B30" s="85"/>
      <c r="C30" s="918" t="s">
        <v>821</v>
      </c>
      <c r="D30" s="84">
        <f>SUM('19 önkormányzat'!E38)</f>
        <v>660167</v>
      </c>
      <c r="E30" s="84">
        <f>SUM('19 önkormányzat'!F38)</f>
        <v>0</v>
      </c>
      <c r="F30" s="84">
        <f>SUM('19 önkormányzat'!G38)</f>
        <v>0</v>
      </c>
      <c r="G30" s="84">
        <f>SUM('19 önkormányzat'!H38)</f>
        <v>0</v>
      </c>
      <c r="H30" s="84">
        <f>SUM('19 önkormányzat'!I38)</f>
        <v>113750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2.75" customHeight="1">
      <c r="A31" s="121" t="s">
        <v>103</v>
      </c>
      <c r="B31" s="85"/>
      <c r="C31" s="324" t="s">
        <v>181</v>
      </c>
      <c r="D31" s="84">
        <f>SUM('19 önkormányzat'!E39)</f>
        <v>310271</v>
      </c>
      <c r="E31" s="84">
        <f>SUM('19 önkormányzat'!F39)</f>
        <v>0</v>
      </c>
      <c r="F31" s="84">
        <f>SUM('19 önkormányzat'!G39)</f>
        <v>0</v>
      </c>
      <c r="G31" s="84">
        <f>SUM('19 önkormányzat'!H39)</f>
        <v>25243</v>
      </c>
      <c r="H31" s="84">
        <f>SUM('19 önkormányzat'!I39)</f>
        <v>2442485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s="68" customFormat="1" ht="12.75" customHeight="1">
      <c r="A32" s="384" t="s">
        <v>105</v>
      </c>
      <c r="B32" s="301" t="s">
        <v>182</v>
      </c>
      <c r="C32" s="639" t="s">
        <v>216</v>
      </c>
      <c r="D32" s="89">
        <f>SUM(D24:D31)</f>
        <v>16757229</v>
      </c>
      <c r="E32" s="89">
        <f>SUM(E24:E31)</f>
        <v>15745228</v>
      </c>
      <c r="F32" s="89">
        <f>SUM(F24:F31)</f>
        <v>18962459</v>
      </c>
      <c r="G32" s="89">
        <f>SUM(G24:G31)</f>
        <v>18987702</v>
      </c>
      <c r="H32" s="89">
        <f>SUM(H24:H31)</f>
        <v>25298699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</row>
    <row r="33" spans="1:251" s="10" customFormat="1" ht="12.75" customHeight="1">
      <c r="A33" s="420" t="s">
        <v>107</v>
      </c>
      <c r="B33" s="420" t="s">
        <v>183</v>
      </c>
      <c r="C33" s="480" t="s">
        <v>13</v>
      </c>
      <c r="D33" s="438">
        <f>SUM('19 önkormányzat'!E41)</f>
        <v>15566246</v>
      </c>
      <c r="E33" s="438">
        <f>SUM('19 önkormányzat'!F41)</f>
        <v>24150568</v>
      </c>
      <c r="F33" s="438">
        <f>SUM('19 önkormányzat'!G41)</f>
        <v>24150568</v>
      </c>
      <c r="G33" s="438">
        <f>SUM('19 önkormányzat'!H41)</f>
        <v>24152932</v>
      </c>
      <c r="H33" s="438">
        <f>SUM('19 önkormányzat'!I41)</f>
        <v>38152932</v>
      </c>
      <c r="IN33" s="68"/>
      <c r="IO33" s="68"/>
      <c r="IP33" s="68"/>
      <c r="IQ33" s="68"/>
    </row>
    <row r="34" spans="1:251" s="10" customFormat="1" ht="12.75" customHeight="1">
      <c r="A34" s="420" t="s">
        <v>109</v>
      </c>
      <c r="B34" s="420" t="s">
        <v>184</v>
      </c>
      <c r="C34" s="480" t="s">
        <v>185</v>
      </c>
      <c r="D34" s="438">
        <f>SUM('19 önkormányzat'!E46)</f>
        <v>815220</v>
      </c>
      <c r="E34" s="438">
        <f>SUM('19 önkormányzat'!F46)</f>
        <v>78000</v>
      </c>
      <c r="F34" s="438">
        <f>SUM('19 önkormányzat'!G46)</f>
        <v>78000</v>
      </c>
      <c r="G34" s="438">
        <f>SUM('19 önkormányzat'!H46)</f>
        <v>78000</v>
      </c>
      <c r="H34" s="438">
        <f>SUM('19 önkormányzat'!I46)</f>
        <v>78000</v>
      </c>
      <c r="IN34" s="68"/>
      <c r="IO34" s="68"/>
      <c r="IP34" s="68"/>
      <c r="IQ34" s="68"/>
    </row>
    <row r="35" spans="1:247" s="68" customFormat="1" ht="12.75" customHeight="1">
      <c r="A35" s="640" t="s">
        <v>111</v>
      </c>
      <c r="B35" s="114" t="s">
        <v>186</v>
      </c>
      <c r="C35" s="641" t="s">
        <v>225</v>
      </c>
      <c r="D35" s="438">
        <v>3200000</v>
      </c>
      <c r="E35" s="438">
        <v>0</v>
      </c>
      <c r="F35" s="438">
        <v>0</v>
      </c>
      <c r="G35" s="438">
        <v>0</v>
      </c>
      <c r="H35" s="438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</row>
    <row r="36" spans="1:247" ht="12.75" customHeight="1">
      <c r="A36" s="121" t="s">
        <v>113</v>
      </c>
      <c r="B36" s="217"/>
      <c r="C36" s="349" t="s">
        <v>613</v>
      </c>
      <c r="D36" s="84"/>
      <c r="E36" s="84"/>
      <c r="F36" s="84"/>
      <c r="G36" s="84"/>
      <c r="H36" s="8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51" s="300" customFormat="1" ht="26.25" customHeight="1">
      <c r="A37" s="367" t="s">
        <v>115</v>
      </c>
      <c r="B37" s="368"/>
      <c r="C37" s="642" t="s">
        <v>611</v>
      </c>
      <c r="D37" s="369"/>
      <c r="E37" s="369"/>
      <c r="F37" s="369"/>
      <c r="G37" s="369"/>
      <c r="H37" s="369"/>
      <c r="IN37" s="365"/>
      <c r="IO37" s="365"/>
      <c r="IP37" s="365"/>
      <c r="IQ37" s="365"/>
    </row>
    <row r="38" spans="1:247" ht="12.75" customHeight="1">
      <c r="A38" s="121" t="s">
        <v>117</v>
      </c>
      <c r="B38" s="217"/>
      <c r="C38" s="316" t="s">
        <v>612</v>
      </c>
      <c r="D38" s="258">
        <f>SUM(D36:D37)</f>
        <v>0</v>
      </c>
      <c r="E38" s="258">
        <f>SUM(E36:E37)</f>
        <v>0</v>
      </c>
      <c r="F38" s="258">
        <f>SUM(F36:F37)</f>
        <v>0</v>
      </c>
      <c r="G38" s="258">
        <f>SUM(G36:G37)</f>
        <v>0</v>
      </c>
      <c r="H38" s="258">
        <f>SUM(H36:H37)</f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2.75" customHeight="1">
      <c r="A39" s="121" t="s">
        <v>118</v>
      </c>
      <c r="B39" s="217"/>
      <c r="C39" s="316" t="s">
        <v>220</v>
      </c>
      <c r="D39" s="84">
        <f>SUM('19 önkormányzat'!E52)</f>
        <v>727099046</v>
      </c>
      <c r="E39" s="84">
        <f>SUM('19 önkormányzat'!F52)</f>
        <v>654580501</v>
      </c>
      <c r="F39" s="84">
        <f>SUM('19 önkormányzat'!G52)</f>
        <v>651363270</v>
      </c>
      <c r="G39" s="84">
        <f>SUM('19 önkormányzat'!H52)</f>
        <v>651363270</v>
      </c>
      <c r="H39" s="84">
        <f>SUM('19 önkormányzat'!I52)</f>
        <v>651363270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2.75" customHeight="1">
      <c r="A40" s="121" t="s">
        <v>120</v>
      </c>
      <c r="B40" s="217"/>
      <c r="C40" s="316" t="s">
        <v>223</v>
      </c>
      <c r="D40" s="84">
        <f>SUM('19 önkormányzat'!E55)</f>
        <v>9417924</v>
      </c>
      <c r="E40" s="84">
        <f>SUM('19 önkormányzat'!F55)</f>
        <v>7035063</v>
      </c>
      <c r="F40" s="84">
        <f>SUM('19 önkormányzat'!G55)</f>
        <v>7035063</v>
      </c>
      <c r="G40" s="84">
        <f>SUM('19 önkormányzat'!H55)</f>
        <v>7035063</v>
      </c>
      <c r="H40" s="84">
        <f>SUM('19 önkormányzat'!I55)</f>
        <v>7035063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s="68" customFormat="1" ht="12.75" customHeight="1" thickBot="1">
      <c r="A41" s="384" t="s">
        <v>122</v>
      </c>
      <c r="B41" s="301" t="s">
        <v>189</v>
      </c>
      <c r="C41" s="385" t="s">
        <v>614</v>
      </c>
      <c r="D41" s="386">
        <f>SUM(D39:D40)</f>
        <v>736516970</v>
      </c>
      <c r="E41" s="386">
        <f>SUM(E39:E40)</f>
        <v>661615564</v>
      </c>
      <c r="F41" s="386">
        <f>SUM(F39:F40)</f>
        <v>658398333</v>
      </c>
      <c r="G41" s="386">
        <f>SUM(G39:G40)</f>
        <v>658398333</v>
      </c>
      <c r="H41" s="386">
        <f>SUM(H39:H40)</f>
        <v>658398333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</row>
    <row r="42" spans="1:247" s="137" customFormat="1" ht="17.25" customHeight="1" thickBot="1">
      <c r="A42" s="387" t="s">
        <v>124</v>
      </c>
      <c r="B42" s="388"/>
      <c r="C42" s="389" t="s">
        <v>236</v>
      </c>
      <c r="D42" s="390">
        <f>SUM(D21+D22+D23+D32+D33+D35+D41)+D34</f>
        <v>1184701944</v>
      </c>
      <c r="E42" s="390">
        <f>SUM(E21+E22+E23+E32+E33+E35+E41)+E34</f>
        <v>1074717213</v>
      </c>
      <c r="F42" s="390">
        <f>SUM(F21+F22+F23+F32+F33+F35+F41)+F34</f>
        <v>1074717213</v>
      </c>
      <c r="G42" s="390">
        <f>SUM(G21+G22+G23+G32+G33+G35+G41)+G34</f>
        <v>1088612777</v>
      </c>
      <c r="H42" s="390">
        <f>SUM(H21+H22+H23+H32+H33+H35+H41)+H34</f>
        <v>1108923774</v>
      </c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/>
      <c r="CF42" s="366"/>
      <c r="CG42" s="366"/>
      <c r="CH42" s="366"/>
      <c r="CI42" s="366"/>
      <c r="CJ42" s="366"/>
      <c r="CK42" s="366"/>
      <c r="CL42" s="366"/>
      <c r="CM42" s="366"/>
      <c r="CN42" s="366"/>
      <c r="CO42" s="366"/>
      <c r="CP42" s="366"/>
      <c r="CQ42" s="366"/>
      <c r="CR42" s="366"/>
      <c r="CS42" s="366"/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F42" s="366"/>
      <c r="DG42" s="366"/>
      <c r="DH42" s="366"/>
      <c r="DI42" s="366"/>
      <c r="DJ42" s="366"/>
      <c r="DK42" s="366"/>
      <c r="DL42" s="366"/>
      <c r="DM42" s="366"/>
      <c r="DN42" s="366"/>
      <c r="DO42" s="366"/>
      <c r="DP42" s="366"/>
      <c r="DQ42" s="366"/>
      <c r="DR42" s="366"/>
      <c r="DS42" s="366"/>
      <c r="DT42" s="366"/>
      <c r="DU42" s="366"/>
      <c r="DV42" s="366"/>
      <c r="DW42" s="366"/>
      <c r="DX42" s="366"/>
      <c r="DY42" s="366"/>
      <c r="DZ42" s="366"/>
      <c r="EA42" s="366"/>
      <c r="EB42" s="366"/>
      <c r="EC42" s="366"/>
      <c r="ED42" s="366"/>
      <c r="EE42" s="366"/>
      <c r="EF42" s="366"/>
      <c r="EG42" s="366"/>
      <c r="EH42" s="366"/>
      <c r="EI42" s="366"/>
      <c r="EJ42" s="366"/>
      <c r="EK42" s="366"/>
      <c r="EL42" s="366"/>
      <c r="EM42" s="366"/>
      <c r="EN42" s="366"/>
      <c r="EO42" s="366"/>
      <c r="EP42" s="366"/>
      <c r="EQ42" s="366"/>
      <c r="ER42" s="366"/>
      <c r="ES42" s="366"/>
      <c r="ET42" s="366"/>
      <c r="EU42" s="366"/>
      <c r="EV42" s="366"/>
      <c r="EW42" s="366"/>
      <c r="EX42" s="366"/>
      <c r="EY42" s="366"/>
      <c r="EZ42" s="366"/>
      <c r="FA42" s="366"/>
      <c r="FB42" s="366"/>
      <c r="FC42" s="366"/>
      <c r="FD42" s="366"/>
      <c r="FE42" s="366"/>
      <c r="FF42" s="366"/>
      <c r="FG42" s="366"/>
      <c r="FH42" s="366"/>
      <c r="FI42" s="366"/>
      <c r="FJ42" s="366"/>
      <c r="FK42" s="366"/>
      <c r="FL42" s="366"/>
      <c r="FM42" s="366"/>
      <c r="FN42" s="366"/>
      <c r="FO42" s="366"/>
      <c r="FP42" s="366"/>
      <c r="FQ42" s="366"/>
      <c r="FR42" s="366"/>
      <c r="FS42" s="366"/>
      <c r="FT42" s="366"/>
      <c r="FU42" s="366"/>
      <c r="FV42" s="366"/>
      <c r="FW42" s="366"/>
      <c r="FX42" s="366"/>
      <c r="FY42" s="366"/>
      <c r="FZ42" s="366"/>
      <c r="GA42" s="366"/>
      <c r="GB42" s="366"/>
      <c r="GC42" s="366"/>
      <c r="GD42" s="366"/>
      <c r="GE42" s="366"/>
      <c r="GF42" s="366"/>
      <c r="GG42" s="366"/>
      <c r="GH42" s="366"/>
      <c r="GI42" s="366"/>
      <c r="GJ42" s="366"/>
      <c r="GK42" s="366"/>
      <c r="GL42" s="366"/>
      <c r="GM42" s="366"/>
      <c r="GN42" s="366"/>
      <c r="GO42" s="366"/>
      <c r="GP42" s="366"/>
      <c r="GQ42" s="366"/>
      <c r="GR42" s="366"/>
      <c r="GS42" s="366"/>
      <c r="GT42" s="366"/>
      <c r="GU42" s="366"/>
      <c r="GV42" s="366"/>
      <c r="GW42" s="366"/>
      <c r="GX42" s="366"/>
      <c r="GY42" s="366"/>
      <c r="GZ42" s="366"/>
      <c r="HA42" s="366"/>
      <c r="HB42" s="366"/>
      <c r="HC42" s="366"/>
      <c r="HD42" s="366"/>
      <c r="HE42" s="366"/>
      <c r="HF42" s="366"/>
      <c r="HG42" s="366"/>
      <c r="HH42" s="366"/>
      <c r="HI42" s="366"/>
      <c r="HJ42" s="366"/>
      <c r="HK42" s="366"/>
      <c r="HL42" s="366"/>
      <c r="HM42" s="366"/>
      <c r="HN42" s="366"/>
      <c r="HO42" s="366"/>
      <c r="HP42" s="366"/>
      <c r="HQ42" s="366"/>
      <c r="HR42" s="366"/>
      <c r="HS42" s="366"/>
      <c r="HT42" s="366"/>
      <c r="HU42" s="366"/>
      <c r="HV42" s="366"/>
      <c r="HW42" s="366"/>
      <c r="HX42" s="366"/>
      <c r="HY42" s="366"/>
      <c r="HZ42" s="366"/>
      <c r="IA42" s="366"/>
      <c r="IB42" s="366"/>
      <c r="IC42" s="366"/>
      <c r="ID42" s="366"/>
      <c r="IE42" s="366"/>
      <c r="IF42" s="366"/>
      <c r="IG42" s="366"/>
      <c r="IH42" s="366"/>
      <c r="II42" s="366"/>
      <c r="IJ42" s="366"/>
      <c r="IK42" s="366"/>
      <c r="IL42" s="366"/>
      <c r="IM42" s="366"/>
    </row>
    <row r="43" spans="1:247" ht="12.75" customHeight="1" thickBot="1">
      <c r="A43" s="1695" t="s">
        <v>306</v>
      </c>
      <c r="B43" s="1695"/>
      <c r="C43" s="1695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25.5" customHeight="1">
      <c r="A44" s="1691" t="s">
        <v>156</v>
      </c>
      <c r="B44" s="1692"/>
      <c r="C44" s="331" t="s">
        <v>157</v>
      </c>
      <c r="D44" s="381" t="s">
        <v>1078</v>
      </c>
      <c r="E44" s="381" t="s">
        <v>997</v>
      </c>
      <c r="F44" s="381" t="s">
        <v>1139</v>
      </c>
      <c r="G44" s="381" t="s">
        <v>1141</v>
      </c>
      <c r="H44" s="381" t="s">
        <v>1164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2.75" customHeight="1" thickBot="1">
      <c r="A45" s="1693"/>
      <c r="B45" s="1694"/>
      <c r="C45" s="333" t="s">
        <v>158</v>
      </c>
      <c r="D45" s="393" t="s">
        <v>159</v>
      </c>
      <c r="E45" s="393" t="s">
        <v>160</v>
      </c>
      <c r="F45" s="393" t="s">
        <v>161</v>
      </c>
      <c r="G45" s="393" t="s">
        <v>462</v>
      </c>
      <c r="H45" s="393" t="s">
        <v>482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30" customHeight="1">
      <c r="A46" s="126" t="s">
        <v>38</v>
      </c>
      <c r="B46" s="85"/>
      <c r="C46" s="353" t="s">
        <v>615</v>
      </c>
      <c r="D46" s="84">
        <v>1348461</v>
      </c>
      <c r="E46" s="84">
        <v>0</v>
      </c>
      <c r="F46" s="84">
        <v>0</v>
      </c>
      <c r="G46" s="84">
        <v>0</v>
      </c>
      <c r="H46" s="84">
        <v>1156271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s="68" customFormat="1" ht="12.75" customHeight="1">
      <c r="A47" s="127" t="s">
        <v>40</v>
      </c>
      <c r="B47" s="65" t="s">
        <v>164</v>
      </c>
      <c r="C47" s="360" t="s">
        <v>165</v>
      </c>
      <c r="D47" s="66">
        <f>SUM(D46:D46)</f>
        <v>1348461</v>
      </c>
      <c r="E47" s="66">
        <f>SUM(E46:E46)</f>
        <v>0</v>
      </c>
      <c r="F47" s="66">
        <f>SUM(F46:F46)</f>
        <v>0</v>
      </c>
      <c r="G47" s="66">
        <f>SUM(G46:G46)</f>
        <v>0</v>
      </c>
      <c r="H47" s="66">
        <f>SUM(H46:H46)</f>
        <v>1156271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</row>
    <row r="48" spans="1:247" ht="12.75" customHeight="1">
      <c r="A48" s="126" t="s">
        <v>47</v>
      </c>
      <c r="B48" s="85"/>
      <c r="C48" s="316" t="s">
        <v>585</v>
      </c>
      <c r="D48" s="84">
        <f>SUM('17. Hivatal'!E11)</f>
        <v>211001</v>
      </c>
      <c r="E48" s="84">
        <f>SUM('17. Hivatal'!F11)</f>
        <v>212000</v>
      </c>
      <c r="F48" s="84">
        <f>SUM('17. Hivatal'!G11)</f>
        <v>212000</v>
      </c>
      <c r="G48" s="84">
        <f>SUM('17. Hivatal'!H11)</f>
        <v>212000</v>
      </c>
      <c r="H48" s="84">
        <f>SUM('17. Hivatal'!I11)</f>
        <v>212000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2.75" customHeight="1">
      <c r="A49" s="126" t="s">
        <v>49</v>
      </c>
      <c r="B49" s="85"/>
      <c r="C49" s="316" t="s">
        <v>176</v>
      </c>
      <c r="D49" s="84">
        <f>SUM('17. Hivatal'!E12)</f>
        <v>776710</v>
      </c>
      <c r="E49" s="84">
        <f>SUM('17. Hivatal'!F12)</f>
        <v>780000</v>
      </c>
      <c r="F49" s="84">
        <f>SUM('17. Hivatal'!G12)</f>
        <v>780000</v>
      </c>
      <c r="G49" s="84">
        <f>SUM('17. Hivatal'!H12)</f>
        <v>780000</v>
      </c>
      <c r="H49" s="84">
        <f>SUM('17. Hivatal'!I12)</f>
        <v>1003215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2.75" customHeight="1">
      <c r="A50" s="375" t="s">
        <v>51</v>
      </c>
      <c r="B50" s="85"/>
      <c r="C50" s="316" t="s">
        <v>177</v>
      </c>
      <c r="D50" s="84">
        <f>SUM('17. Hivatal'!E13)</f>
        <v>218077</v>
      </c>
      <c r="E50" s="84">
        <f>SUM('17. Hivatal'!F13)</f>
        <v>220000</v>
      </c>
      <c r="F50" s="84">
        <f>SUM('17. Hivatal'!G13)</f>
        <v>220000</v>
      </c>
      <c r="G50" s="84">
        <f>SUM('17. Hivatal'!H13)</f>
        <v>220000</v>
      </c>
      <c r="H50" s="84">
        <f>SUM('17. Hivatal'!I13)</f>
        <v>300000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2.75" customHeight="1">
      <c r="A51" s="352" t="s">
        <v>53</v>
      </c>
      <c r="B51" s="143"/>
      <c r="C51" s="316" t="s">
        <v>179</v>
      </c>
      <c r="D51" s="84">
        <f>SUM('17. Hivatal'!E14)</f>
        <v>2</v>
      </c>
      <c r="E51" s="84">
        <f>SUM('17. Hivatal'!F14)</f>
        <v>0</v>
      </c>
      <c r="F51" s="84">
        <f>SUM('17. Hivatal'!G14)</f>
        <v>0</v>
      </c>
      <c r="G51" s="84">
        <f>SUM('17. Hivatal'!H14)</f>
        <v>0</v>
      </c>
      <c r="H51" s="84">
        <f>SUM('17. Hivatal'!I14)</f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2.75" customHeight="1">
      <c r="A52" s="352" t="s">
        <v>55</v>
      </c>
      <c r="B52" s="143"/>
      <c r="C52" s="314" t="s">
        <v>596</v>
      </c>
      <c r="D52" s="84">
        <f>SUM('17. Hivatal'!E15)</f>
        <v>0</v>
      </c>
      <c r="E52" s="84">
        <f>SUM('17. Hivatal'!F15)</f>
        <v>0</v>
      </c>
      <c r="F52" s="84">
        <f>SUM('17. Hivatal'!G15)</f>
        <v>0</v>
      </c>
      <c r="G52" s="84">
        <f>SUM('17. Hivatal'!H15)</f>
        <v>3</v>
      </c>
      <c r="H52" s="84">
        <f>SUM('17. Hivatal'!I15)</f>
        <v>12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2.75" customHeight="1">
      <c r="A53" s="352" t="s">
        <v>57</v>
      </c>
      <c r="B53" s="143"/>
      <c r="C53" s="324" t="s">
        <v>181</v>
      </c>
      <c r="D53" s="84">
        <f>SUM('17. Hivatal'!E16)</f>
        <v>533000</v>
      </c>
      <c r="E53" s="84">
        <f>SUM('17. Hivatal'!F16)</f>
        <v>0</v>
      </c>
      <c r="F53" s="84">
        <f>SUM('17. Hivatal'!G16)</f>
        <v>0</v>
      </c>
      <c r="G53" s="84">
        <f>SUM('17. Hivatal'!H16)</f>
        <v>0</v>
      </c>
      <c r="H53" s="84">
        <f>SUM('17. Hivatal'!I16)</f>
        <v>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s="68" customFormat="1" ht="12.75" customHeight="1">
      <c r="A54" s="373" t="s">
        <v>86</v>
      </c>
      <c r="B54" s="138" t="s">
        <v>166</v>
      </c>
      <c r="C54" s="363" t="s">
        <v>216</v>
      </c>
      <c r="D54" s="361">
        <f>SUM(D48:D53)</f>
        <v>1738790</v>
      </c>
      <c r="E54" s="361">
        <f>SUM(E48:E53)</f>
        <v>1212000</v>
      </c>
      <c r="F54" s="361">
        <f>SUM(F48:F53)</f>
        <v>1212000</v>
      </c>
      <c r="G54" s="361">
        <f>SUM(G48:G53)</f>
        <v>1212003</v>
      </c>
      <c r="H54" s="361">
        <f>SUM(H48:H53)</f>
        <v>1515227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</row>
    <row r="55" spans="1:247" ht="12.75" customHeight="1">
      <c r="A55" s="352" t="s">
        <v>59</v>
      </c>
      <c r="B55" s="141"/>
      <c r="C55" s="341" t="s">
        <v>220</v>
      </c>
      <c r="D55" s="84">
        <f>SUM('17. Hivatal'!E19)</f>
        <v>790211</v>
      </c>
      <c r="E55" s="84">
        <f>SUM('17. Hivatal'!F19)</f>
        <v>267350</v>
      </c>
      <c r="F55" s="84">
        <f>SUM('17. Hivatal'!G19)</f>
        <v>267350</v>
      </c>
      <c r="G55" s="84">
        <f>SUM('17. Hivatal'!H19)</f>
        <v>267350</v>
      </c>
      <c r="H55" s="84">
        <f>SUM('17. Hivatal'!I19)</f>
        <v>267350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ht="12.75" customHeight="1">
      <c r="A56" s="352" t="s">
        <v>61</v>
      </c>
      <c r="B56" s="141"/>
      <c r="C56" s="341" t="s">
        <v>697</v>
      </c>
      <c r="D56" s="258">
        <f>SUM('17. Hivatal'!E21)</f>
        <v>59519465</v>
      </c>
      <c r="E56" s="258">
        <f>SUM('17. Hivatal'!F21)</f>
        <v>62033420</v>
      </c>
      <c r="F56" s="258">
        <f>SUM('17. Hivatal'!G21)</f>
        <v>62033420</v>
      </c>
      <c r="G56" s="258">
        <f>SUM('17. Hivatal'!H21)</f>
        <v>69492620</v>
      </c>
      <c r="H56" s="258">
        <f>SUM('17. Hivatal'!I21)</f>
        <v>69492620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ht="12.75" customHeight="1">
      <c r="A57" s="352" t="s">
        <v>63</v>
      </c>
      <c r="B57" s="141"/>
      <c r="C57" s="341" t="s">
        <v>616</v>
      </c>
      <c r="D57" s="258">
        <f>SUM('17. Hivatal'!E22)</f>
        <v>19554240</v>
      </c>
      <c r="E57" s="258">
        <f>SUM('17. Hivatal'!F22)</f>
        <v>25435374</v>
      </c>
      <c r="F57" s="258">
        <f>SUM('17. Hivatal'!G22)</f>
        <v>25435374</v>
      </c>
      <c r="G57" s="258">
        <f>SUM('17. Hivatal'!H22)</f>
        <v>25435374</v>
      </c>
      <c r="H57" s="258">
        <f>SUM('17. Hivatal'!I22)</f>
        <v>25435374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s="68" customFormat="1" ht="12.75" customHeight="1" thickBot="1">
      <c r="A58" s="403" t="s">
        <v>65</v>
      </c>
      <c r="B58" s="404" t="s">
        <v>173</v>
      </c>
      <c r="C58" s="385" t="s">
        <v>614</v>
      </c>
      <c r="D58" s="386">
        <f>SUM(D55:D57)</f>
        <v>79863916</v>
      </c>
      <c r="E58" s="386">
        <f>SUM(E55:E57)</f>
        <v>87736144</v>
      </c>
      <c r="F58" s="386">
        <f>SUM(F55:F57)</f>
        <v>87736144</v>
      </c>
      <c r="G58" s="386">
        <f>SUM(G55:G57)</f>
        <v>95195344</v>
      </c>
      <c r="H58" s="386">
        <f>SUM(H55:H57)</f>
        <v>95195344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</row>
    <row r="59" spans="1:247" s="137" customFormat="1" ht="20.25" customHeight="1" thickBot="1">
      <c r="A59" s="387" t="s">
        <v>92</v>
      </c>
      <c r="B59" s="388"/>
      <c r="C59" s="389" t="s">
        <v>966</v>
      </c>
      <c r="D59" s="390">
        <f>SUM(D58,D54,D47)</f>
        <v>82951167</v>
      </c>
      <c r="E59" s="390">
        <f>SUM(E58,E54,E47)</f>
        <v>88948144</v>
      </c>
      <c r="F59" s="390">
        <f>SUM(F58,F54,F47)</f>
        <v>88948144</v>
      </c>
      <c r="G59" s="390">
        <f>SUM(G58,G54,G47)</f>
        <v>96407347</v>
      </c>
      <c r="H59" s="390">
        <f>SUM(H58,H54,H47)</f>
        <v>97866842</v>
      </c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6"/>
      <c r="AL59" s="366"/>
      <c r="AM59" s="366"/>
      <c r="AN59" s="366"/>
      <c r="AO59" s="366"/>
      <c r="AP59" s="366"/>
      <c r="AQ59" s="366"/>
      <c r="AR59" s="366"/>
      <c r="AS59" s="366"/>
      <c r="AT59" s="366"/>
      <c r="AU59" s="366"/>
      <c r="AV59" s="366"/>
      <c r="AW59" s="366"/>
      <c r="AX59" s="366"/>
      <c r="AY59" s="366"/>
      <c r="AZ59" s="366"/>
      <c r="BA59" s="366"/>
      <c r="BB59" s="366"/>
      <c r="BC59" s="366"/>
      <c r="BD59" s="366"/>
      <c r="BE59" s="366"/>
      <c r="BF59" s="366"/>
      <c r="BG59" s="366"/>
      <c r="BH59" s="366"/>
      <c r="BI59" s="366"/>
      <c r="BJ59" s="366"/>
      <c r="BK59" s="366"/>
      <c r="BL59" s="366"/>
      <c r="BM59" s="366"/>
      <c r="BN59" s="366"/>
      <c r="BO59" s="366"/>
      <c r="BP59" s="366"/>
      <c r="BQ59" s="366"/>
      <c r="BR59" s="366"/>
      <c r="BS59" s="366"/>
      <c r="BT59" s="366"/>
      <c r="BU59" s="366"/>
      <c r="BV59" s="366"/>
      <c r="BW59" s="366"/>
      <c r="BX59" s="366"/>
      <c r="BY59" s="366"/>
      <c r="BZ59" s="366"/>
      <c r="CA59" s="366"/>
      <c r="CB59" s="366"/>
      <c r="CC59" s="366"/>
      <c r="CD59" s="366"/>
      <c r="CE59" s="366"/>
      <c r="CF59" s="366"/>
      <c r="CG59" s="366"/>
      <c r="CH59" s="366"/>
      <c r="CI59" s="366"/>
      <c r="CJ59" s="366"/>
      <c r="CK59" s="366"/>
      <c r="CL59" s="366"/>
      <c r="CM59" s="366"/>
      <c r="CN59" s="366"/>
      <c r="CO59" s="366"/>
      <c r="CP59" s="366"/>
      <c r="CQ59" s="366"/>
      <c r="CR59" s="366"/>
      <c r="CS59" s="366"/>
      <c r="CT59" s="366"/>
      <c r="CU59" s="366"/>
      <c r="CV59" s="366"/>
      <c r="CW59" s="366"/>
      <c r="CX59" s="366"/>
      <c r="CY59" s="366"/>
      <c r="CZ59" s="366"/>
      <c r="DA59" s="366"/>
      <c r="DB59" s="366"/>
      <c r="DC59" s="366"/>
      <c r="DD59" s="366"/>
      <c r="DE59" s="366"/>
      <c r="DF59" s="366"/>
      <c r="DG59" s="366"/>
      <c r="DH59" s="366"/>
      <c r="DI59" s="366"/>
      <c r="DJ59" s="366"/>
      <c r="DK59" s="366"/>
      <c r="DL59" s="366"/>
      <c r="DM59" s="366"/>
      <c r="DN59" s="366"/>
      <c r="DO59" s="366"/>
      <c r="DP59" s="366"/>
      <c r="DQ59" s="366"/>
      <c r="DR59" s="366"/>
      <c r="DS59" s="366"/>
      <c r="DT59" s="366"/>
      <c r="DU59" s="366"/>
      <c r="DV59" s="366"/>
      <c r="DW59" s="366"/>
      <c r="DX59" s="366"/>
      <c r="DY59" s="366"/>
      <c r="DZ59" s="366"/>
      <c r="EA59" s="366"/>
      <c r="EB59" s="366"/>
      <c r="EC59" s="366"/>
      <c r="ED59" s="366"/>
      <c r="EE59" s="366"/>
      <c r="EF59" s="366"/>
      <c r="EG59" s="366"/>
      <c r="EH59" s="366"/>
      <c r="EI59" s="366"/>
      <c r="EJ59" s="366"/>
      <c r="EK59" s="366"/>
      <c r="EL59" s="366"/>
      <c r="EM59" s="366"/>
      <c r="EN59" s="366"/>
      <c r="EO59" s="366"/>
      <c r="EP59" s="366"/>
      <c r="EQ59" s="366"/>
      <c r="ER59" s="366"/>
      <c r="ES59" s="366"/>
      <c r="ET59" s="366"/>
      <c r="EU59" s="366"/>
      <c r="EV59" s="366"/>
      <c r="EW59" s="366"/>
      <c r="EX59" s="366"/>
      <c r="EY59" s="366"/>
      <c r="EZ59" s="366"/>
      <c r="FA59" s="366"/>
      <c r="FB59" s="366"/>
      <c r="FC59" s="366"/>
      <c r="FD59" s="366"/>
      <c r="FE59" s="366"/>
      <c r="FF59" s="366"/>
      <c r="FG59" s="366"/>
      <c r="FH59" s="366"/>
      <c r="FI59" s="366"/>
      <c r="FJ59" s="366"/>
      <c r="FK59" s="366"/>
      <c r="FL59" s="366"/>
      <c r="FM59" s="366"/>
      <c r="FN59" s="366"/>
      <c r="FO59" s="366"/>
      <c r="FP59" s="366"/>
      <c r="FQ59" s="366"/>
      <c r="FR59" s="366"/>
      <c r="FS59" s="366"/>
      <c r="FT59" s="366"/>
      <c r="FU59" s="366"/>
      <c r="FV59" s="366"/>
      <c r="FW59" s="366"/>
      <c r="FX59" s="366"/>
      <c r="FY59" s="366"/>
      <c r="FZ59" s="366"/>
      <c r="GA59" s="366"/>
      <c r="GB59" s="366"/>
      <c r="GC59" s="366"/>
      <c r="GD59" s="366"/>
      <c r="GE59" s="366"/>
      <c r="GF59" s="366"/>
      <c r="GG59" s="366"/>
      <c r="GH59" s="366"/>
      <c r="GI59" s="366"/>
      <c r="GJ59" s="366"/>
      <c r="GK59" s="366"/>
      <c r="GL59" s="366"/>
      <c r="GM59" s="366"/>
      <c r="GN59" s="366"/>
      <c r="GO59" s="366"/>
      <c r="GP59" s="366"/>
      <c r="GQ59" s="366"/>
      <c r="GR59" s="366"/>
      <c r="GS59" s="366"/>
      <c r="GT59" s="366"/>
      <c r="GU59" s="366"/>
      <c r="GV59" s="366"/>
      <c r="GW59" s="366"/>
      <c r="GX59" s="366"/>
      <c r="GY59" s="366"/>
      <c r="GZ59" s="366"/>
      <c r="HA59" s="366"/>
      <c r="HB59" s="366"/>
      <c r="HC59" s="366"/>
      <c r="HD59" s="366"/>
      <c r="HE59" s="366"/>
      <c r="HF59" s="366"/>
      <c r="HG59" s="366"/>
      <c r="HH59" s="366"/>
      <c r="HI59" s="366"/>
      <c r="HJ59" s="366"/>
      <c r="HK59" s="366"/>
      <c r="HL59" s="366"/>
      <c r="HM59" s="366"/>
      <c r="HN59" s="366"/>
      <c r="HO59" s="366"/>
      <c r="HP59" s="366"/>
      <c r="HQ59" s="366"/>
      <c r="HR59" s="366"/>
      <c r="HS59" s="366"/>
      <c r="HT59" s="366"/>
      <c r="HU59" s="366"/>
      <c r="HV59" s="366"/>
      <c r="HW59" s="366"/>
      <c r="HX59" s="366"/>
      <c r="HY59" s="366"/>
      <c r="HZ59" s="366"/>
      <c r="IA59" s="366"/>
      <c r="IB59" s="366"/>
      <c r="IC59" s="366"/>
      <c r="ID59" s="366"/>
      <c r="IE59" s="366"/>
      <c r="IF59" s="366"/>
      <c r="IG59" s="366"/>
      <c r="IH59" s="366"/>
      <c r="II59" s="366"/>
      <c r="IJ59" s="366"/>
      <c r="IK59" s="366"/>
      <c r="IL59" s="366"/>
      <c r="IM59" s="366"/>
    </row>
    <row r="60" spans="1:247" ht="12.75" customHeight="1" thickBot="1">
      <c r="A60" s="1695" t="s">
        <v>239</v>
      </c>
      <c r="B60" s="1695"/>
      <c r="C60" s="1695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ht="30" customHeight="1">
      <c r="A61" s="1691" t="s">
        <v>156</v>
      </c>
      <c r="B61" s="1692"/>
      <c r="C61" s="331" t="s">
        <v>157</v>
      </c>
      <c r="D61" s="381" t="s">
        <v>1078</v>
      </c>
      <c r="E61" s="381" t="s">
        <v>997</v>
      </c>
      <c r="F61" s="381" t="s">
        <v>1139</v>
      </c>
      <c r="G61" s="381" t="s">
        <v>1141</v>
      </c>
      <c r="H61" s="381" t="s">
        <v>1164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ht="12.75" customHeight="1" thickBot="1">
      <c r="A62" s="1693"/>
      <c r="B62" s="1694"/>
      <c r="C62" s="333" t="s">
        <v>158</v>
      </c>
      <c r="D62" s="393" t="s">
        <v>159</v>
      </c>
      <c r="E62" s="393" t="s">
        <v>160</v>
      </c>
      <c r="F62" s="393" t="s">
        <v>161</v>
      </c>
      <c r="G62" s="393" t="s">
        <v>462</v>
      </c>
      <c r="H62" s="393" t="s">
        <v>482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12.75" customHeight="1">
      <c r="A63" s="126" t="s">
        <v>38</v>
      </c>
      <c r="B63" s="85"/>
      <c r="C63" s="316" t="s">
        <v>585</v>
      </c>
      <c r="D63" s="84"/>
      <c r="E63" s="84"/>
      <c r="F63" s="84"/>
      <c r="G63" s="84"/>
      <c r="H63" s="8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2.75" customHeight="1">
      <c r="A64" s="126" t="s">
        <v>40</v>
      </c>
      <c r="B64" s="85"/>
      <c r="C64" s="316" t="s">
        <v>176</v>
      </c>
      <c r="D64" s="84"/>
      <c r="E64" s="84"/>
      <c r="F64" s="84"/>
      <c r="G64" s="84"/>
      <c r="H64" s="8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2.75" customHeight="1">
      <c r="A65" s="126" t="s">
        <v>47</v>
      </c>
      <c r="B65" s="85"/>
      <c r="C65" s="316" t="s">
        <v>178</v>
      </c>
      <c r="D65" s="84">
        <f>SUM('15. Óvoda'!E11+'15. Óvoda'!E12)</f>
        <v>1229555</v>
      </c>
      <c r="E65" s="84">
        <v>1249555</v>
      </c>
      <c r="F65" s="84">
        <v>1249555</v>
      </c>
      <c r="G65" s="84">
        <v>1249555</v>
      </c>
      <c r="H65" s="84">
        <v>1249555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2.75" customHeight="1">
      <c r="A66" s="126" t="s">
        <v>49</v>
      </c>
      <c r="B66" s="85"/>
      <c r="C66" s="316" t="s">
        <v>177</v>
      </c>
      <c r="D66" s="84">
        <v>0</v>
      </c>
      <c r="E66" s="84"/>
      <c r="F66" s="84"/>
      <c r="G66" s="84"/>
      <c r="H66" s="84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2.75" customHeight="1">
      <c r="A67" s="126" t="s">
        <v>51</v>
      </c>
      <c r="B67" s="85"/>
      <c r="C67" s="316" t="s">
        <v>179</v>
      </c>
      <c r="D67" s="84">
        <f>SUM('15. Óvoda'!E13)</f>
        <v>332008</v>
      </c>
      <c r="E67" s="84">
        <f>SUM('15. Óvoda'!F13)</f>
        <v>340000</v>
      </c>
      <c r="F67" s="84">
        <f>SUM('15. Óvoda'!G13)</f>
        <v>340000</v>
      </c>
      <c r="G67" s="84">
        <f>SUM('15. Óvoda'!H13)</f>
        <v>340000</v>
      </c>
      <c r="H67" s="84">
        <f>SUM('15. Óvoda'!I13)</f>
        <v>340000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12.75" customHeight="1">
      <c r="A68" s="375" t="s">
        <v>53</v>
      </c>
      <c r="B68" s="150"/>
      <c r="C68" s="918" t="s">
        <v>596</v>
      </c>
      <c r="D68" s="145">
        <f>SUM('15. Óvoda'!E14)</f>
        <v>0</v>
      </c>
      <c r="E68" s="145"/>
      <c r="F68" s="145"/>
      <c r="G68" s="145"/>
      <c r="H68" s="145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2.75" customHeight="1">
      <c r="A69" s="352" t="s">
        <v>55</v>
      </c>
      <c r="B69" s="315"/>
      <c r="C69" s="316" t="s">
        <v>181</v>
      </c>
      <c r="D69" s="423">
        <f>SUM('15. Óvoda'!E15)</f>
        <v>23275</v>
      </c>
      <c r="E69" s="423">
        <f>SUM('15. Óvoda'!F15)</f>
        <v>0</v>
      </c>
      <c r="F69" s="423">
        <f>SUM('15. Óvoda'!G15)</f>
        <v>0</v>
      </c>
      <c r="G69" s="423">
        <f>SUM('15. Óvoda'!H15)</f>
        <v>50</v>
      </c>
      <c r="H69" s="423">
        <f>SUM('15. Óvoda'!I15)</f>
        <v>100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2.75" customHeight="1">
      <c r="A70" s="352" t="s">
        <v>57</v>
      </c>
      <c r="B70" s="315"/>
      <c r="C70" s="316" t="s">
        <v>713</v>
      </c>
      <c r="D70" s="423">
        <f>SUM('15. Óvoda'!E16)</f>
        <v>285000</v>
      </c>
      <c r="E70" s="423">
        <f>SUM('15. Óvoda'!F16)</f>
        <v>0</v>
      </c>
      <c r="F70" s="423">
        <f>SUM('15. Óvoda'!G16)</f>
        <v>0</v>
      </c>
      <c r="G70" s="423">
        <f>SUM('15. Óvoda'!H16)</f>
        <v>0</v>
      </c>
      <c r="H70" s="423">
        <f>SUM('15. Óvoda'!I16)</f>
        <v>292000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ht="12.75" customHeight="1">
      <c r="A71" s="394" t="s">
        <v>86</v>
      </c>
      <c r="B71" s="394" t="s">
        <v>166</v>
      </c>
      <c r="C71" s="363" t="s">
        <v>216</v>
      </c>
      <c r="D71" s="395">
        <f>SUM(D63:D70)</f>
        <v>1869838</v>
      </c>
      <c r="E71" s="395">
        <f>SUM(E63:E69)</f>
        <v>1589555</v>
      </c>
      <c r="F71" s="395">
        <f>SUM(F63:F69)</f>
        <v>1589555</v>
      </c>
      <c r="G71" s="395">
        <f>SUM(G63:G69)</f>
        <v>1589605</v>
      </c>
      <c r="H71" s="395">
        <f>SUM(H63:H70)</f>
        <v>1881655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1:247" ht="12.75" customHeight="1">
      <c r="A72" s="391" t="s">
        <v>59</v>
      </c>
      <c r="B72" s="392"/>
      <c r="C72" s="316" t="s">
        <v>588</v>
      </c>
      <c r="D72" s="129">
        <v>130000</v>
      </c>
      <c r="E72" s="129"/>
      <c r="F72" s="129"/>
      <c r="G72" s="129">
        <v>210000</v>
      </c>
      <c r="H72" s="129">
        <v>319305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ht="12.75" customHeight="1">
      <c r="A73" s="127" t="s">
        <v>61</v>
      </c>
      <c r="B73" s="85"/>
      <c r="C73" s="345" t="s">
        <v>609</v>
      </c>
      <c r="D73" s="84"/>
      <c r="E73" s="84"/>
      <c r="F73" s="84"/>
      <c r="G73" s="84"/>
      <c r="H73" s="84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ht="12.75" customHeight="1">
      <c r="A74" s="127" t="s">
        <v>63</v>
      </c>
      <c r="B74" s="217"/>
      <c r="C74" s="345" t="s">
        <v>698</v>
      </c>
      <c r="D74" s="258"/>
      <c r="E74" s="258"/>
      <c r="F74" s="258"/>
      <c r="G74" s="258"/>
      <c r="H74" s="25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ht="12.75" customHeight="1">
      <c r="A75" s="127" t="s">
        <v>65</v>
      </c>
      <c r="B75" s="100" t="s">
        <v>173</v>
      </c>
      <c r="C75" s="364" t="s">
        <v>185</v>
      </c>
      <c r="D75" s="361">
        <f>SUM(D72)</f>
        <v>130000</v>
      </c>
      <c r="E75" s="361">
        <f>SUM(E72)</f>
        <v>0</v>
      </c>
      <c r="F75" s="361">
        <f>SUM(F72)</f>
        <v>0</v>
      </c>
      <c r="G75" s="361">
        <v>210000</v>
      </c>
      <c r="H75" s="361">
        <f>SUM(H72:H74)</f>
        <v>319305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:247" ht="12.75" customHeight="1">
      <c r="A76" s="127" t="s">
        <v>92</v>
      </c>
      <c r="B76" s="100" t="s">
        <v>182</v>
      </c>
      <c r="C76" s="364" t="s">
        <v>711</v>
      </c>
      <c r="D76" s="361"/>
      <c r="E76" s="361"/>
      <c r="F76" s="361"/>
      <c r="G76" s="361">
        <v>242955</v>
      </c>
      <c r="H76" s="361">
        <v>435505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1:247" ht="12.75" customHeight="1">
      <c r="A77" s="126" t="s">
        <v>66</v>
      </c>
      <c r="B77" s="85"/>
      <c r="C77" s="316" t="s">
        <v>220</v>
      </c>
      <c r="D77" s="84">
        <f>SUM('15. Óvoda'!E24)</f>
        <v>522344</v>
      </c>
      <c r="E77" s="84">
        <f>SUM('15. Óvoda'!F24)</f>
        <v>238417</v>
      </c>
      <c r="F77" s="84">
        <f>SUM('15. Óvoda'!G24)</f>
        <v>238417</v>
      </c>
      <c r="G77" s="84">
        <f>SUM('15. Óvoda'!H24)</f>
        <v>238417</v>
      </c>
      <c r="H77" s="84">
        <f>SUM('15. Óvoda'!I24)</f>
        <v>238417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47" ht="12.75" customHeight="1">
      <c r="A78" s="126" t="s">
        <v>67</v>
      </c>
      <c r="B78" s="103"/>
      <c r="C78" s="17" t="s">
        <v>616</v>
      </c>
      <c r="D78" s="84">
        <f>SUM('15. Óvoda'!E23)</f>
        <v>28301846</v>
      </c>
      <c r="E78" s="84">
        <f>SUM('15. Óvoda'!F23)</f>
        <v>37131219</v>
      </c>
      <c r="F78" s="84">
        <f>SUM('15. Óvoda'!G23)</f>
        <v>37131219</v>
      </c>
      <c r="G78" s="84">
        <f>SUM('15. Óvoda'!H23)</f>
        <v>37131219</v>
      </c>
      <c r="H78" s="84">
        <f>SUM('15. Óvoda'!I23)</f>
        <v>37131219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1:247" ht="12.75" customHeight="1">
      <c r="A79" s="375" t="s">
        <v>68</v>
      </c>
      <c r="B79" s="241"/>
      <c r="C79" s="5" t="s">
        <v>697</v>
      </c>
      <c r="D79" s="145">
        <f>SUM('15. Óvoda'!E22)</f>
        <v>86358177</v>
      </c>
      <c r="E79" s="145">
        <f>SUM('15. Óvoda'!F22)</f>
        <v>90435630</v>
      </c>
      <c r="F79" s="145">
        <f>SUM('15. Óvoda'!G22)</f>
        <v>90435630</v>
      </c>
      <c r="G79" s="145">
        <f>SUM('15. Óvoda'!H22)</f>
        <v>90489273</v>
      </c>
      <c r="H79" s="145">
        <f>SUM('15. Óvoda'!I22)</f>
        <v>90528351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12.75" customHeight="1" thickBot="1">
      <c r="A80" s="405" t="s">
        <v>70</v>
      </c>
      <c r="B80" s="406" t="s">
        <v>183</v>
      </c>
      <c r="C80" s="385" t="s">
        <v>614</v>
      </c>
      <c r="D80" s="89">
        <f>SUM(D77:D79)</f>
        <v>115182367</v>
      </c>
      <c r="E80" s="89">
        <f>SUM(E77:E79)</f>
        <v>127805266</v>
      </c>
      <c r="F80" s="89">
        <f>SUM(F77:F79)</f>
        <v>127805266</v>
      </c>
      <c r="G80" s="89">
        <f>SUM(G77:G79)</f>
        <v>127858909</v>
      </c>
      <c r="H80" s="89">
        <f>SUM(H77:H79)</f>
        <v>127897987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19.5" customHeight="1" thickBot="1">
      <c r="A81" s="407" t="s">
        <v>97</v>
      </c>
      <c r="B81" s="408"/>
      <c r="C81" s="643" t="s">
        <v>240</v>
      </c>
      <c r="D81" s="644">
        <f>SUM(D71+D75+D80)+D76</f>
        <v>117182205</v>
      </c>
      <c r="E81" s="644">
        <f>SUM(E71+E75+E80)+E76</f>
        <v>129394821</v>
      </c>
      <c r="F81" s="644">
        <f>SUM(F71+F75+F80)+F76</f>
        <v>129394821</v>
      </c>
      <c r="G81" s="644">
        <f>SUM(G71+G75+G80)+G76</f>
        <v>129901469</v>
      </c>
      <c r="H81" s="644">
        <f>SUM(H71+H75+H80)+H76</f>
        <v>130534452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ht="12.75" customHeight="1" thickBot="1">
      <c r="A82" s="1695" t="s">
        <v>1152</v>
      </c>
      <c r="B82" s="1695"/>
      <c r="C82" s="169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247" ht="28.5" customHeight="1">
      <c r="A83" s="1696" t="s">
        <v>156</v>
      </c>
      <c r="B83" s="1697"/>
      <c r="C83" s="401" t="s">
        <v>157</v>
      </c>
      <c r="D83" s="381" t="s">
        <v>1078</v>
      </c>
      <c r="E83" s="381" t="s">
        <v>997</v>
      </c>
      <c r="F83" s="381" t="s">
        <v>1139</v>
      </c>
      <c r="G83" s="381" t="s">
        <v>1141</v>
      </c>
      <c r="H83" s="381" t="s">
        <v>1164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247" ht="14.25" customHeight="1" thickBot="1">
      <c r="A84" s="1698"/>
      <c r="B84" s="1699"/>
      <c r="C84" s="402" t="s">
        <v>158</v>
      </c>
      <c r="D84" s="393" t="s">
        <v>159</v>
      </c>
      <c r="E84" s="393" t="s">
        <v>160</v>
      </c>
      <c r="F84" s="393" t="s">
        <v>161</v>
      </c>
      <c r="G84" s="393" t="s">
        <v>462</v>
      </c>
      <c r="H84" s="393" t="s">
        <v>482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1:247" ht="14.25" customHeight="1">
      <c r="A85" s="398" t="s">
        <v>38</v>
      </c>
      <c r="B85" s="397"/>
      <c r="C85" s="316" t="s">
        <v>585</v>
      </c>
      <c r="D85" s="396"/>
      <c r="E85" s="396"/>
      <c r="F85" s="396"/>
      <c r="G85" s="396"/>
      <c r="H85" s="39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1:247" ht="14.25" customHeight="1">
      <c r="A86" s="398" t="s">
        <v>40</v>
      </c>
      <c r="B86" s="397"/>
      <c r="C86" s="316" t="s">
        <v>176</v>
      </c>
      <c r="D86" s="396"/>
      <c r="E86" s="396"/>
      <c r="F86" s="396"/>
      <c r="G86" s="396"/>
      <c r="H86" s="39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1:247" ht="14.25" customHeight="1">
      <c r="A87" s="398" t="s">
        <v>47</v>
      </c>
      <c r="B87" s="397"/>
      <c r="C87" s="316" t="s">
        <v>994</v>
      </c>
      <c r="D87" s="921">
        <f>SUM('16. Műv. ház'!E10)</f>
        <v>617000</v>
      </c>
      <c r="E87" s="921">
        <f>SUM('16. Műv. ház'!F10)</f>
        <v>1217000</v>
      </c>
      <c r="F87" s="921">
        <f>SUM('16. Műv. ház'!G10)</f>
        <v>1217000</v>
      </c>
      <c r="G87" s="921">
        <f>SUM('16. Műv. ház'!H10)</f>
        <v>1217000</v>
      </c>
      <c r="H87" s="921">
        <f>SUM('16. Műv. ház'!I10)</f>
        <v>1217000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spans="1:247" ht="14.25" customHeight="1">
      <c r="A88" s="398" t="s">
        <v>49</v>
      </c>
      <c r="B88" s="397"/>
      <c r="C88" s="316" t="s">
        <v>179</v>
      </c>
      <c r="D88" s="921"/>
      <c r="E88" s="921"/>
      <c r="F88" s="921"/>
      <c r="G88" s="921"/>
      <c r="H88" s="92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</row>
    <row r="89" spans="1:247" ht="14.25" customHeight="1">
      <c r="A89" s="398" t="s">
        <v>51</v>
      </c>
      <c r="B89" s="397"/>
      <c r="C89" s="314" t="s">
        <v>596</v>
      </c>
      <c r="D89" s="921">
        <f>SUM('16. Műv. ház'!E11)</f>
        <v>3</v>
      </c>
      <c r="E89" s="921"/>
      <c r="F89" s="921"/>
      <c r="G89" s="921"/>
      <c r="H89" s="921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1:247" ht="14.25" customHeight="1">
      <c r="A90" s="398" t="s">
        <v>53</v>
      </c>
      <c r="B90" s="397"/>
      <c r="C90" s="324" t="s">
        <v>181</v>
      </c>
      <c r="D90" s="921"/>
      <c r="E90" s="921"/>
      <c r="F90" s="921"/>
      <c r="G90" s="921">
        <v>50</v>
      </c>
      <c r="H90" s="921">
        <v>50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spans="1:247" s="68" customFormat="1" ht="12.75" customHeight="1">
      <c r="A91" s="136" t="s">
        <v>55</v>
      </c>
      <c r="B91" s="399" t="s">
        <v>166</v>
      </c>
      <c r="C91" s="363" t="s">
        <v>216</v>
      </c>
      <c r="D91" s="400">
        <f>SUM(D85:D90)</f>
        <v>617003</v>
      </c>
      <c r="E91" s="400">
        <f>SUM(E85:E90)</f>
        <v>1217000</v>
      </c>
      <c r="F91" s="400">
        <f>SUM(F85:F90)</f>
        <v>1217000</v>
      </c>
      <c r="G91" s="400">
        <f>SUM(G85:G90)</f>
        <v>1217050</v>
      </c>
      <c r="H91" s="400">
        <f>SUM(H85:H90)</f>
        <v>1217050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</row>
    <row r="92" spans="1:247" ht="12.75" customHeight="1">
      <c r="A92" s="126" t="s">
        <v>57</v>
      </c>
      <c r="B92" s="103"/>
      <c r="C92" s="316" t="s">
        <v>220</v>
      </c>
      <c r="D92" s="84">
        <f>SUM('16. Műv. ház'!E17)</f>
        <v>174226</v>
      </c>
      <c r="E92" s="84">
        <f>SUM('16. Műv. ház'!F17)</f>
        <v>321658</v>
      </c>
      <c r="F92" s="84">
        <f>SUM('16. Műv. ház'!G17)</f>
        <v>321658</v>
      </c>
      <c r="G92" s="84">
        <f>SUM('16. Műv. ház'!H17)</f>
        <v>321658</v>
      </c>
      <c r="H92" s="84">
        <f>SUM('16. Műv. ház'!I17)</f>
        <v>321658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</row>
    <row r="93" spans="1:247" ht="12.75" customHeight="1">
      <c r="A93" s="126" t="s">
        <v>86</v>
      </c>
      <c r="B93" s="103"/>
      <c r="C93" s="17" t="s">
        <v>616</v>
      </c>
      <c r="D93" s="84">
        <f>SUM('16. Műv. ház'!E16)</f>
        <v>8810557</v>
      </c>
      <c r="E93" s="84">
        <f>SUM('16. Műv. ház'!F16)</f>
        <v>16264887</v>
      </c>
      <c r="F93" s="84">
        <f>SUM('16. Műv. ház'!G16)</f>
        <v>16264887</v>
      </c>
      <c r="G93" s="84">
        <f>SUM('16. Műv. ház'!H16)</f>
        <v>16264887</v>
      </c>
      <c r="H93" s="84">
        <f>SUM('16. Műv. ház'!I16)</f>
        <v>18464887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</row>
    <row r="94" spans="1:247" ht="12.75" customHeight="1">
      <c r="A94" s="375" t="s">
        <v>59</v>
      </c>
      <c r="B94" s="241"/>
      <c r="C94" s="5" t="s">
        <v>697</v>
      </c>
      <c r="D94" s="145">
        <f>SUM('16. Műv. ház'!E15)</f>
        <v>4723912</v>
      </c>
      <c r="E94" s="145">
        <f>SUM('16. Műv. ház'!F15)</f>
        <v>4227740</v>
      </c>
      <c r="F94" s="145">
        <f>SUM('16. Műv. ház'!G15)</f>
        <v>4227740</v>
      </c>
      <c r="G94" s="145">
        <f>SUM('16. Műv. ház'!H15)</f>
        <v>4403057</v>
      </c>
      <c r="H94" s="145">
        <f>SUM('16. Műv. ház'!I15)</f>
        <v>4520884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</row>
    <row r="95" spans="1:247" ht="12.75" customHeight="1" thickBot="1">
      <c r="A95" s="410" t="s">
        <v>61</v>
      </c>
      <c r="B95" s="406" t="s">
        <v>173</v>
      </c>
      <c r="C95" s="385" t="s">
        <v>614</v>
      </c>
      <c r="D95" s="89">
        <f>SUM(D92:D94)</f>
        <v>13708695</v>
      </c>
      <c r="E95" s="89">
        <f>SUM(E92:E94)</f>
        <v>20814285</v>
      </c>
      <c r="F95" s="89">
        <f>SUM(F92:F94)</f>
        <v>20814285</v>
      </c>
      <c r="G95" s="89">
        <f>SUM(G92:G94)</f>
        <v>20989602</v>
      </c>
      <c r="H95" s="89">
        <f>SUM(H92:H94)</f>
        <v>23307429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</row>
    <row r="96" spans="1:247" ht="17.25" customHeight="1" thickBot="1">
      <c r="A96" s="411" t="s">
        <v>63</v>
      </c>
      <c r="B96" s="408"/>
      <c r="C96" s="412" t="s">
        <v>1155</v>
      </c>
      <c r="D96" s="409">
        <f>SUM(D95,D91)</f>
        <v>14325698</v>
      </c>
      <c r="E96" s="409">
        <f>SUM(E95,E91)</f>
        <v>22031285</v>
      </c>
      <c r="F96" s="409">
        <f>SUM(F95,F91)</f>
        <v>22031285</v>
      </c>
      <c r="G96" s="409">
        <f>SUM(G95,G91)</f>
        <v>22206652</v>
      </c>
      <c r="H96" s="409">
        <f>SUM(H95,H91)</f>
        <v>24524479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</row>
    <row r="97" spans="1:3" ht="12.75" customHeight="1">
      <c r="A97" s="98"/>
      <c r="C97" s="68"/>
    </row>
    <row r="98" spans="1:3" ht="12.75" customHeight="1" thickBot="1">
      <c r="A98" s="98"/>
      <c r="C98" s="68" t="s">
        <v>242</v>
      </c>
    </row>
    <row r="99" spans="1:8" ht="25.5" customHeight="1">
      <c r="A99" s="1691" t="s">
        <v>156</v>
      </c>
      <c r="B99" s="1692"/>
      <c r="C99" s="380" t="s">
        <v>157</v>
      </c>
      <c r="D99" s="381" t="s">
        <v>1078</v>
      </c>
      <c r="E99" s="381" t="s">
        <v>997</v>
      </c>
      <c r="F99" s="381" t="s">
        <v>1139</v>
      </c>
      <c r="G99" s="381" t="s">
        <v>1141</v>
      </c>
      <c r="H99" s="381" t="s">
        <v>1164</v>
      </c>
    </row>
    <row r="100" spans="1:8" ht="12.75" customHeight="1" thickBot="1">
      <c r="A100" s="1693"/>
      <c r="B100" s="1694"/>
      <c r="C100" s="382" t="s">
        <v>158</v>
      </c>
      <c r="D100" s="393" t="s">
        <v>159</v>
      </c>
      <c r="E100" s="393" t="s">
        <v>160</v>
      </c>
      <c r="F100" s="393" t="s">
        <v>161</v>
      </c>
      <c r="G100" s="393" t="s">
        <v>462</v>
      </c>
      <c r="H100" s="393" t="s">
        <v>482</v>
      </c>
    </row>
    <row r="101" spans="1:8" ht="12.75" customHeight="1">
      <c r="A101" s="126" t="s">
        <v>38</v>
      </c>
      <c r="B101" s="103"/>
      <c r="C101" s="316" t="s">
        <v>585</v>
      </c>
      <c r="D101" s="130">
        <f>SUM('18. VÜKI'!E13)</f>
        <v>146522</v>
      </c>
      <c r="E101" s="130">
        <f>SUM('18. VÜKI'!F13)</f>
        <v>150000</v>
      </c>
      <c r="F101" s="130">
        <f>SUM('18. VÜKI'!G13)</f>
        <v>150000</v>
      </c>
      <c r="G101" s="130">
        <f>SUM('18. VÜKI'!H13)</f>
        <v>144539</v>
      </c>
      <c r="H101" s="130">
        <f>SUM('18. VÜKI'!I13)</f>
        <v>144539</v>
      </c>
    </row>
    <row r="102" spans="1:8" ht="12.75" customHeight="1">
      <c r="A102" s="126" t="s">
        <v>40</v>
      </c>
      <c r="B102" s="103"/>
      <c r="C102" s="316" t="s">
        <v>176</v>
      </c>
      <c r="D102" s="130"/>
      <c r="E102" s="130"/>
      <c r="F102" s="130"/>
      <c r="G102" s="130">
        <v>5461</v>
      </c>
      <c r="H102" s="130">
        <v>16545</v>
      </c>
    </row>
    <row r="103" spans="1:8" ht="12.75" customHeight="1">
      <c r="A103" s="126" t="s">
        <v>47</v>
      </c>
      <c r="B103" s="103"/>
      <c r="C103" s="316" t="s">
        <v>177</v>
      </c>
      <c r="D103" s="130">
        <f>SUM('18. VÜKI'!E15)</f>
        <v>113990</v>
      </c>
      <c r="E103" s="130">
        <f>SUM('18. VÜKI'!F15)</f>
        <v>114000</v>
      </c>
      <c r="F103" s="130">
        <f>SUM('18. VÜKI'!G15)</f>
        <v>114000</v>
      </c>
      <c r="G103" s="130">
        <f>SUM('18. VÜKI'!H15)</f>
        <v>114000</v>
      </c>
      <c r="H103" s="130">
        <f>SUM('18. VÜKI'!I15)</f>
        <v>114000</v>
      </c>
    </row>
    <row r="104" spans="1:8" ht="12.75" customHeight="1">
      <c r="A104" s="126" t="s">
        <v>49</v>
      </c>
      <c r="B104" s="103"/>
      <c r="C104" s="316" t="s">
        <v>687</v>
      </c>
      <c r="D104" s="130">
        <f>SUM('18. VÜKI'!E16)</f>
        <v>18172607</v>
      </c>
      <c r="E104" s="130">
        <f>SUM('18. VÜKI'!F16)</f>
        <v>18200000</v>
      </c>
      <c r="F104" s="130">
        <f>SUM('18. VÜKI'!G16)</f>
        <v>18200000</v>
      </c>
      <c r="G104" s="130">
        <f>SUM('18. VÜKI'!H16)</f>
        <v>18200000</v>
      </c>
      <c r="H104" s="130">
        <f>SUM('18. VÜKI'!I16)</f>
        <v>18200000</v>
      </c>
    </row>
    <row r="105" spans="1:8" ht="12.75" customHeight="1">
      <c r="A105" s="126" t="s">
        <v>51</v>
      </c>
      <c r="B105" s="103"/>
      <c r="C105" s="316" t="s">
        <v>179</v>
      </c>
      <c r="D105" s="130">
        <f>SUM('18. VÜKI'!E17)</f>
        <v>4976718</v>
      </c>
      <c r="E105" s="130">
        <f>SUM('18. VÜKI'!F17)</f>
        <v>500000</v>
      </c>
      <c r="F105" s="130">
        <f>SUM('18. VÜKI'!G17)</f>
        <v>500000</v>
      </c>
      <c r="G105" s="130">
        <f>SUM('18. VÜKI'!H17)</f>
        <v>5000000</v>
      </c>
      <c r="H105" s="130">
        <f>SUM('18. VÜKI'!I17)</f>
        <v>5000000</v>
      </c>
    </row>
    <row r="106" spans="1:8" ht="12.75" customHeight="1">
      <c r="A106" s="126" t="s">
        <v>53</v>
      </c>
      <c r="B106" s="103"/>
      <c r="C106" s="314" t="s">
        <v>596</v>
      </c>
      <c r="D106" s="130">
        <f>SUM('18. VÜKI'!E19)</f>
        <v>19</v>
      </c>
      <c r="E106" s="130">
        <f>SUM('18. VÜKI'!F19)</f>
        <v>0</v>
      </c>
      <c r="F106" s="130">
        <f>SUM('18. VÜKI'!G19)</f>
        <v>0</v>
      </c>
      <c r="G106" s="130">
        <f>SUM('18. VÜKI'!H19)</f>
        <v>0</v>
      </c>
      <c r="H106" s="130">
        <f>SUM('18. VÜKI'!I19)</f>
        <v>0</v>
      </c>
    </row>
    <row r="107" spans="1:8" ht="12.75" customHeight="1">
      <c r="A107" s="126" t="s">
        <v>55</v>
      </c>
      <c r="B107" s="103"/>
      <c r="C107" s="324" t="s">
        <v>181</v>
      </c>
      <c r="D107" s="130">
        <f>SUM('18. VÜKI'!E18)</f>
        <v>1</v>
      </c>
      <c r="E107" s="130">
        <f>SUM('18. VÜKI'!F18)</f>
        <v>0</v>
      </c>
      <c r="F107" s="130">
        <f>SUM('18. VÜKI'!G18)</f>
        <v>0</v>
      </c>
      <c r="G107" s="130">
        <f>SUM('18. VÜKI'!H18)</f>
        <v>100</v>
      </c>
      <c r="H107" s="130">
        <f>SUM('18. VÜKI'!I18)</f>
        <v>150</v>
      </c>
    </row>
    <row r="108" spans="1:8" s="10" customFormat="1" ht="12.75" customHeight="1">
      <c r="A108" s="119" t="s">
        <v>57</v>
      </c>
      <c r="B108" s="413" t="s">
        <v>166</v>
      </c>
      <c r="C108" s="363" t="s">
        <v>216</v>
      </c>
      <c r="D108" s="400">
        <f>SUM(D101:D107)</f>
        <v>23409857</v>
      </c>
      <c r="E108" s="400">
        <f>SUM(E101:E107)</f>
        <v>18964000</v>
      </c>
      <c r="F108" s="400">
        <f>SUM(F101:F107)</f>
        <v>18964000</v>
      </c>
      <c r="G108" s="400">
        <f>SUM(G101:G107)</f>
        <v>23464100</v>
      </c>
      <c r="H108" s="400">
        <f>SUM(H101:H107)</f>
        <v>23475234</v>
      </c>
    </row>
    <row r="109" spans="1:8" s="10" customFormat="1" ht="27" customHeight="1">
      <c r="A109" s="119" t="s">
        <v>86</v>
      </c>
      <c r="B109" s="413" t="s">
        <v>173</v>
      </c>
      <c r="C109" s="922" t="s">
        <v>165</v>
      </c>
      <c r="D109" s="400">
        <f>SUM('18. VÜKI'!E10)</f>
        <v>984913</v>
      </c>
      <c r="E109" s="400">
        <f>SUM('18. VÜKI'!F10)</f>
        <v>0</v>
      </c>
      <c r="F109" s="400">
        <f>SUM('18. VÜKI'!G10)</f>
        <v>0</v>
      </c>
      <c r="G109" s="400">
        <f>SUM('18. VÜKI'!H10)</f>
        <v>0</v>
      </c>
      <c r="H109" s="400">
        <f>SUM('18. VÜKI'!I10)</f>
        <v>0</v>
      </c>
    </row>
    <row r="110" spans="1:8" s="10" customFormat="1" ht="12.75" customHeight="1">
      <c r="A110" s="117">
        <v>10</v>
      </c>
      <c r="B110" s="413"/>
      <c r="C110" s="316" t="s">
        <v>220</v>
      </c>
      <c r="D110" s="130">
        <f>SUM('18. VÜKI'!E21)</f>
        <v>1030008</v>
      </c>
      <c r="E110" s="130">
        <f>SUM('18. VÜKI'!F21)</f>
        <v>1347397</v>
      </c>
      <c r="F110" s="130">
        <f>SUM('18. VÜKI'!G21)</f>
        <v>1347397</v>
      </c>
      <c r="G110" s="130">
        <f>SUM('18. VÜKI'!H21)</f>
        <v>1347397</v>
      </c>
      <c r="H110" s="130">
        <f>SUM('18. VÜKI'!I21)</f>
        <v>1347397</v>
      </c>
    </row>
    <row r="111" spans="1:8" s="10" customFormat="1" ht="12.75" customHeight="1">
      <c r="A111" s="117" t="s">
        <v>61</v>
      </c>
      <c r="B111" s="413"/>
      <c r="C111" s="144" t="s">
        <v>616</v>
      </c>
      <c r="D111" s="645">
        <f>SUM('18. VÜKI'!E24)</f>
        <v>35614586</v>
      </c>
      <c r="E111" s="645">
        <f>SUM('18. VÜKI'!F24)</f>
        <v>50158847</v>
      </c>
      <c r="F111" s="645">
        <f>SUM('18. VÜKI'!G24)</f>
        <v>50158847</v>
      </c>
      <c r="G111" s="645">
        <f>SUM('18. VÜKI'!H24)</f>
        <v>43019985</v>
      </c>
      <c r="H111" s="645">
        <f>SUM('18. VÜKI'!I24)</f>
        <v>43019985</v>
      </c>
    </row>
    <row r="112" spans="1:8" s="10" customFormat="1" ht="12.75" customHeight="1">
      <c r="A112" s="315" t="s">
        <v>63</v>
      </c>
      <c r="B112" s="647"/>
      <c r="C112" s="341" t="s">
        <v>697</v>
      </c>
      <c r="D112" s="646">
        <f>SUM('18. VÜKI'!E23)</f>
        <v>31925952</v>
      </c>
      <c r="E112" s="646">
        <f>SUM('18. VÜKI'!F23)</f>
        <v>26924506</v>
      </c>
      <c r="F112" s="646">
        <f>SUM('18. VÜKI'!G23)</f>
        <v>26924506</v>
      </c>
      <c r="G112" s="646">
        <f>SUM('18. VÜKI'!H23)</f>
        <v>26966330</v>
      </c>
      <c r="H112" s="646">
        <f>SUM('18. VÜKI'!I23)</f>
        <v>26999670</v>
      </c>
    </row>
    <row r="113" spans="1:8" s="10" customFormat="1" ht="12.75" customHeight="1" thickBot="1">
      <c r="A113" s="414" t="s">
        <v>65</v>
      </c>
      <c r="B113" s="415" t="s">
        <v>173</v>
      </c>
      <c r="C113" s="385" t="s">
        <v>614</v>
      </c>
      <c r="D113" s="416">
        <f>SUM(D110:D111)+D112</f>
        <v>68570546</v>
      </c>
      <c r="E113" s="416">
        <f>SUM(E110:E111)+E112</f>
        <v>78430750</v>
      </c>
      <c r="F113" s="416">
        <f>SUM(F110:F111)+F112</f>
        <v>78430750</v>
      </c>
      <c r="G113" s="416">
        <f>SUM(G110:G111)+G112</f>
        <v>71333712</v>
      </c>
      <c r="H113" s="416">
        <f>SUM(H110:H111)+H112</f>
        <v>71367052</v>
      </c>
    </row>
    <row r="114" spans="1:8" ht="36.75" customHeight="1" thickBot="1">
      <c r="A114" s="411" t="s">
        <v>92</v>
      </c>
      <c r="B114" s="408"/>
      <c r="C114" s="417" t="s">
        <v>243</v>
      </c>
      <c r="D114" s="409">
        <f>SUM(D108+D113)+D109</f>
        <v>92965316</v>
      </c>
      <c r="E114" s="409">
        <f>SUM(E108+E113)+E109</f>
        <v>97394750</v>
      </c>
      <c r="F114" s="409">
        <f>SUM(F108+F113)+F109</f>
        <v>97394750</v>
      </c>
      <c r="G114" s="409">
        <f>SUM(G108+G113)+G109</f>
        <v>94797812</v>
      </c>
      <c r="H114" s="409">
        <f>SUM(H108+H113)+H109</f>
        <v>94842286</v>
      </c>
    </row>
    <row r="115" spans="1:3" ht="12.75" customHeight="1">
      <c r="A115" s="98"/>
      <c r="C115" s="68"/>
    </row>
    <row r="116" spans="1:8" ht="12.75" customHeight="1">
      <c r="A116" s="98"/>
      <c r="C116" s="10" t="s">
        <v>244</v>
      </c>
      <c r="D116" s="52">
        <f>D114+D96+D81+D59+D42</f>
        <v>1492126330</v>
      </c>
      <c r="E116" s="52">
        <f>E114+E96+E81+E59+E42</f>
        <v>1412486213</v>
      </c>
      <c r="F116" s="52">
        <f>F114+F96+F81+F59+F42</f>
        <v>1412486213</v>
      </c>
      <c r="G116" s="52">
        <f>G114+G96+G81+G59+G42</f>
        <v>1431926057</v>
      </c>
      <c r="H116" s="52">
        <f>H114+H96+H81+H59+H42</f>
        <v>1456691833</v>
      </c>
    </row>
    <row r="117" spans="1:8" s="6" customFormat="1" ht="12.75" customHeight="1">
      <c r="A117" s="131"/>
      <c r="C117" s="132"/>
      <c r="D117" s="133"/>
      <c r="E117" s="133"/>
      <c r="F117" s="133"/>
      <c r="G117" s="133"/>
      <c r="H117" s="133"/>
    </row>
  </sheetData>
  <sheetProtection selectLockedCells="1" selectUnlockedCells="1"/>
  <mergeCells count="14">
    <mergeCell ref="A7:C7"/>
    <mergeCell ref="A1:H1"/>
    <mergeCell ref="A2:H2"/>
    <mergeCell ref="A4:H4"/>
    <mergeCell ref="A5:H5"/>
    <mergeCell ref="C3:G3"/>
    <mergeCell ref="A99:B100"/>
    <mergeCell ref="A8:B9"/>
    <mergeCell ref="A43:C43"/>
    <mergeCell ref="A44:B45"/>
    <mergeCell ref="A60:C60"/>
    <mergeCell ref="A61:B62"/>
    <mergeCell ref="A82:C82"/>
    <mergeCell ref="A83:B84"/>
  </mergeCells>
  <printOptions horizontalCentered="1"/>
  <pageMargins left="0.3937007874015748" right="0.3937007874015748" top="0.4724409448818898" bottom="0.4724409448818898" header="0.5118110236220472" footer="0.7874015748031497"/>
  <pageSetup horizontalDpi="600" verticalDpi="600" orientation="portrait" paperSize="9" scale="60" r:id="rId1"/>
  <rowBreaks count="1" manualBreakCount="1">
    <brk id="8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L264"/>
  <sheetViews>
    <sheetView showGridLines="0" view="pageBreakPreview" zoomScale="110" zoomScaleSheetLayoutView="110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A4" sqref="A4:I4"/>
    </sheetView>
  </sheetViews>
  <sheetFormatPr defaultColWidth="11.7109375" defaultRowHeight="12.75" customHeight="1"/>
  <cols>
    <col min="1" max="1" width="6.7109375" style="1419" customWidth="1"/>
    <col min="2" max="2" width="3.8515625" style="5" customWidth="1"/>
    <col min="3" max="3" width="56.28125" style="5" customWidth="1"/>
    <col min="4" max="4" width="9.7109375" style="5" customWidth="1"/>
    <col min="5" max="9" width="17.8515625" style="52" customWidth="1"/>
    <col min="10" max="16384" width="11.7109375" style="5" customWidth="1"/>
  </cols>
  <sheetData>
    <row r="1" spans="1:9" s="96" customFormat="1" ht="18" customHeight="1">
      <c r="A1" s="1674" t="s">
        <v>245</v>
      </c>
      <c r="B1" s="1674"/>
      <c r="C1" s="1674"/>
      <c r="D1" s="1674"/>
      <c r="E1" s="1674"/>
      <c r="F1" s="1674"/>
      <c r="G1" s="1674"/>
      <c r="H1" s="1674"/>
      <c r="I1" s="1674"/>
    </row>
    <row r="2" spans="1:9" ht="12.75" customHeight="1">
      <c r="A2" s="1703" t="s">
        <v>1181</v>
      </c>
      <c r="B2" s="1703"/>
      <c r="C2" s="1703"/>
      <c r="D2" s="1703"/>
      <c r="E2" s="1703"/>
      <c r="F2" s="1703"/>
      <c r="G2" s="1703"/>
      <c r="H2" s="1703"/>
      <c r="I2" s="1703"/>
    </row>
    <row r="3" spans="1:9" ht="12.75" customHeight="1">
      <c r="A3" s="1703"/>
      <c r="B3" s="1703"/>
      <c r="C3" s="1703"/>
      <c r="D3" s="1703"/>
      <c r="E3" s="1703"/>
      <c r="F3" s="1703"/>
      <c r="G3" s="1703"/>
      <c r="H3" s="1703"/>
      <c r="I3" s="1703"/>
    </row>
    <row r="4" spans="1:9" ht="12.75" customHeight="1">
      <c r="A4" s="1703" t="s">
        <v>1182</v>
      </c>
      <c r="B4" s="1703"/>
      <c r="C4" s="1703"/>
      <c r="D4" s="1703"/>
      <c r="E4" s="1703"/>
      <c r="F4" s="1703"/>
      <c r="G4" s="1703"/>
      <c r="H4" s="1703"/>
      <c r="I4" s="1703"/>
    </row>
    <row r="5" spans="1:9" ht="12.75" customHeight="1">
      <c r="A5" s="1689" t="s">
        <v>1001</v>
      </c>
      <c r="B5" s="1689"/>
      <c r="C5" s="1689"/>
      <c r="D5" s="1689"/>
      <c r="E5" s="1689"/>
      <c r="F5" s="1689"/>
      <c r="G5" s="1689"/>
      <c r="H5" s="1689"/>
      <c r="I5" s="1689"/>
    </row>
    <row r="6" spans="1:9" ht="12.75" customHeight="1">
      <c r="A6" s="1689"/>
      <c r="B6" s="1689"/>
      <c r="C6" s="1689"/>
      <c r="D6" s="1689"/>
      <c r="E6" s="1689"/>
      <c r="F6" s="1689"/>
      <c r="G6" s="1689"/>
      <c r="H6" s="1689"/>
      <c r="I6" s="1689"/>
    </row>
    <row r="7" spans="1:9" ht="12.75" customHeight="1">
      <c r="A7" s="1689"/>
      <c r="B7" s="1689"/>
      <c r="C7" s="1689"/>
      <c r="D7" s="1689"/>
      <c r="E7" s="1689"/>
      <c r="F7" s="1689"/>
      <c r="G7" s="1689"/>
      <c r="H7" s="1689"/>
      <c r="I7" s="1689"/>
    </row>
    <row r="8" spans="1:9" ht="12.75" customHeight="1">
      <c r="A8" s="1432"/>
      <c r="B8" s="134"/>
      <c r="C8" s="134"/>
      <c r="D8" s="134"/>
      <c r="E8" s="125"/>
      <c r="F8" s="125"/>
      <c r="G8" s="125"/>
      <c r="H8" s="125"/>
      <c r="I8" s="125"/>
    </row>
    <row r="9" spans="2:9" ht="12" customHeight="1" thickBot="1">
      <c r="B9" s="134"/>
      <c r="C9" s="134"/>
      <c r="D9" s="134"/>
      <c r="E9" s="927"/>
      <c r="F9" s="927"/>
      <c r="G9" s="927"/>
      <c r="H9" s="927"/>
      <c r="I9" s="927" t="s">
        <v>214</v>
      </c>
    </row>
    <row r="10" spans="1:9" ht="48" customHeight="1">
      <c r="A10" s="1712" t="s">
        <v>156</v>
      </c>
      <c r="B10" s="1713"/>
      <c r="C10" s="418" t="s">
        <v>246</v>
      </c>
      <c r="D10" s="418" t="s">
        <v>1002</v>
      </c>
      <c r="E10" s="381" t="s">
        <v>1078</v>
      </c>
      <c r="F10" s="381" t="s">
        <v>997</v>
      </c>
      <c r="G10" s="381" t="s">
        <v>1139</v>
      </c>
      <c r="H10" s="381" t="s">
        <v>1141</v>
      </c>
      <c r="I10" s="381" t="s">
        <v>1164</v>
      </c>
    </row>
    <row r="11" spans="1:9" ht="12.75" customHeight="1" thickBot="1">
      <c r="A11" s="1714"/>
      <c r="B11" s="1715"/>
      <c r="C11" s="419" t="s">
        <v>158</v>
      </c>
      <c r="D11" s="419" t="s">
        <v>159</v>
      </c>
      <c r="E11" s="383" t="s">
        <v>160</v>
      </c>
      <c r="F11" s="383" t="s">
        <v>161</v>
      </c>
      <c r="G11" s="383" t="s">
        <v>462</v>
      </c>
      <c r="H11" s="383" t="s">
        <v>482</v>
      </c>
      <c r="I11" s="383" t="s">
        <v>715</v>
      </c>
    </row>
    <row r="12" spans="1:9" s="137" customFormat="1" ht="19.5" customHeight="1">
      <c r="A12" s="1433" t="s">
        <v>38</v>
      </c>
      <c r="B12" s="1175" t="s">
        <v>164</v>
      </c>
      <c r="C12" s="1176" t="s">
        <v>518</v>
      </c>
      <c r="D12" s="1176"/>
      <c r="E12" s="1176">
        <f>SUM(E13)</f>
        <v>673000</v>
      </c>
      <c r="F12" s="1176">
        <f>SUM(F13)</f>
        <v>0</v>
      </c>
      <c r="G12" s="1176">
        <f>SUM(G13)</f>
        <v>0</v>
      </c>
      <c r="H12" s="1176">
        <f>SUM(H13)</f>
        <v>0</v>
      </c>
      <c r="I12" s="1176">
        <f>SUM(I13)</f>
        <v>0</v>
      </c>
    </row>
    <row r="13" spans="1:9" s="68" customFormat="1" ht="12.75" customHeight="1">
      <c r="A13" s="1434" t="s">
        <v>40</v>
      </c>
      <c r="B13" s="1178"/>
      <c r="C13" s="1179" t="s">
        <v>247</v>
      </c>
      <c r="D13" s="1179"/>
      <c r="E13" s="1179">
        <v>673000</v>
      </c>
      <c r="F13" s="1179"/>
      <c r="G13" s="1179"/>
      <c r="H13" s="1179"/>
      <c r="I13" s="1179"/>
    </row>
    <row r="14" spans="1:9" ht="12.75" customHeight="1">
      <c r="A14" s="1435" t="s">
        <v>47</v>
      </c>
      <c r="B14" s="1181" t="s">
        <v>166</v>
      </c>
      <c r="C14" s="1182" t="s">
        <v>248</v>
      </c>
      <c r="D14" s="1182"/>
      <c r="E14" s="1182">
        <f>SUM(E15)</f>
        <v>551000</v>
      </c>
      <c r="F14" s="1182">
        <f>SUM(F15)</f>
        <v>200000</v>
      </c>
      <c r="G14" s="1182">
        <f>SUM(G15)</f>
        <v>200000</v>
      </c>
      <c r="H14" s="1182">
        <f>SUM(H15)</f>
        <v>200000</v>
      </c>
      <c r="I14" s="1182">
        <f>SUM(I15)</f>
        <v>200000</v>
      </c>
    </row>
    <row r="15" spans="1:9" ht="12.75" customHeight="1">
      <c r="A15" s="1434" t="s">
        <v>49</v>
      </c>
      <c r="B15" s="1178"/>
      <c r="C15" s="1179" t="s">
        <v>247</v>
      </c>
      <c r="D15" s="1179"/>
      <c r="E15" s="1179">
        <v>551000</v>
      </c>
      <c r="F15" s="1179">
        <v>200000</v>
      </c>
      <c r="G15" s="1179">
        <v>200000</v>
      </c>
      <c r="H15" s="1179">
        <v>200000</v>
      </c>
      <c r="I15" s="1179">
        <v>200000</v>
      </c>
    </row>
    <row r="16" spans="1:9" ht="12.75" customHeight="1">
      <c r="A16" s="1434" t="s">
        <v>51</v>
      </c>
      <c r="B16" s="1178"/>
      <c r="C16" s="1179" t="s">
        <v>249</v>
      </c>
      <c r="D16" s="1179"/>
      <c r="E16" s="1179">
        <v>0</v>
      </c>
      <c r="F16" s="1179">
        <v>0</v>
      </c>
      <c r="G16" s="1179">
        <v>0</v>
      </c>
      <c r="H16" s="1179">
        <v>0</v>
      </c>
      <c r="I16" s="1179">
        <v>0</v>
      </c>
    </row>
    <row r="17" spans="1:9" ht="12.75" customHeight="1">
      <c r="A17" s="1435" t="s">
        <v>53</v>
      </c>
      <c r="B17" s="1181" t="s">
        <v>173</v>
      </c>
      <c r="C17" s="1182" t="s">
        <v>519</v>
      </c>
      <c r="D17" s="1182"/>
      <c r="E17" s="1182">
        <f>SUM(E18)</f>
        <v>7000000</v>
      </c>
      <c r="F17" s="1182">
        <f>SUM(F18)</f>
        <v>7000000</v>
      </c>
      <c r="G17" s="1182">
        <f>SUM(G18)</f>
        <v>7000000</v>
      </c>
      <c r="H17" s="1182">
        <f>SUM(H18)</f>
        <v>7000000</v>
      </c>
      <c r="I17" s="1182">
        <f>SUM(I18)</f>
        <v>7000000</v>
      </c>
    </row>
    <row r="18" spans="1:9" ht="12.75" customHeight="1">
      <c r="A18" s="1434" t="s">
        <v>55</v>
      </c>
      <c r="B18" s="1178"/>
      <c r="C18" s="1179" t="s">
        <v>247</v>
      </c>
      <c r="D18" s="1179"/>
      <c r="E18" s="1179">
        <v>7000000</v>
      </c>
      <c r="F18" s="1179">
        <v>7000000</v>
      </c>
      <c r="G18" s="1179">
        <v>7000000</v>
      </c>
      <c r="H18" s="1179">
        <v>7000000</v>
      </c>
      <c r="I18" s="1179">
        <v>7000000</v>
      </c>
    </row>
    <row r="19" spans="1:9" ht="12.75" customHeight="1">
      <c r="A19" s="1435" t="s">
        <v>57</v>
      </c>
      <c r="B19" s="1181" t="s">
        <v>182</v>
      </c>
      <c r="C19" s="1182" t="s">
        <v>254</v>
      </c>
      <c r="D19" s="1182"/>
      <c r="E19" s="1182">
        <f>SUM(E20)</f>
        <v>100000</v>
      </c>
      <c r="F19" s="1182">
        <f>SUM(F20)</f>
        <v>100000</v>
      </c>
      <c r="G19" s="1182">
        <f>SUM(G20)</f>
        <v>100000</v>
      </c>
      <c r="H19" s="1182">
        <f>SUM(H20)</f>
        <v>100000</v>
      </c>
      <c r="I19" s="1182">
        <f>SUM(I20)</f>
        <v>100000</v>
      </c>
    </row>
    <row r="20" spans="1:9" ht="12.75" customHeight="1">
      <c r="A20" s="1434" t="s">
        <v>86</v>
      </c>
      <c r="B20" s="1178"/>
      <c r="C20" s="1179" t="s">
        <v>247</v>
      </c>
      <c r="D20" s="1179"/>
      <c r="E20" s="1179">
        <v>100000</v>
      </c>
      <c r="F20" s="1179">
        <v>100000</v>
      </c>
      <c r="G20" s="1179">
        <v>100000</v>
      </c>
      <c r="H20" s="1179">
        <v>100000</v>
      </c>
      <c r="I20" s="1179">
        <v>100000</v>
      </c>
    </row>
    <row r="21" spans="1:9" ht="12.75" customHeight="1">
      <c r="A21" s="1435" t="s">
        <v>59</v>
      </c>
      <c r="B21" s="1181" t="s">
        <v>183</v>
      </c>
      <c r="C21" s="1182" t="s">
        <v>1060</v>
      </c>
      <c r="D21" s="1182"/>
      <c r="E21" s="1182">
        <v>0</v>
      </c>
      <c r="F21" s="1182">
        <v>0</v>
      </c>
      <c r="G21" s="1182">
        <v>0</v>
      </c>
      <c r="H21" s="1182">
        <v>0</v>
      </c>
      <c r="I21" s="1182">
        <v>0</v>
      </c>
    </row>
    <row r="22" spans="1:9" ht="12.75" customHeight="1">
      <c r="A22" s="1434" t="s">
        <v>61</v>
      </c>
      <c r="B22" s="1178"/>
      <c r="C22" s="1179" t="s">
        <v>125</v>
      </c>
      <c r="D22" s="1179"/>
      <c r="E22" s="1179"/>
      <c r="F22" s="1179"/>
      <c r="G22" s="1179"/>
      <c r="H22" s="1179"/>
      <c r="I22" s="1179"/>
    </row>
    <row r="23" spans="1:9" ht="12.75" customHeight="1">
      <c r="A23" s="1435" t="s">
        <v>63</v>
      </c>
      <c r="B23" s="1181" t="s">
        <v>184</v>
      </c>
      <c r="C23" s="1182" t="s">
        <v>255</v>
      </c>
      <c r="D23" s="1182">
        <v>1</v>
      </c>
      <c r="E23" s="1182">
        <f>SUM(E24:E28)</f>
        <v>1634204</v>
      </c>
      <c r="F23" s="1182">
        <f>SUM(F24:F28)</f>
        <v>1752495</v>
      </c>
      <c r="G23" s="1182">
        <f>SUM(G24:G28)</f>
        <v>1752495</v>
      </c>
      <c r="H23" s="1182">
        <f>SUM(H24:H28)</f>
        <v>1752495</v>
      </c>
      <c r="I23" s="1182">
        <f>SUM(I24:I28)</f>
        <v>1752495</v>
      </c>
    </row>
    <row r="24" spans="1:9" ht="12.75" customHeight="1">
      <c r="A24" s="1434" t="s">
        <v>65</v>
      </c>
      <c r="B24" s="1178"/>
      <c r="C24" s="1179" t="s">
        <v>250</v>
      </c>
      <c r="D24" s="1179"/>
      <c r="E24" s="592">
        <v>1353537</v>
      </c>
      <c r="F24" s="592">
        <v>1452525</v>
      </c>
      <c r="G24" s="592">
        <v>1452525</v>
      </c>
      <c r="H24" s="592">
        <v>1452525</v>
      </c>
      <c r="I24" s="592">
        <v>1452525</v>
      </c>
    </row>
    <row r="25" spans="1:9" ht="12.75" customHeight="1">
      <c r="A25" s="1434" t="s">
        <v>92</v>
      </c>
      <c r="B25" s="1178"/>
      <c r="C25" s="1179" t="s">
        <v>251</v>
      </c>
      <c r="D25" s="1179"/>
      <c r="E25" s="225">
        <v>280667</v>
      </c>
      <c r="F25" s="225">
        <v>299970</v>
      </c>
      <c r="G25" s="225">
        <v>299970</v>
      </c>
      <c r="H25" s="225">
        <v>299970</v>
      </c>
      <c r="I25" s="225">
        <v>299970</v>
      </c>
    </row>
    <row r="26" spans="1:9" ht="12.75" customHeight="1">
      <c r="A26" s="1434" t="s">
        <v>66</v>
      </c>
      <c r="B26" s="1183"/>
      <c r="C26" s="1184" t="s">
        <v>252</v>
      </c>
      <c r="D26" s="1184"/>
      <c r="E26" s="1179"/>
      <c r="F26" s="1179"/>
      <c r="G26" s="1179"/>
      <c r="H26" s="1179"/>
      <c r="I26" s="1179"/>
    </row>
    <row r="27" spans="1:9" ht="12.75" customHeight="1">
      <c r="A27" s="1434" t="s">
        <v>67</v>
      </c>
      <c r="B27" s="1183"/>
      <c r="C27" s="1184" t="s">
        <v>653</v>
      </c>
      <c r="D27" s="1184"/>
      <c r="E27" s="1179"/>
      <c r="F27" s="1179"/>
      <c r="G27" s="1179"/>
      <c r="H27" s="1179"/>
      <c r="I27" s="1179"/>
    </row>
    <row r="28" spans="1:9" ht="12.75" customHeight="1">
      <c r="A28" s="1434" t="s">
        <v>68</v>
      </c>
      <c r="B28" s="1183"/>
      <c r="C28" s="1184" t="s">
        <v>625</v>
      </c>
      <c r="D28" s="1184"/>
      <c r="E28" s="1179">
        <v>0</v>
      </c>
      <c r="F28" s="1179">
        <v>0</v>
      </c>
      <c r="G28" s="1179">
        <v>0</v>
      </c>
      <c r="H28" s="1179">
        <v>0</v>
      </c>
      <c r="I28" s="1179">
        <v>0</v>
      </c>
    </row>
    <row r="29" spans="1:9" ht="12.75" customHeight="1">
      <c r="A29" s="1435" t="s">
        <v>70</v>
      </c>
      <c r="B29" s="1185" t="s">
        <v>186</v>
      </c>
      <c r="C29" s="1182" t="s">
        <v>257</v>
      </c>
      <c r="D29" s="1182"/>
      <c r="E29" s="1182">
        <f>SUM(E31:E32)</f>
        <v>200000</v>
      </c>
      <c r="F29" s="1182">
        <f>SUM(F31:F32)</f>
        <v>200000</v>
      </c>
      <c r="G29" s="1182">
        <f>SUM(G31:G32)</f>
        <v>200000</v>
      </c>
      <c r="H29" s="1182">
        <f>SUM(H31:H32)</f>
        <v>200000</v>
      </c>
      <c r="I29" s="1182">
        <f>SUM(I31:I32)</f>
        <v>200000</v>
      </c>
    </row>
    <row r="30" spans="1:9" ht="12.75" customHeight="1">
      <c r="A30" s="1434" t="s">
        <v>97</v>
      </c>
      <c r="B30" s="1183"/>
      <c r="C30" s="1179" t="s">
        <v>258</v>
      </c>
      <c r="D30" s="1179"/>
      <c r="E30" s="1179"/>
      <c r="F30" s="1179"/>
      <c r="G30" s="1179"/>
      <c r="H30" s="1179"/>
      <c r="I30" s="1179"/>
    </row>
    <row r="31" spans="1:9" ht="12.75" customHeight="1">
      <c r="A31" s="1434" t="s">
        <v>99</v>
      </c>
      <c r="B31" s="1183"/>
      <c r="C31" s="1179" t="s">
        <v>249</v>
      </c>
      <c r="D31" s="1179"/>
      <c r="E31" s="1179">
        <v>0</v>
      </c>
      <c r="F31" s="1179">
        <v>0</v>
      </c>
      <c r="G31" s="1179">
        <v>0</v>
      </c>
      <c r="H31" s="1179">
        <v>0</v>
      </c>
      <c r="I31" s="1179">
        <v>0</v>
      </c>
    </row>
    <row r="32" spans="1:9" ht="12.75" customHeight="1">
      <c r="A32" s="1434" t="s">
        <v>101</v>
      </c>
      <c r="B32" s="1183"/>
      <c r="C32" s="1179" t="s">
        <v>252</v>
      </c>
      <c r="D32" s="1179"/>
      <c r="E32" s="1179">
        <v>200000</v>
      </c>
      <c r="F32" s="1179">
        <v>200000</v>
      </c>
      <c r="G32" s="1179">
        <v>200000</v>
      </c>
      <c r="H32" s="1179">
        <v>200000</v>
      </c>
      <c r="I32" s="1179">
        <v>200000</v>
      </c>
    </row>
    <row r="33" spans="1:9" ht="12.75" customHeight="1">
      <c r="A33" s="1435" t="s">
        <v>103</v>
      </c>
      <c r="B33" s="1185" t="s">
        <v>189</v>
      </c>
      <c r="C33" s="1182" t="s">
        <v>1061</v>
      </c>
      <c r="D33" s="1182"/>
      <c r="E33" s="1182">
        <v>0</v>
      </c>
      <c r="F33" s="1182">
        <v>0</v>
      </c>
      <c r="G33" s="1182">
        <v>0</v>
      </c>
      <c r="H33" s="1182">
        <v>0</v>
      </c>
      <c r="I33" s="1182">
        <v>0</v>
      </c>
    </row>
    <row r="34" spans="1:9" ht="12.75" customHeight="1">
      <c r="A34" s="1434" t="s">
        <v>105</v>
      </c>
      <c r="B34" s="1183"/>
      <c r="C34" s="1179" t="s">
        <v>250</v>
      </c>
      <c r="D34" s="1179"/>
      <c r="E34" s="1179"/>
      <c r="F34" s="1179"/>
      <c r="G34" s="1179"/>
      <c r="H34" s="1179"/>
      <c r="I34" s="1179"/>
    </row>
    <row r="35" spans="1:9" ht="12.75" customHeight="1">
      <c r="A35" s="1434" t="s">
        <v>107</v>
      </c>
      <c r="B35" s="1183"/>
      <c r="C35" s="1179" t="s">
        <v>251</v>
      </c>
      <c r="D35" s="1179"/>
      <c r="E35" s="1179"/>
      <c r="F35" s="1179"/>
      <c r="G35" s="1179"/>
      <c r="H35" s="1179"/>
      <c r="I35" s="1179"/>
    </row>
    <row r="36" spans="1:9" ht="12.75" customHeight="1">
      <c r="A36" s="1434" t="s">
        <v>109</v>
      </c>
      <c r="B36" s="1183"/>
      <c r="C36" s="1179" t="s">
        <v>256</v>
      </c>
      <c r="D36" s="1179"/>
      <c r="E36" s="1179"/>
      <c r="F36" s="1179"/>
      <c r="G36" s="1179"/>
      <c r="H36" s="1179"/>
      <c r="I36" s="1179"/>
    </row>
    <row r="37" spans="1:9" ht="12.75" customHeight="1">
      <c r="A37" s="1435" t="s">
        <v>111</v>
      </c>
      <c r="B37" s="1185" t="s">
        <v>191</v>
      </c>
      <c r="C37" s="1182" t="s">
        <v>1062</v>
      </c>
      <c r="D37" s="1182"/>
      <c r="E37" s="1182">
        <f>SUM(E38)</f>
        <v>40766879</v>
      </c>
      <c r="F37" s="1182">
        <f>SUM(F38)</f>
        <v>30387850</v>
      </c>
      <c r="G37" s="1182">
        <f>SUM(G38)</f>
        <v>30387850</v>
      </c>
      <c r="H37" s="1182">
        <f>SUM(H38)</f>
        <v>36352413</v>
      </c>
      <c r="I37" s="1182">
        <f>SUM(I38)</f>
        <v>36417253</v>
      </c>
    </row>
    <row r="38" spans="1:9" ht="12.75" customHeight="1">
      <c r="A38" s="1434" t="s">
        <v>113</v>
      </c>
      <c r="B38" s="1183"/>
      <c r="C38" s="1186" t="s">
        <v>657</v>
      </c>
      <c r="D38" s="1179"/>
      <c r="E38" s="1179">
        <f>SUM(E39:E43)</f>
        <v>40766879</v>
      </c>
      <c r="F38" s="1179">
        <f>SUM(F39:F43)</f>
        <v>30387850</v>
      </c>
      <c r="G38" s="1179">
        <f>SUM(G39:G43)</f>
        <v>30387850</v>
      </c>
      <c r="H38" s="1179">
        <f>SUM(H39:H44)</f>
        <v>36352413</v>
      </c>
      <c r="I38" s="1179">
        <f>SUM(I39:I44)</f>
        <v>36417253</v>
      </c>
    </row>
    <row r="39" spans="1:9" ht="12.75" customHeight="1">
      <c r="A39" s="1436" t="s">
        <v>115</v>
      </c>
      <c r="B39" s="1188"/>
      <c r="C39" s="1189" t="s">
        <v>656</v>
      </c>
      <c r="D39" s="1190"/>
      <c r="E39" s="590">
        <v>9489000</v>
      </c>
      <c r="F39" s="590">
        <v>9489000</v>
      </c>
      <c r="G39" s="590">
        <v>9489000</v>
      </c>
      <c r="H39" s="590">
        <v>13492000</v>
      </c>
      <c r="I39" s="590">
        <v>11783000</v>
      </c>
    </row>
    <row r="40" spans="1:9" ht="12.75" customHeight="1">
      <c r="A40" s="1436" t="s">
        <v>117</v>
      </c>
      <c r="B40" s="1188"/>
      <c r="C40" s="1189" t="s">
        <v>658</v>
      </c>
      <c r="D40" s="1190"/>
      <c r="E40" s="590">
        <v>24456021</v>
      </c>
      <c r="F40" s="590">
        <v>17000000</v>
      </c>
      <c r="G40" s="590">
        <v>17000000</v>
      </c>
      <c r="H40" s="590">
        <v>18461563</v>
      </c>
      <c r="I40" s="590">
        <v>19408606</v>
      </c>
    </row>
    <row r="41" spans="1:9" ht="12.75" customHeight="1">
      <c r="A41" s="1436" t="s">
        <v>118</v>
      </c>
      <c r="B41" s="1188"/>
      <c r="C41" s="1191" t="s">
        <v>659</v>
      </c>
      <c r="D41" s="1190"/>
      <c r="E41" s="1190">
        <v>4450000</v>
      </c>
      <c r="F41" s="590">
        <v>1500000</v>
      </c>
      <c r="G41" s="590">
        <v>1500000</v>
      </c>
      <c r="H41" s="590">
        <v>1500000</v>
      </c>
      <c r="I41" s="590">
        <v>1500000</v>
      </c>
    </row>
    <row r="42" spans="1:9" ht="12" customHeight="1">
      <c r="A42" s="1436" t="s">
        <v>120</v>
      </c>
      <c r="B42" s="1188"/>
      <c r="C42" s="1191" t="s">
        <v>261</v>
      </c>
      <c r="D42" s="1190"/>
      <c r="E42" s="1190">
        <v>23008</v>
      </c>
      <c r="F42" s="590">
        <v>50000</v>
      </c>
      <c r="G42" s="590">
        <v>50000</v>
      </c>
      <c r="H42" s="590">
        <v>50000</v>
      </c>
      <c r="I42" s="590">
        <v>50000</v>
      </c>
    </row>
    <row r="43" spans="1:9" ht="12" customHeight="1">
      <c r="A43" s="1436" t="s">
        <v>122</v>
      </c>
      <c r="B43" s="1193"/>
      <c r="C43" s="1191" t="s">
        <v>1063</v>
      </c>
      <c r="D43" s="1191"/>
      <c r="E43" s="1191">
        <v>2348850</v>
      </c>
      <c r="F43" s="1194">
        <v>2348850</v>
      </c>
      <c r="G43" s="1194">
        <v>2348850</v>
      </c>
      <c r="H43" s="1194">
        <v>2348850</v>
      </c>
      <c r="I43" s="1194">
        <v>3175647</v>
      </c>
    </row>
    <row r="44" spans="1:9" ht="12" customHeight="1">
      <c r="A44" s="1436" t="s">
        <v>124</v>
      </c>
      <c r="B44" s="1193"/>
      <c r="C44" s="1191" t="s">
        <v>1156</v>
      </c>
      <c r="D44" s="1191"/>
      <c r="E44" s="1191"/>
      <c r="F44" s="1194"/>
      <c r="G44" s="1194"/>
      <c r="H44" s="1194">
        <v>500000</v>
      </c>
      <c r="I44" s="1194">
        <v>500000</v>
      </c>
    </row>
    <row r="45" spans="1:9" ht="12.75" customHeight="1">
      <c r="A45" s="1435" t="s">
        <v>126</v>
      </c>
      <c r="B45" s="1185" t="s">
        <v>520</v>
      </c>
      <c r="C45" s="147" t="s">
        <v>1064</v>
      </c>
      <c r="D45" s="1182"/>
      <c r="E45" s="1196">
        <f>SUM(E46:E47)</f>
        <v>5194000</v>
      </c>
      <c r="F45" s="1196">
        <f>SUM(F47+F53)</f>
        <v>4162000</v>
      </c>
      <c r="G45" s="1196">
        <f>SUM(G47+G53)</f>
        <v>4162000</v>
      </c>
      <c r="H45" s="1196">
        <f>SUM(H47+H53)</f>
        <v>4162000</v>
      </c>
      <c r="I45" s="1196">
        <f>SUM(I47+I53)</f>
        <v>4162000</v>
      </c>
    </row>
    <row r="46" spans="1:9" ht="12.75" customHeight="1">
      <c r="A46" s="1434" t="s">
        <v>128</v>
      </c>
      <c r="B46" s="1183"/>
      <c r="C46" s="123" t="s">
        <v>125</v>
      </c>
      <c r="D46" s="1179"/>
      <c r="E46" s="542">
        <v>1566950</v>
      </c>
      <c r="F46" s="542"/>
      <c r="G46" s="542"/>
      <c r="H46" s="542"/>
      <c r="I46" s="542"/>
    </row>
    <row r="47" spans="1:9" s="63" customFormat="1" ht="12.75" customHeight="1">
      <c r="A47" s="1434" t="s">
        <v>130</v>
      </c>
      <c r="B47" s="1183"/>
      <c r="C47" s="123" t="s">
        <v>617</v>
      </c>
      <c r="D47" s="1179"/>
      <c r="E47" s="542">
        <v>3627050</v>
      </c>
      <c r="F47" s="542">
        <v>3812000</v>
      </c>
      <c r="G47" s="542">
        <v>3812000</v>
      </c>
      <c r="H47" s="542">
        <v>3812000</v>
      </c>
      <c r="I47" s="542">
        <v>3812000</v>
      </c>
    </row>
    <row r="48" spans="1:9" s="63" customFormat="1" ht="12.75" customHeight="1">
      <c r="A48" s="1437" t="s">
        <v>131</v>
      </c>
      <c r="B48" s="1198"/>
      <c r="C48" s="540" t="s">
        <v>618</v>
      </c>
      <c r="D48" s="1199"/>
      <c r="E48" s="1200">
        <v>600000</v>
      </c>
      <c r="F48" s="1200">
        <v>1050000</v>
      </c>
      <c r="G48" s="1200">
        <v>1050000</v>
      </c>
      <c r="H48" s="1200">
        <v>1050000</v>
      </c>
      <c r="I48" s="1200">
        <v>1050000</v>
      </c>
    </row>
    <row r="49" spans="1:9" s="63" customFormat="1" ht="12.75" customHeight="1">
      <c r="A49" s="1437" t="s">
        <v>133</v>
      </c>
      <c r="B49" s="1198"/>
      <c r="C49" s="540" t="s">
        <v>675</v>
      </c>
      <c r="D49" s="1199"/>
      <c r="E49" s="1200">
        <v>75000</v>
      </c>
      <c r="F49" s="1200">
        <v>75000</v>
      </c>
      <c r="G49" s="1200">
        <v>75000</v>
      </c>
      <c r="H49" s="1200">
        <v>75000</v>
      </c>
      <c r="I49" s="1200">
        <v>75000</v>
      </c>
    </row>
    <row r="50" spans="1:9" ht="12.75" customHeight="1">
      <c r="A50" s="1437" t="s">
        <v>135</v>
      </c>
      <c r="B50" s="1198"/>
      <c r="C50" s="540" t="s">
        <v>619</v>
      </c>
      <c r="D50" s="1199"/>
      <c r="E50" s="1200">
        <v>0</v>
      </c>
      <c r="F50" s="1200">
        <v>0</v>
      </c>
      <c r="G50" s="1200">
        <v>0</v>
      </c>
      <c r="H50" s="1200">
        <v>0</v>
      </c>
      <c r="I50" s="1200">
        <v>0</v>
      </c>
    </row>
    <row r="51" spans="1:9" ht="12.75" customHeight="1">
      <c r="A51" s="1437">
        <v>40</v>
      </c>
      <c r="B51" s="1198"/>
      <c r="C51" s="540" t="s">
        <v>620</v>
      </c>
      <c r="D51" s="1199"/>
      <c r="E51" s="1200">
        <v>2952050</v>
      </c>
      <c r="F51" s="1200">
        <v>2687000</v>
      </c>
      <c r="G51" s="1200">
        <v>2687000</v>
      </c>
      <c r="H51" s="1200">
        <v>2687000</v>
      </c>
      <c r="I51" s="1200">
        <v>2687000</v>
      </c>
    </row>
    <row r="52" spans="1:9" s="63" customFormat="1" ht="12.75" customHeight="1">
      <c r="A52" s="1437" t="s">
        <v>1158</v>
      </c>
      <c r="B52" s="1198"/>
      <c r="C52" s="540" t="s">
        <v>621</v>
      </c>
      <c r="D52" s="1199"/>
      <c r="E52" s="1199">
        <v>100000</v>
      </c>
      <c r="F52" s="1199"/>
      <c r="G52" s="1199"/>
      <c r="H52" s="1199"/>
      <c r="I52" s="1199"/>
    </row>
    <row r="53" spans="1:9" s="63" customFormat="1" ht="12.75" customHeight="1">
      <c r="A53" s="1434" t="s">
        <v>141</v>
      </c>
      <c r="B53" s="1183"/>
      <c r="C53" s="1202" t="s">
        <v>1065</v>
      </c>
      <c r="D53" s="1203"/>
      <c r="E53" s="1179"/>
      <c r="F53" s="1179">
        <v>350000</v>
      </c>
      <c r="G53" s="1179">
        <v>350000</v>
      </c>
      <c r="H53" s="1179">
        <v>350000</v>
      </c>
      <c r="I53" s="1179">
        <v>350000</v>
      </c>
    </row>
    <row r="54" spans="1:9" s="63" customFormat="1" ht="12.75" customHeight="1">
      <c r="A54" s="1435" t="s">
        <v>143</v>
      </c>
      <c r="B54" s="1185" t="s">
        <v>523</v>
      </c>
      <c r="C54" s="1204" t="s">
        <v>263</v>
      </c>
      <c r="D54" s="1205">
        <v>4</v>
      </c>
      <c r="E54" s="1182">
        <f>SUM(E55+E56+E57+E60+E61+E62)+E64+E63</f>
        <v>843875529</v>
      </c>
      <c r="F54" s="1182">
        <f>SUM(F55+F56+F57+F60+F61+F62)+F64</f>
        <v>698125640</v>
      </c>
      <c r="G54" s="1182">
        <f>SUM(G55+G56+G57+G60+G61+G62)+G64</f>
        <v>698125640</v>
      </c>
      <c r="H54" s="1182">
        <f>SUM(H55+H56+H57+H60+H61+H62)+H64</f>
        <v>705003847</v>
      </c>
      <c r="I54" s="1182">
        <f>SUM(I55+I56+I57+I60+I61+I62)+I64</f>
        <v>722271035</v>
      </c>
    </row>
    <row r="55" spans="1:9" s="63" customFormat="1" ht="12.75" customHeight="1">
      <c r="A55" s="1434" t="s">
        <v>145</v>
      </c>
      <c r="B55" s="1183"/>
      <c r="C55" s="1179" t="s">
        <v>250</v>
      </c>
      <c r="D55" s="1179"/>
      <c r="E55" s="1179">
        <v>22978374</v>
      </c>
      <c r="F55" s="1179">
        <v>15868499</v>
      </c>
      <c r="G55" s="1179">
        <v>15868499</v>
      </c>
      <c r="H55" s="1179">
        <v>15868499</v>
      </c>
      <c r="I55" s="1179">
        <v>15868499</v>
      </c>
    </row>
    <row r="56" spans="1:9" ht="12.75" customHeight="1">
      <c r="A56" s="1434" t="s">
        <v>147</v>
      </c>
      <c r="B56" s="1183"/>
      <c r="C56" s="1179" t="s">
        <v>251</v>
      </c>
      <c r="D56" s="1179"/>
      <c r="E56" s="1179">
        <v>3784536</v>
      </c>
      <c r="F56" s="1179">
        <v>3127075</v>
      </c>
      <c r="G56" s="1179">
        <v>3127075</v>
      </c>
      <c r="H56" s="1179">
        <v>3127075</v>
      </c>
      <c r="I56" s="1179">
        <v>3127075</v>
      </c>
    </row>
    <row r="57" spans="1:9" ht="12.75" customHeight="1">
      <c r="A57" s="1434" t="s">
        <v>149</v>
      </c>
      <c r="B57" s="1183"/>
      <c r="C57" s="1179" t="s">
        <v>252</v>
      </c>
      <c r="D57" s="1179"/>
      <c r="E57" s="1179">
        <v>86949029</v>
      </c>
      <c r="F57" s="1179">
        <v>26099565</v>
      </c>
      <c r="G57" s="1179">
        <v>26099565</v>
      </c>
      <c r="H57" s="1179">
        <v>31706244</v>
      </c>
      <c r="I57" s="1179">
        <v>37193059</v>
      </c>
    </row>
    <row r="58" spans="1:9" ht="12.75" customHeight="1">
      <c r="A58" s="1436" t="s">
        <v>151</v>
      </c>
      <c r="B58" s="1188"/>
      <c r="C58" s="1191" t="s">
        <v>664</v>
      </c>
      <c r="D58" s="1190"/>
      <c r="E58" s="1190">
        <v>2500000</v>
      </c>
      <c r="F58" s="1190">
        <v>2500000</v>
      </c>
      <c r="G58" s="1190">
        <v>2500000</v>
      </c>
      <c r="H58" s="1190">
        <v>2500000</v>
      </c>
      <c r="I58" s="1190">
        <v>2500000</v>
      </c>
    </row>
    <row r="59" spans="1:9" ht="12.75" customHeight="1">
      <c r="A59" s="1436" t="s">
        <v>205</v>
      </c>
      <c r="B59" s="1188"/>
      <c r="C59" s="1191"/>
      <c r="D59" s="1190"/>
      <c r="E59" s="1190"/>
      <c r="F59" s="1190"/>
      <c r="G59" s="1190"/>
      <c r="H59" s="1190"/>
      <c r="I59" s="1190"/>
    </row>
    <row r="60" spans="1:9" ht="15" customHeight="1">
      <c r="A60" s="1434" t="s">
        <v>207</v>
      </c>
      <c r="B60" s="1183"/>
      <c r="C60" s="1179" t="s">
        <v>15</v>
      </c>
      <c r="D60" s="1179"/>
      <c r="E60" s="1179">
        <v>54806758</v>
      </c>
      <c r="F60" s="1179">
        <f>SUM('19 önkormányzat'!F109)</f>
        <v>3300000</v>
      </c>
      <c r="G60" s="1179">
        <f>SUM('19 önkormányzat'!G109)</f>
        <v>3300000</v>
      </c>
      <c r="H60" s="1179">
        <f>SUM('19 önkormányzat'!H109)</f>
        <v>9569777</v>
      </c>
      <c r="I60" s="1179">
        <f>SUM('19 önkormányzat'!I109)</f>
        <v>21111383</v>
      </c>
    </row>
    <row r="61" spans="1:9" ht="15" customHeight="1">
      <c r="A61" s="1434" t="s">
        <v>262</v>
      </c>
      <c r="B61" s="1183"/>
      <c r="C61" s="1179" t="s">
        <v>521</v>
      </c>
      <c r="D61" s="1206"/>
      <c r="E61" s="1179">
        <v>664627351</v>
      </c>
      <c r="F61" s="1179">
        <f>SUM('19 önkormányzat'!F110)</f>
        <v>649730501</v>
      </c>
      <c r="G61" s="1179">
        <f>SUM('19 önkormányzat'!G110)</f>
        <v>649730501</v>
      </c>
      <c r="H61" s="1179">
        <f>SUM('19 önkormányzat'!H110)</f>
        <v>644615355</v>
      </c>
      <c r="I61" s="1179">
        <f>SUM('19 önkormányzat'!I110)</f>
        <v>642488982</v>
      </c>
    </row>
    <row r="62" spans="1:9" ht="15" customHeight="1">
      <c r="A62" s="1434" t="s">
        <v>208</v>
      </c>
      <c r="B62" s="1183"/>
      <c r="C62" s="1207" t="s">
        <v>654</v>
      </c>
      <c r="D62" s="1208"/>
      <c r="E62" s="1179">
        <v>0</v>
      </c>
      <c r="F62" s="1179">
        <v>0</v>
      </c>
      <c r="G62" s="1179">
        <v>0</v>
      </c>
      <c r="H62" s="1179">
        <v>0</v>
      </c>
      <c r="I62" s="1179">
        <v>0</v>
      </c>
    </row>
    <row r="63" spans="1:66" s="21" customFormat="1" ht="15.75" customHeight="1">
      <c r="A63" s="1438" t="s">
        <v>210</v>
      </c>
      <c r="B63" s="1210"/>
      <c r="C63" s="1211" t="s">
        <v>1082</v>
      </c>
      <c r="D63" s="1212"/>
      <c r="E63" s="1179">
        <v>10729481</v>
      </c>
      <c r="F63" s="1179"/>
      <c r="G63" s="1179"/>
      <c r="H63" s="1179"/>
      <c r="I63" s="117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1:9" ht="15" customHeight="1">
      <c r="A64" s="1439" t="s">
        <v>264</v>
      </c>
      <c r="B64" s="1166"/>
      <c r="C64" s="1208" t="s">
        <v>478</v>
      </c>
      <c r="D64" s="1208"/>
      <c r="E64" s="1261"/>
      <c r="F64" s="1179"/>
      <c r="G64" s="1179"/>
      <c r="H64" s="1179">
        <v>116897</v>
      </c>
      <c r="I64" s="1179">
        <v>2482037</v>
      </c>
    </row>
    <row r="65" spans="1:9" ht="15" customHeight="1">
      <c r="A65" s="1440" t="s">
        <v>265</v>
      </c>
      <c r="B65" s="1175" t="s">
        <v>524</v>
      </c>
      <c r="C65" s="641" t="s">
        <v>643</v>
      </c>
      <c r="D65" s="1214"/>
      <c r="E65" s="1182">
        <f>SUM(E66:E68)</f>
        <v>812200</v>
      </c>
      <c r="F65" s="1182">
        <f>SUM(F66:F68)</f>
        <v>804974</v>
      </c>
      <c r="G65" s="1182">
        <f>SUM(G66:G68)</f>
        <v>804974</v>
      </c>
      <c r="H65" s="1182">
        <f>SUM(H66:H68)</f>
        <v>804974</v>
      </c>
      <c r="I65" s="1182">
        <f>SUM(I66:I68)</f>
        <v>804974</v>
      </c>
    </row>
    <row r="66" spans="1:9" s="68" customFormat="1" ht="15" customHeight="1">
      <c r="A66" s="1434" t="s">
        <v>266</v>
      </c>
      <c r="B66" s="1178"/>
      <c r="C66" s="1215" t="s">
        <v>250</v>
      </c>
      <c r="D66" s="1208"/>
      <c r="E66" s="1179">
        <v>325200</v>
      </c>
      <c r="F66" s="1179">
        <v>325200</v>
      </c>
      <c r="G66" s="1179">
        <v>325200</v>
      </c>
      <c r="H66" s="1179">
        <v>325200</v>
      </c>
      <c r="I66" s="1179">
        <v>325200</v>
      </c>
    </row>
    <row r="67" spans="1:66" s="21" customFormat="1" ht="15.75" customHeight="1">
      <c r="A67" s="1434" t="s">
        <v>267</v>
      </c>
      <c r="B67" s="1178"/>
      <c r="C67" s="1215" t="s">
        <v>251</v>
      </c>
      <c r="D67" s="1208"/>
      <c r="E67" s="1179">
        <v>57000</v>
      </c>
      <c r="F67" s="1179">
        <v>57000</v>
      </c>
      <c r="G67" s="1179">
        <v>57000</v>
      </c>
      <c r="H67" s="1179">
        <v>57000</v>
      </c>
      <c r="I67" s="1179">
        <v>57000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1:9" ht="12.75" customHeight="1">
      <c r="A68" s="1434" t="s">
        <v>1159</v>
      </c>
      <c r="B68" s="1178"/>
      <c r="C68" s="686" t="s">
        <v>252</v>
      </c>
      <c r="D68" s="1208"/>
      <c r="E68" s="1179">
        <v>430000</v>
      </c>
      <c r="F68" s="1179">
        <v>422774</v>
      </c>
      <c r="G68" s="1179">
        <v>422774</v>
      </c>
      <c r="H68" s="1179">
        <v>422774</v>
      </c>
      <c r="I68" s="1179">
        <v>422774</v>
      </c>
    </row>
    <row r="69" spans="1:9" ht="12.75" customHeight="1">
      <c r="A69" s="1434" t="s">
        <v>271</v>
      </c>
      <c r="B69" s="1181" t="s">
        <v>1066</v>
      </c>
      <c r="C69" s="1216" t="s">
        <v>655</v>
      </c>
      <c r="D69" s="541"/>
      <c r="E69" s="1182">
        <f>SUM(E70:E71)</f>
        <v>9086397</v>
      </c>
      <c r="F69" s="1182">
        <f>SUM(F70:F71)</f>
        <v>7035063</v>
      </c>
      <c r="G69" s="1182">
        <f>SUM(G70:G71)</f>
        <v>7035063</v>
      </c>
      <c r="H69" s="1182">
        <f>SUM(H70:H71)</f>
        <v>7496735</v>
      </c>
      <c r="I69" s="1182">
        <f>SUM(I70:I71)</f>
        <v>8085459</v>
      </c>
    </row>
    <row r="70" spans="1:9" ht="12.75" customHeight="1">
      <c r="A70" s="1434" t="s">
        <v>273</v>
      </c>
      <c r="B70" s="1183"/>
      <c r="C70" s="1179" t="s">
        <v>522</v>
      </c>
      <c r="D70" s="1206"/>
      <c r="E70" s="1179">
        <v>9086397</v>
      </c>
      <c r="F70" s="1179">
        <v>7035063</v>
      </c>
      <c r="G70" s="1179">
        <v>7035063</v>
      </c>
      <c r="H70" s="1179">
        <v>7496735</v>
      </c>
      <c r="I70" s="1179">
        <v>8085459</v>
      </c>
    </row>
    <row r="71" spans="1:9" ht="12.75" customHeight="1">
      <c r="A71" s="1434" t="s">
        <v>274</v>
      </c>
      <c r="B71" s="1178"/>
      <c r="C71" s="1207" t="s">
        <v>478</v>
      </c>
      <c r="D71" s="1208"/>
      <c r="E71" s="1179"/>
      <c r="F71" s="1179"/>
      <c r="G71" s="1179"/>
      <c r="H71" s="1179"/>
      <c r="I71" s="1179"/>
    </row>
    <row r="72" spans="1:9" ht="12.75" customHeight="1">
      <c r="A72" s="1435" t="s">
        <v>275</v>
      </c>
      <c r="B72" s="1181" t="s">
        <v>1075</v>
      </c>
      <c r="C72" s="1216" t="s">
        <v>1081</v>
      </c>
      <c r="D72" s="541"/>
      <c r="E72" s="1182"/>
      <c r="F72" s="1182">
        <f>SUM(F73:F74)</f>
        <v>9837568</v>
      </c>
      <c r="G72" s="1182">
        <f>SUM(G73:G74)</f>
        <v>9837568</v>
      </c>
      <c r="H72" s="1182">
        <f>SUM(H73:H74)</f>
        <v>9837568</v>
      </c>
      <c r="I72" s="1182">
        <f>SUM(I73:I74)</f>
        <v>9837568</v>
      </c>
    </row>
    <row r="73" spans="1:9" ht="12.75" customHeight="1">
      <c r="A73" s="1434" t="s">
        <v>277</v>
      </c>
      <c r="B73" s="1092"/>
      <c r="C73" s="1215" t="s">
        <v>250</v>
      </c>
      <c r="D73" s="1208"/>
      <c r="E73" s="1179"/>
      <c r="F73" s="1179">
        <v>8231088</v>
      </c>
      <c r="G73" s="1179">
        <v>8231088</v>
      </c>
      <c r="H73" s="1179">
        <v>8231088</v>
      </c>
      <c r="I73" s="1179">
        <v>8231088</v>
      </c>
    </row>
    <row r="74" spans="1:9" ht="12.75" customHeight="1">
      <c r="A74" s="1434" t="s">
        <v>278</v>
      </c>
      <c r="B74" s="1178"/>
      <c r="C74" s="1215" t="s">
        <v>251</v>
      </c>
      <c r="D74" s="1208"/>
      <c r="E74" s="1179"/>
      <c r="F74" s="1179">
        <v>1606480</v>
      </c>
      <c r="G74" s="1179">
        <v>1606480</v>
      </c>
      <c r="H74" s="1179">
        <v>1606480</v>
      </c>
      <c r="I74" s="1179">
        <v>1606480</v>
      </c>
    </row>
    <row r="75" spans="1:9" ht="12.75" customHeight="1">
      <c r="A75" s="1435" t="s">
        <v>279</v>
      </c>
      <c r="B75" s="1181" t="s">
        <v>1067</v>
      </c>
      <c r="C75" s="1216" t="s">
        <v>1068</v>
      </c>
      <c r="D75" s="541"/>
      <c r="E75" s="1182"/>
      <c r="F75" s="1182"/>
      <c r="G75" s="1182"/>
      <c r="H75" s="1182"/>
      <c r="I75" s="1182"/>
    </row>
    <row r="76" spans="1:9" ht="12.75" customHeight="1">
      <c r="A76" s="1434" t="s">
        <v>280</v>
      </c>
      <c r="B76" s="1178"/>
      <c r="C76" s="1207" t="s">
        <v>1069</v>
      </c>
      <c r="D76" s="1208"/>
      <c r="E76" s="1179"/>
      <c r="F76" s="1179"/>
      <c r="G76" s="1179"/>
      <c r="H76" s="1179"/>
      <c r="I76" s="1179"/>
    </row>
    <row r="77" spans="1:9" ht="14.25" customHeight="1">
      <c r="A77" s="1435" t="s">
        <v>281</v>
      </c>
      <c r="B77" s="1181" t="s">
        <v>1070</v>
      </c>
      <c r="C77" s="1216" t="s">
        <v>1071</v>
      </c>
      <c r="D77" s="541"/>
      <c r="E77" s="1182"/>
      <c r="F77" s="1182"/>
      <c r="G77" s="1182"/>
      <c r="H77" s="1182"/>
      <c r="I77" s="1182"/>
    </row>
    <row r="78" spans="1:9" ht="14.25" customHeight="1">
      <c r="A78" s="1434" t="s">
        <v>282</v>
      </c>
      <c r="B78" s="1178"/>
      <c r="C78" s="1207" t="s">
        <v>1069</v>
      </c>
      <c r="D78" s="1208"/>
      <c r="E78" s="1179"/>
      <c r="F78" s="1179"/>
      <c r="G78" s="1179"/>
      <c r="H78" s="1179"/>
      <c r="I78" s="1179"/>
    </row>
    <row r="79" spans="1:9" s="96" customFormat="1" ht="18" customHeight="1">
      <c r="A79" s="1434" t="s">
        <v>283</v>
      </c>
      <c r="B79" s="1178"/>
      <c r="C79" s="1207" t="s">
        <v>1072</v>
      </c>
      <c r="D79" s="1208"/>
      <c r="E79" s="1179"/>
      <c r="F79" s="1179"/>
      <c r="G79" s="1179"/>
      <c r="H79" s="1179"/>
      <c r="I79" s="1179"/>
    </row>
    <row r="80" spans="1:9" ht="12.75" customHeight="1">
      <c r="A80" s="1435" t="s">
        <v>284</v>
      </c>
      <c r="B80" s="1181" t="s">
        <v>1073</v>
      </c>
      <c r="C80" s="1216" t="s">
        <v>1027</v>
      </c>
      <c r="D80" s="541"/>
      <c r="E80" s="1182"/>
      <c r="F80" s="1182">
        <f>SUM(F82)</f>
        <v>2500000</v>
      </c>
      <c r="G80" s="1182">
        <f>SUM(G82)</f>
        <v>2500000</v>
      </c>
      <c r="H80" s="1182">
        <f>SUM(H82)</f>
        <v>2500000</v>
      </c>
      <c r="I80" s="1182">
        <f>SUM(I82)</f>
        <v>2500000</v>
      </c>
    </row>
    <row r="81" spans="1:9" ht="12.75" customHeight="1">
      <c r="A81" s="1434" t="s">
        <v>285</v>
      </c>
      <c r="B81" s="1178"/>
      <c r="C81" s="1207" t="s">
        <v>1074</v>
      </c>
      <c r="D81" s="1208"/>
      <c r="E81" s="1179"/>
      <c r="F81" s="1179"/>
      <c r="G81" s="1179"/>
      <c r="H81" s="1179"/>
      <c r="I81" s="1179"/>
    </row>
    <row r="82" spans="1:9" ht="12.75" customHeight="1">
      <c r="A82" s="1434" t="s">
        <v>286</v>
      </c>
      <c r="B82" s="1178"/>
      <c r="C82" s="1207" t="s">
        <v>1072</v>
      </c>
      <c r="D82" s="1208"/>
      <c r="E82" s="1179"/>
      <c r="F82" s="1179">
        <v>2500000</v>
      </c>
      <c r="G82" s="1179">
        <v>2500000</v>
      </c>
      <c r="H82" s="1179">
        <v>2500000</v>
      </c>
      <c r="I82" s="1179">
        <v>2500000</v>
      </c>
    </row>
    <row r="83" spans="1:9" ht="12.75" customHeight="1">
      <c r="A83" s="1434" t="s">
        <v>287</v>
      </c>
      <c r="B83" s="1217" t="s">
        <v>1075</v>
      </c>
      <c r="C83" s="1218" t="s">
        <v>622</v>
      </c>
      <c r="D83" s="541"/>
      <c r="E83" s="1182">
        <f>SUM(E84)</f>
        <v>274808735</v>
      </c>
      <c r="F83" s="1182">
        <f>SUM(F84)</f>
        <v>312611623</v>
      </c>
      <c r="G83" s="1182">
        <f>SUM(G84)</f>
        <v>312611623</v>
      </c>
      <c r="H83" s="1182">
        <f>SUM(H84)</f>
        <v>313202745</v>
      </c>
      <c r="I83" s="1182">
        <f>SUM(I84)</f>
        <v>315592990</v>
      </c>
    </row>
    <row r="84" spans="1:9" ht="12.75" customHeight="1" thickBot="1">
      <c r="A84" s="1434" t="s">
        <v>288</v>
      </c>
      <c r="B84" s="1219"/>
      <c r="C84" s="1220" t="s">
        <v>289</v>
      </c>
      <c r="D84" s="1208"/>
      <c r="E84" s="1206">
        <f>SUM('19 önkormányzat'!E134)</f>
        <v>274808735</v>
      </c>
      <c r="F84" s="1206">
        <f>SUM('19 önkormányzat'!F134)</f>
        <v>312611623</v>
      </c>
      <c r="G84" s="1206">
        <f>SUM('19 önkormányzat'!G134)</f>
        <v>312611623</v>
      </c>
      <c r="H84" s="1206">
        <f>SUM('19 önkormányzat'!H134)</f>
        <v>313202745</v>
      </c>
      <c r="I84" s="1206">
        <f>SUM('19 önkormányzat'!I134)</f>
        <v>315592990</v>
      </c>
    </row>
    <row r="85" spans="1:9" s="68" customFormat="1" ht="12.75" customHeight="1" thickBot="1">
      <c r="A85" s="1434" t="s">
        <v>290</v>
      </c>
      <c r="B85" s="227"/>
      <c r="C85" s="228" t="s">
        <v>236</v>
      </c>
      <c r="D85" s="1221">
        <v>5</v>
      </c>
      <c r="E85" s="229">
        <f>SUM(E12+E14+E17+E19+E23+E29+E33+E37+E54+E69+E83)+E65+E45</f>
        <v>1184701944</v>
      </c>
      <c r="F85" s="229">
        <f>SUM(F12+F14+F17+F19+F23+F29+F33+F37+F54+F69+F83)+F65+F45+F80</f>
        <v>1064879645</v>
      </c>
      <c r="G85" s="229">
        <f>SUM(G12+G14+G17+G19+G23+G29+G33+G37+G54+G69+G83)+G65+G45+G80</f>
        <v>1064879645</v>
      </c>
      <c r="H85" s="229">
        <f>SUM(H12+H14+H17+H19+H23+H29+H33+H37+H54+H69+H83)+H65+H45+H80+H72</f>
        <v>1088612777</v>
      </c>
      <c r="I85" s="229">
        <f>SUM(I12+I14+I17+I19+I23+I29+I33+I37+I54+I69+I83)+I65+I45+I80+I72</f>
        <v>1108923774</v>
      </c>
    </row>
    <row r="86" spans="1:9" ht="12.75" customHeight="1">
      <c r="A86" s="1434" t="s">
        <v>291</v>
      </c>
      <c r="B86" s="230"/>
      <c r="C86" s="231" t="s">
        <v>250</v>
      </c>
      <c r="D86" s="231"/>
      <c r="E86" s="231">
        <f>SUM(E24+E30+E34+E55)+E66</f>
        <v>24657111</v>
      </c>
      <c r="F86" s="231">
        <f>SUM(F24+F30+F34+F55)+F66</f>
        <v>17646224</v>
      </c>
      <c r="G86" s="231">
        <f>SUM(G24+G30+G34+G55)+G66</f>
        <v>17646224</v>
      </c>
      <c r="H86" s="231">
        <f>SUM(H24+H30+H34+H55)+H66+H73</f>
        <v>25877312</v>
      </c>
      <c r="I86" s="231">
        <f>SUM(I24+I30+I34+I55)+I66+I73</f>
        <v>25877312</v>
      </c>
    </row>
    <row r="87" spans="1:9" ht="12.75" customHeight="1">
      <c r="A87" s="1434" t="s">
        <v>292</v>
      </c>
      <c r="B87" s="232"/>
      <c r="C87" s="233" t="s">
        <v>251</v>
      </c>
      <c r="D87" s="233"/>
      <c r="E87" s="233">
        <f>SUM(E25+E35+E56)+E67</f>
        <v>4122203</v>
      </c>
      <c r="F87" s="233">
        <f>SUM(F25+F35+F56)+F67</f>
        <v>3484045</v>
      </c>
      <c r="G87" s="233">
        <f>SUM(G25+G35+G56)+G67</f>
        <v>3484045</v>
      </c>
      <c r="H87" s="233">
        <f>SUM(H25+H35+H56)+H67+H74</f>
        <v>5090525</v>
      </c>
      <c r="I87" s="233">
        <f>SUM(I25+I35+I56)+I67+I74</f>
        <v>5090525</v>
      </c>
    </row>
    <row r="88" spans="1:9" ht="12.75" customHeight="1">
      <c r="A88" s="1434" t="s">
        <v>293</v>
      </c>
      <c r="B88" s="232"/>
      <c r="C88" s="233" t="s">
        <v>252</v>
      </c>
      <c r="D88" s="233"/>
      <c r="E88" s="233">
        <f>SUM(E13+E15+E18+E20+E26+E32+E57)+E68+E46</f>
        <v>97469979</v>
      </c>
      <c r="F88" s="233">
        <f>SUM(F13+F15+F18+F20+F26+F32+F57)+F68+F46</f>
        <v>34022339</v>
      </c>
      <c r="G88" s="233">
        <f>SUM(G13+G15+G18+G20+G26+G32+G57)+G68+G46</f>
        <v>34022339</v>
      </c>
      <c r="H88" s="233">
        <f>SUM(H13+H15+H18+H20+H26+H32+H57)+H68+H46</f>
        <v>39629018</v>
      </c>
      <c r="I88" s="233">
        <f>SUM(I13+I15+I18+I20+I26+I32+I57)+I68+I46</f>
        <v>45115833</v>
      </c>
    </row>
    <row r="89" spans="1:9" ht="12.75" customHeight="1">
      <c r="A89" s="1434" t="s">
        <v>294</v>
      </c>
      <c r="B89" s="232"/>
      <c r="C89" s="233" t="s">
        <v>660</v>
      </c>
      <c r="D89" s="233"/>
      <c r="E89" s="233">
        <f>SUM(E47)</f>
        <v>3627050</v>
      </c>
      <c r="F89" s="233">
        <f>SUM(F47)+F53</f>
        <v>4162000</v>
      </c>
      <c r="G89" s="233">
        <f>SUM(G47)+G53</f>
        <v>4162000</v>
      </c>
      <c r="H89" s="233">
        <f>SUM(H47)+H53</f>
        <v>4162000</v>
      </c>
      <c r="I89" s="233">
        <f>SUM(I47)+I53</f>
        <v>4162000</v>
      </c>
    </row>
    <row r="90" spans="1:9" ht="12.75" customHeight="1">
      <c r="A90" s="1434" t="s">
        <v>295</v>
      </c>
      <c r="B90" s="232"/>
      <c r="C90" s="233" t="s">
        <v>661</v>
      </c>
      <c r="D90" s="233"/>
      <c r="E90" s="233">
        <f>SUM(E61)</f>
        <v>664627351</v>
      </c>
      <c r="F90" s="233">
        <f>SUM(F61)</f>
        <v>649730501</v>
      </c>
      <c r="G90" s="233">
        <f>SUM(G61)</f>
        <v>649730501</v>
      </c>
      <c r="H90" s="233">
        <f>SUM(H61)</f>
        <v>644615355</v>
      </c>
      <c r="I90" s="233">
        <f>SUM(I61)</f>
        <v>642488982</v>
      </c>
    </row>
    <row r="91" spans="1:9" ht="12.75" customHeight="1">
      <c r="A91" s="1434" t="s">
        <v>297</v>
      </c>
      <c r="B91" s="232"/>
      <c r="C91" s="233" t="s">
        <v>662</v>
      </c>
      <c r="D91" s="233"/>
      <c r="E91" s="233">
        <f>SUM(E38)</f>
        <v>40766879</v>
      </c>
      <c r="F91" s="233">
        <f>SUM(F38)+F82</f>
        <v>32887850</v>
      </c>
      <c r="G91" s="233">
        <f>SUM(G38)+G82</f>
        <v>32887850</v>
      </c>
      <c r="H91" s="233">
        <f>SUM(H38)+H82</f>
        <v>38852413</v>
      </c>
      <c r="I91" s="233">
        <f>SUM(I38)+I82</f>
        <v>38917253</v>
      </c>
    </row>
    <row r="92" spans="1:9" ht="12.75" customHeight="1">
      <c r="A92" s="1434" t="s">
        <v>299</v>
      </c>
      <c r="B92" s="232"/>
      <c r="C92" s="233" t="s">
        <v>625</v>
      </c>
      <c r="D92" s="233"/>
      <c r="E92" s="233">
        <f>SUM(E16+E28+E31+E60)</f>
        <v>54806758</v>
      </c>
      <c r="F92" s="233">
        <f>SUM(F16+F28+F31+F60)</f>
        <v>3300000</v>
      </c>
      <c r="G92" s="233">
        <f>SUM(G16+G28+G31+G60)</f>
        <v>3300000</v>
      </c>
      <c r="H92" s="233">
        <f>SUM(H16+H28+H31+H60)</f>
        <v>9569777</v>
      </c>
      <c r="I92" s="233">
        <f>SUM(I16+I28+I31+I60)</f>
        <v>21111383</v>
      </c>
    </row>
    <row r="93" spans="1:9" ht="12.75" customHeight="1">
      <c r="A93" s="1437" t="s">
        <v>301</v>
      </c>
      <c r="B93" s="882"/>
      <c r="C93" s="883" t="s">
        <v>792</v>
      </c>
      <c r="D93" s="883"/>
      <c r="E93" s="883">
        <v>46062104</v>
      </c>
      <c r="F93" s="883">
        <v>2000000</v>
      </c>
      <c r="G93" s="883">
        <v>2000000</v>
      </c>
      <c r="H93" s="883">
        <v>2000000</v>
      </c>
      <c r="I93" s="883">
        <v>2000000</v>
      </c>
    </row>
    <row r="94" spans="1:9" s="96" customFormat="1" ht="36.75" customHeight="1">
      <c r="A94" s="1437" t="s">
        <v>302</v>
      </c>
      <c r="B94" s="882"/>
      <c r="C94" s="883" t="s">
        <v>793</v>
      </c>
      <c r="D94" s="883"/>
      <c r="E94" s="1224">
        <v>8744654</v>
      </c>
      <c r="F94" s="1224">
        <v>1300000</v>
      </c>
      <c r="G94" s="1224">
        <v>1300000</v>
      </c>
      <c r="H94" s="1224">
        <v>1300000</v>
      </c>
      <c r="I94" s="1224">
        <v>1300000</v>
      </c>
    </row>
    <row r="95" spans="1:9" ht="12.75" customHeight="1">
      <c r="A95" s="1434" t="s">
        <v>303</v>
      </c>
      <c r="B95" s="232"/>
      <c r="C95" s="234" t="s">
        <v>663</v>
      </c>
      <c r="D95" s="233"/>
      <c r="E95" s="233">
        <v>10729481</v>
      </c>
      <c r="F95" s="233"/>
      <c r="G95" s="233"/>
      <c r="H95" s="233"/>
      <c r="I95" s="233"/>
    </row>
    <row r="96" spans="1:9" ht="12.75" customHeight="1">
      <c r="A96" s="1434" t="s">
        <v>304</v>
      </c>
      <c r="B96" s="235"/>
      <c r="C96" s="566" t="s">
        <v>707</v>
      </c>
      <c r="D96" s="236"/>
      <c r="E96" s="236">
        <f>SUM(E62)</f>
        <v>0</v>
      </c>
      <c r="F96" s="236">
        <f>SUM(F62)</f>
        <v>0</v>
      </c>
      <c r="G96" s="236">
        <f>SUM(G62)</f>
        <v>0</v>
      </c>
      <c r="H96" s="236">
        <f>SUM(H62)</f>
        <v>0</v>
      </c>
      <c r="I96" s="236">
        <f>SUM(I62)</f>
        <v>0</v>
      </c>
    </row>
    <row r="97" spans="1:11" ht="12.75" customHeight="1">
      <c r="A97" s="1434" t="s">
        <v>305</v>
      </c>
      <c r="B97" s="567"/>
      <c r="C97" s="568" t="s">
        <v>708</v>
      </c>
      <c r="D97" s="569"/>
      <c r="E97" s="569">
        <f>SUM(E70)</f>
        <v>9086397</v>
      </c>
      <c r="F97" s="569">
        <f>SUM(F70)</f>
        <v>7035063</v>
      </c>
      <c r="G97" s="569">
        <f>SUM(G70)</f>
        <v>7035063</v>
      </c>
      <c r="H97" s="569">
        <f>SUM(H70)</f>
        <v>7496735</v>
      </c>
      <c r="I97" s="569">
        <f>SUM(I70)</f>
        <v>8085459</v>
      </c>
      <c r="K97" s="1428"/>
    </row>
    <row r="98" spans="1:9" ht="12.75" customHeight="1">
      <c r="A98" s="1434" t="s">
        <v>623</v>
      </c>
      <c r="B98" s="567"/>
      <c r="C98" s="568" t="s">
        <v>688</v>
      </c>
      <c r="D98" s="569"/>
      <c r="E98" s="569"/>
      <c r="F98" s="569"/>
      <c r="G98" s="569"/>
      <c r="H98" s="569"/>
      <c r="I98" s="569"/>
    </row>
    <row r="99" spans="1:9" ht="12.75" customHeight="1">
      <c r="A99" s="1434" t="s">
        <v>624</v>
      </c>
      <c r="B99" s="567"/>
      <c r="C99" s="568" t="s">
        <v>689</v>
      </c>
      <c r="D99" s="569"/>
      <c r="E99" s="569"/>
      <c r="F99" s="569"/>
      <c r="G99" s="569"/>
      <c r="H99" s="569"/>
      <c r="I99" s="569"/>
    </row>
    <row r="100" spans="1:9" ht="12.75" customHeight="1">
      <c r="A100" s="1434" t="s">
        <v>307</v>
      </c>
      <c r="B100" s="567"/>
      <c r="C100" s="568" t="s">
        <v>690</v>
      </c>
      <c r="D100" s="569"/>
      <c r="E100" s="569"/>
      <c r="F100" s="569"/>
      <c r="G100" s="569"/>
      <c r="H100" s="569"/>
      <c r="I100" s="569"/>
    </row>
    <row r="101" spans="1:9" ht="12.75" customHeight="1" thickBot="1">
      <c r="A101" s="1438" t="s">
        <v>308</v>
      </c>
      <c r="B101" s="1262"/>
      <c r="C101" s="1263" t="s">
        <v>686</v>
      </c>
      <c r="D101" s="1264"/>
      <c r="E101" s="1264">
        <f>SUM(E84)</f>
        <v>274808735</v>
      </c>
      <c r="F101" s="1264">
        <f>SUM(F84)</f>
        <v>312611623</v>
      </c>
      <c r="G101" s="1425">
        <f>SUM(G84)</f>
        <v>312611623</v>
      </c>
      <c r="H101" s="1264">
        <f>SUM(H84)</f>
        <v>313202745</v>
      </c>
      <c r="I101" s="1264">
        <f>SUM(I84)</f>
        <v>315592990</v>
      </c>
    </row>
    <row r="102" spans="1:9" ht="12.75" customHeight="1">
      <c r="A102" s="1705" t="s">
        <v>306</v>
      </c>
      <c r="B102" s="1706"/>
      <c r="C102" s="1706"/>
      <c r="D102" s="1706"/>
      <c r="E102" s="1706"/>
      <c r="F102" s="1706"/>
      <c r="G102" s="1427"/>
      <c r="H102" s="1426"/>
      <c r="I102" s="1426"/>
    </row>
    <row r="103" spans="1:9" ht="12.75" customHeight="1">
      <c r="A103" s="1429" t="s">
        <v>309</v>
      </c>
      <c r="B103" s="421"/>
      <c r="C103" s="421" t="s">
        <v>263</v>
      </c>
      <c r="D103" s="448">
        <v>13</v>
      </c>
      <c r="E103" s="649">
        <f>SUM(E104:E107)</f>
        <v>76541446</v>
      </c>
      <c r="F103" s="649">
        <f>SUM(F104:F107)</f>
        <v>83886884</v>
      </c>
      <c r="G103" s="649">
        <f>SUM(G104:G107)</f>
        <v>83886884</v>
      </c>
      <c r="H103" s="649">
        <f>SUM(H104:H107)</f>
        <v>91346087</v>
      </c>
      <c r="I103" s="649">
        <f>SUM(I104:I107)</f>
        <v>91649311</v>
      </c>
    </row>
    <row r="104" spans="1:9" s="68" customFormat="1" ht="12.75" customHeight="1">
      <c r="A104" s="1422" t="s">
        <v>310</v>
      </c>
      <c r="B104" s="1270"/>
      <c r="C104" s="316" t="s">
        <v>250</v>
      </c>
      <c r="D104" s="481"/>
      <c r="E104" s="648">
        <v>54865577</v>
      </c>
      <c r="F104" s="648">
        <v>60931971</v>
      </c>
      <c r="G104" s="648">
        <v>60931971</v>
      </c>
      <c r="H104" s="648">
        <v>67173979</v>
      </c>
      <c r="I104" s="648">
        <v>67173979</v>
      </c>
    </row>
    <row r="105" spans="1:9" ht="12.75" customHeight="1">
      <c r="A105" s="1422" t="s">
        <v>311</v>
      </c>
      <c r="B105" s="1270"/>
      <c r="C105" s="316" t="s">
        <v>251</v>
      </c>
      <c r="D105" s="481"/>
      <c r="E105" s="648">
        <v>10755547</v>
      </c>
      <c r="F105" s="648">
        <v>11745913</v>
      </c>
      <c r="G105" s="648">
        <v>11745913</v>
      </c>
      <c r="H105" s="648">
        <v>12963105</v>
      </c>
      <c r="I105" s="648">
        <v>12963105</v>
      </c>
    </row>
    <row r="106" spans="1:9" ht="12.75" customHeight="1">
      <c r="A106" s="1422" t="s">
        <v>312</v>
      </c>
      <c r="B106" s="1270"/>
      <c r="C106" s="316" t="s">
        <v>252</v>
      </c>
      <c r="D106" s="481"/>
      <c r="E106" s="648">
        <v>10708844</v>
      </c>
      <c r="F106" s="648">
        <v>10709000</v>
      </c>
      <c r="G106" s="648">
        <v>10709000</v>
      </c>
      <c r="H106" s="648">
        <v>10709003</v>
      </c>
      <c r="I106" s="648">
        <v>10787437</v>
      </c>
    </row>
    <row r="107" spans="1:9" ht="12.75" customHeight="1">
      <c r="A107" s="1422" t="s">
        <v>313</v>
      </c>
      <c r="B107" s="1270"/>
      <c r="C107" s="316" t="s">
        <v>249</v>
      </c>
      <c r="D107" s="481"/>
      <c r="E107" s="648">
        <v>211478</v>
      </c>
      <c r="F107" s="648">
        <v>500000</v>
      </c>
      <c r="G107" s="648">
        <v>500000</v>
      </c>
      <c r="H107" s="648">
        <v>500000</v>
      </c>
      <c r="I107" s="648">
        <v>724790</v>
      </c>
    </row>
    <row r="108" spans="1:9" ht="12.75" customHeight="1">
      <c r="A108" s="1429" t="s">
        <v>314</v>
      </c>
      <c r="B108" s="1271"/>
      <c r="C108" s="421" t="s">
        <v>507</v>
      </c>
      <c r="D108" s="448">
        <v>1</v>
      </c>
      <c r="E108" s="649">
        <f>SUM(E109:E111)</f>
        <v>5061260</v>
      </c>
      <c r="F108" s="649">
        <f>SUM(F109:F111)</f>
        <v>5061260</v>
      </c>
      <c r="G108" s="649">
        <f>SUM(G109:G111)</f>
        <v>5061260</v>
      </c>
      <c r="H108" s="649">
        <f>SUM(H109:H111)</f>
        <v>5061260</v>
      </c>
      <c r="I108" s="649">
        <f>SUM(I109:I111)</f>
        <v>5061260</v>
      </c>
    </row>
    <row r="109" spans="1:9" ht="12.75" customHeight="1">
      <c r="A109" s="1422" t="s">
        <v>315</v>
      </c>
      <c r="B109" s="1270"/>
      <c r="C109" s="316" t="s">
        <v>250</v>
      </c>
      <c r="D109" s="481"/>
      <c r="E109" s="648">
        <v>4213492</v>
      </c>
      <c r="F109" s="648">
        <f>SUM(4216699)</f>
        <v>4216699</v>
      </c>
      <c r="G109" s="648">
        <f>SUM(4216699)</f>
        <v>4216699</v>
      </c>
      <c r="H109" s="648">
        <f>SUM(4216699)</f>
        <v>4216699</v>
      </c>
      <c r="I109" s="648">
        <f>SUM(4216699)</f>
        <v>4216699</v>
      </c>
    </row>
    <row r="110" spans="1:9" ht="12.75" customHeight="1">
      <c r="A110" s="1422" t="s">
        <v>316</v>
      </c>
      <c r="B110" s="1270"/>
      <c r="C110" s="316" t="s">
        <v>251</v>
      </c>
      <c r="D110" s="481"/>
      <c r="E110" s="648">
        <v>847768</v>
      </c>
      <c r="F110" s="648">
        <f>SUM(844561)</f>
        <v>844561</v>
      </c>
      <c r="G110" s="648">
        <f>SUM(844561)</f>
        <v>844561</v>
      </c>
      <c r="H110" s="648">
        <f>SUM(844561)</f>
        <v>844561</v>
      </c>
      <c r="I110" s="648">
        <f>SUM(844561)</f>
        <v>844561</v>
      </c>
    </row>
    <row r="111" spans="1:9" ht="12.75" customHeight="1">
      <c r="A111" s="1422" t="s">
        <v>317</v>
      </c>
      <c r="B111" s="1270"/>
      <c r="C111" s="316" t="s">
        <v>252</v>
      </c>
      <c r="D111" s="481"/>
      <c r="E111" s="648">
        <v>0</v>
      </c>
      <c r="F111" s="648">
        <v>0</v>
      </c>
      <c r="G111" s="648">
        <v>0</v>
      </c>
      <c r="H111" s="648">
        <v>0</v>
      </c>
      <c r="I111" s="648">
        <v>0</v>
      </c>
    </row>
    <row r="112" spans="1:9" ht="12.75" customHeight="1">
      <c r="A112" s="1429" t="s">
        <v>318</v>
      </c>
      <c r="B112" s="1271"/>
      <c r="C112" s="421" t="s">
        <v>508</v>
      </c>
      <c r="D112" s="448"/>
      <c r="E112" s="649">
        <f>SUM(E113:E115)</f>
        <v>1348461</v>
      </c>
      <c r="F112" s="649">
        <f>SUM(F113:F115)</f>
        <v>0</v>
      </c>
      <c r="G112" s="649">
        <f>SUM(G113:G115)</f>
        <v>0</v>
      </c>
      <c r="H112" s="649">
        <f>SUM(H113:H115)</f>
        <v>0</v>
      </c>
      <c r="I112" s="649">
        <f>SUM(I113:I115)</f>
        <v>0</v>
      </c>
    </row>
    <row r="113" spans="1:9" s="68" customFormat="1" ht="12.75" customHeight="1">
      <c r="A113" s="1422" t="s">
        <v>319</v>
      </c>
      <c r="B113" s="1270"/>
      <c r="C113" s="316" t="s">
        <v>250</v>
      </c>
      <c r="D113" s="481"/>
      <c r="E113" s="648">
        <v>1007237</v>
      </c>
      <c r="F113" s="648"/>
      <c r="G113" s="648"/>
      <c r="H113" s="648"/>
      <c r="I113" s="648"/>
    </row>
    <row r="114" spans="1:9" ht="12.75" customHeight="1">
      <c r="A114" s="1422" t="s">
        <v>321</v>
      </c>
      <c r="B114" s="1270"/>
      <c r="C114" s="316" t="s">
        <v>251</v>
      </c>
      <c r="D114" s="481"/>
      <c r="E114" s="648">
        <v>204255</v>
      </c>
      <c r="F114" s="648"/>
      <c r="G114" s="648"/>
      <c r="H114" s="648"/>
      <c r="I114" s="648"/>
    </row>
    <row r="115" spans="1:9" ht="12.75" customHeight="1">
      <c r="A115" s="1430" t="s">
        <v>322</v>
      </c>
      <c r="B115" s="1272"/>
      <c r="C115" s="341" t="s">
        <v>252</v>
      </c>
      <c r="D115" s="498"/>
      <c r="E115" s="802">
        <v>136969</v>
      </c>
      <c r="F115" s="802"/>
      <c r="G115" s="802"/>
      <c r="H115" s="802"/>
      <c r="I115" s="802"/>
    </row>
    <row r="116" spans="1:9" s="68" customFormat="1" ht="12.75" customHeight="1">
      <c r="A116" s="1429" t="s">
        <v>323</v>
      </c>
      <c r="B116" s="1271"/>
      <c r="C116" s="421" t="s">
        <v>1165</v>
      </c>
      <c r="D116" s="448"/>
      <c r="E116" s="649"/>
      <c r="F116" s="649"/>
      <c r="G116" s="649"/>
      <c r="H116" s="649"/>
      <c r="I116" s="649">
        <v>1156271</v>
      </c>
    </row>
    <row r="117" spans="1:9" ht="12.75" customHeight="1">
      <c r="A117" s="1422" t="s">
        <v>324</v>
      </c>
      <c r="B117" s="1270"/>
      <c r="C117" s="316" t="s">
        <v>250</v>
      </c>
      <c r="D117" s="481"/>
      <c r="E117" s="648"/>
      <c r="F117" s="648"/>
      <c r="G117" s="648"/>
      <c r="H117" s="648"/>
      <c r="I117" s="648">
        <v>798787</v>
      </c>
    </row>
    <row r="118" spans="1:9" ht="12.75" customHeight="1">
      <c r="A118" s="1422" t="s">
        <v>325</v>
      </c>
      <c r="B118" s="1270"/>
      <c r="C118" s="316" t="s">
        <v>251</v>
      </c>
      <c r="D118" s="481"/>
      <c r="E118" s="648"/>
      <c r="F118" s="648"/>
      <c r="G118" s="648"/>
      <c r="H118" s="648"/>
      <c r="I118" s="648">
        <v>192545</v>
      </c>
    </row>
    <row r="119" spans="1:9" ht="12.75" customHeight="1">
      <c r="A119" s="1422" t="s">
        <v>326</v>
      </c>
      <c r="B119" s="1270"/>
      <c r="C119" s="341" t="s">
        <v>252</v>
      </c>
      <c r="D119" s="481"/>
      <c r="E119" s="648"/>
      <c r="F119" s="648"/>
      <c r="G119" s="648"/>
      <c r="H119" s="648"/>
      <c r="I119" s="648">
        <v>164939</v>
      </c>
    </row>
    <row r="120" spans="1:9" ht="18" customHeight="1" thickBot="1">
      <c r="A120" s="1707" t="s">
        <v>327</v>
      </c>
      <c r="B120" s="1708"/>
      <c r="C120" s="1640" t="s">
        <v>238</v>
      </c>
      <c r="D120" s="1641">
        <f>SUM(D103:D108)</f>
        <v>14</v>
      </c>
      <c r="E120" s="1642">
        <f>SUM(E121:E124)</f>
        <v>82951167</v>
      </c>
      <c r="F120" s="1643">
        <f>SUM(F121:F124)</f>
        <v>88948144</v>
      </c>
      <c r="G120" s="1643">
        <f>SUM(G121:G124)</f>
        <v>88948144</v>
      </c>
      <c r="H120" s="1643">
        <f>SUM(H121:H124)</f>
        <v>96407347</v>
      </c>
      <c r="I120" s="1643">
        <f>SUM(I121:I124)</f>
        <v>97866842</v>
      </c>
    </row>
    <row r="121" spans="1:9" ht="12.75" customHeight="1">
      <c r="A121" s="1431" t="s">
        <v>328</v>
      </c>
      <c r="B121" s="1356"/>
      <c r="C121" s="1357" t="s">
        <v>250</v>
      </c>
      <c r="D121" s="190"/>
      <c r="E121" s="1358">
        <f aca="true" t="shared" si="0" ref="E121:H123">SUM(E104+E109)+E113</f>
        <v>60086306</v>
      </c>
      <c r="F121" s="1358">
        <f t="shared" si="0"/>
        <v>65148670</v>
      </c>
      <c r="G121" s="1358">
        <f t="shared" si="0"/>
        <v>65148670</v>
      </c>
      <c r="H121" s="1358">
        <f t="shared" si="0"/>
        <v>71390678</v>
      </c>
      <c r="I121" s="1358">
        <f>SUM(I104+I109)+I113+I117</f>
        <v>72189465</v>
      </c>
    </row>
    <row r="122" spans="1:9" ht="12.75" customHeight="1">
      <c r="A122" s="1421" t="s">
        <v>330</v>
      </c>
      <c r="B122" s="1270"/>
      <c r="C122" s="1273" t="s">
        <v>251</v>
      </c>
      <c r="D122" s="844"/>
      <c r="E122" s="869">
        <f t="shared" si="0"/>
        <v>11807570</v>
      </c>
      <c r="F122" s="869">
        <f t="shared" si="0"/>
        <v>12590474</v>
      </c>
      <c r="G122" s="869">
        <f t="shared" si="0"/>
        <v>12590474</v>
      </c>
      <c r="H122" s="869">
        <f t="shared" si="0"/>
        <v>13807666</v>
      </c>
      <c r="I122" s="869">
        <f>SUM(I105+I110)+I114+I118</f>
        <v>14000211</v>
      </c>
    </row>
    <row r="123" spans="1:9" ht="12.75" customHeight="1">
      <c r="A123" s="1421" t="s">
        <v>331</v>
      </c>
      <c r="B123" s="1270"/>
      <c r="C123" s="1274" t="s">
        <v>252</v>
      </c>
      <c r="D123" s="846"/>
      <c r="E123" s="867">
        <f t="shared" si="0"/>
        <v>10845813</v>
      </c>
      <c r="F123" s="867">
        <f t="shared" si="0"/>
        <v>10709000</v>
      </c>
      <c r="G123" s="867">
        <f t="shared" si="0"/>
        <v>10709000</v>
      </c>
      <c r="H123" s="867">
        <f t="shared" si="0"/>
        <v>10709003</v>
      </c>
      <c r="I123" s="867">
        <v>10952376</v>
      </c>
    </row>
    <row r="124" spans="1:9" ht="12.75" customHeight="1">
      <c r="A124" s="1421" t="s">
        <v>332</v>
      </c>
      <c r="B124" s="1270"/>
      <c r="C124" s="1274" t="s">
        <v>259</v>
      </c>
      <c r="D124" s="846"/>
      <c r="E124" s="867">
        <f>SUM(E107)</f>
        <v>211478</v>
      </c>
      <c r="F124" s="867">
        <f>SUM(F107)</f>
        <v>500000</v>
      </c>
      <c r="G124" s="867">
        <f>SUM(G107)</f>
        <v>500000</v>
      </c>
      <c r="H124" s="867">
        <f>SUM(H107)</f>
        <v>500000</v>
      </c>
      <c r="I124" s="867">
        <f>SUM(I107)</f>
        <v>724790</v>
      </c>
    </row>
    <row r="125" spans="1:9" ht="12.75" customHeight="1">
      <c r="A125" s="1441" t="s">
        <v>333</v>
      </c>
      <c r="B125" s="1275"/>
      <c r="C125" s="1231" t="s">
        <v>792</v>
      </c>
      <c r="D125" s="848"/>
      <c r="E125" s="870">
        <v>211478</v>
      </c>
      <c r="F125" s="870">
        <v>500000</v>
      </c>
      <c r="G125" s="870">
        <v>500000</v>
      </c>
      <c r="H125" s="870">
        <v>500000</v>
      </c>
      <c r="I125" s="870">
        <v>724790</v>
      </c>
    </row>
    <row r="126" spans="1:9" ht="12.75" customHeight="1" thickBot="1">
      <c r="A126" s="1442" t="s">
        <v>334</v>
      </c>
      <c r="B126" s="1355"/>
      <c r="C126" s="1232" t="s">
        <v>793</v>
      </c>
      <c r="D126" s="865"/>
      <c r="E126" s="871"/>
      <c r="F126" s="871"/>
      <c r="G126" s="871"/>
      <c r="H126" s="871"/>
      <c r="I126" s="871"/>
    </row>
    <row r="127" spans="1:9" ht="19.5" customHeight="1" thickBot="1">
      <c r="A127" s="1709" t="s">
        <v>1095</v>
      </c>
      <c r="B127" s="1695"/>
      <c r="C127" s="1695"/>
      <c r="D127" s="1695"/>
      <c r="E127" s="1695"/>
      <c r="F127" s="1695"/>
      <c r="G127" s="1695"/>
      <c r="H127" s="5"/>
      <c r="I127" s="5"/>
    </row>
    <row r="128" spans="1:9" ht="12.75" customHeight="1">
      <c r="A128" s="1443" t="s">
        <v>336</v>
      </c>
      <c r="B128" s="1359" t="s">
        <v>164</v>
      </c>
      <c r="C128" s="1360" t="s">
        <v>320</v>
      </c>
      <c r="D128" s="1361">
        <v>1</v>
      </c>
      <c r="E128" s="1362">
        <f>SUM(E129:E131)</f>
        <v>18699204</v>
      </c>
      <c r="F128" s="1362">
        <f>SUM(F129:F131)</f>
        <v>18885094</v>
      </c>
      <c r="G128" s="1362">
        <f>SUM(G129:G131)</f>
        <v>18885094</v>
      </c>
      <c r="H128" s="1362">
        <f>SUM(H129:H131)</f>
        <v>18885094</v>
      </c>
      <c r="I128" s="1362">
        <f>SUM(I129:I131)</f>
        <v>18885094</v>
      </c>
    </row>
    <row r="129" spans="1:9" ht="12.75" customHeight="1">
      <c r="A129" s="1444" t="s">
        <v>337</v>
      </c>
      <c r="B129" s="141"/>
      <c r="C129" s="17" t="s">
        <v>250</v>
      </c>
      <c r="D129" s="142"/>
      <c r="E129" s="455">
        <v>2239195</v>
      </c>
      <c r="F129" s="455">
        <v>2397618</v>
      </c>
      <c r="G129" s="455">
        <v>2397618</v>
      </c>
      <c r="H129" s="455">
        <v>2397618</v>
      </c>
      <c r="I129" s="455">
        <v>2397618</v>
      </c>
    </row>
    <row r="130" spans="1:9" ht="12.75" customHeight="1">
      <c r="A130" s="1444" t="s">
        <v>338</v>
      </c>
      <c r="B130" s="141"/>
      <c r="C130" s="17" t="s">
        <v>251</v>
      </c>
      <c r="D130" s="142"/>
      <c r="E130" s="455">
        <v>460009</v>
      </c>
      <c r="F130" s="455">
        <v>487476</v>
      </c>
      <c r="G130" s="455">
        <v>487476</v>
      </c>
      <c r="H130" s="455">
        <v>487476</v>
      </c>
      <c r="I130" s="455">
        <v>487476</v>
      </c>
    </row>
    <row r="131" spans="1:9" ht="12.75" customHeight="1">
      <c r="A131" s="1444" t="s">
        <v>339</v>
      </c>
      <c r="B131" s="141"/>
      <c r="C131" s="17" t="s">
        <v>252</v>
      </c>
      <c r="D131" s="142"/>
      <c r="E131" s="456">
        <v>16000000</v>
      </c>
      <c r="F131" s="456">
        <v>16000000</v>
      </c>
      <c r="G131" s="456">
        <v>16000000</v>
      </c>
      <c r="H131" s="456">
        <v>16000000</v>
      </c>
      <c r="I131" s="456">
        <v>16000000</v>
      </c>
    </row>
    <row r="132" spans="1:9" ht="12.75" customHeight="1">
      <c r="A132" s="1445" t="s">
        <v>341</v>
      </c>
      <c r="B132" s="138" t="s">
        <v>166</v>
      </c>
      <c r="C132" s="9" t="s">
        <v>491</v>
      </c>
      <c r="D132" s="139"/>
      <c r="E132" s="453">
        <f>SUM(E133:E135)</f>
        <v>2820040</v>
      </c>
      <c r="F132" s="453">
        <f>SUM(F133:F135)</f>
        <v>4842080</v>
      </c>
      <c r="G132" s="453">
        <f>SUM(G133:G135)</f>
        <v>4842080</v>
      </c>
      <c r="H132" s="453">
        <f>SUM(H133:H135)</f>
        <v>4842080</v>
      </c>
      <c r="I132" s="453">
        <f>SUM(I133:I135)</f>
        <v>4842080</v>
      </c>
    </row>
    <row r="133" spans="1:9" ht="12.75" customHeight="1">
      <c r="A133" s="1444" t="s">
        <v>342</v>
      </c>
      <c r="B133" s="141"/>
      <c r="C133" s="17" t="s">
        <v>250</v>
      </c>
      <c r="D133" s="142"/>
      <c r="E133" s="455">
        <v>265497</v>
      </c>
      <c r="F133" s="455">
        <v>284281</v>
      </c>
      <c r="G133" s="455">
        <v>284281</v>
      </c>
      <c r="H133" s="455">
        <v>284281</v>
      </c>
      <c r="I133" s="455">
        <v>284281</v>
      </c>
    </row>
    <row r="134" spans="1:9" ht="12.75" customHeight="1">
      <c r="A134" s="1444" t="s">
        <v>343</v>
      </c>
      <c r="B134" s="141"/>
      <c r="C134" s="144" t="s">
        <v>251</v>
      </c>
      <c r="D134" s="207"/>
      <c r="E134" s="457">
        <v>54543</v>
      </c>
      <c r="F134" s="457">
        <v>57799</v>
      </c>
      <c r="G134" s="457">
        <v>57799</v>
      </c>
      <c r="H134" s="457">
        <v>57799</v>
      </c>
      <c r="I134" s="457">
        <v>57799</v>
      </c>
    </row>
    <row r="135" spans="1:9" ht="12.75" customHeight="1">
      <c r="A135" s="1444" t="s">
        <v>344</v>
      </c>
      <c r="B135" s="141"/>
      <c r="C135" s="316" t="s">
        <v>252</v>
      </c>
      <c r="D135" s="448"/>
      <c r="E135" s="458">
        <v>2500000</v>
      </c>
      <c r="F135" s="458">
        <v>4500000</v>
      </c>
      <c r="G135" s="458">
        <v>4500000</v>
      </c>
      <c r="H135" s="458">
        <v>4500000</v>
      </c>
      <c r="I135" s="458">
        <v>4500000</v>
      </c>
    </row>
    <row r="136" spans="1:9" ht="12.75" customHeight="1">
      <c r="A136" s="1445" t="s">
        <v>345</v>
      </c>
      <c r="B136" s="138" t="s">
        <v>173</v>
      </c>
      <c r="C136" s="421" t="s">
        <v>492</v>
      </c>
      <c r="D136" s="448"/>
      <c r="E136" s="444">
        <f>SUM(E137:E139)</f>
        <v>0</v>
      </c>
      <c r="F136" s="444">
        <f>SUM(F137:F139)</f>
        <v>0</v>
      </c>
      <c r="G136" s="444">
        <f>SUM(G137:G139)</f>
        <v>0</v>
      </c>
      <c r="H136" s="444">
        <f>SUM(H137:H139)</f>
        <v>0</v>
      </c>
      <c r="I136" s="444">
        <f>SUM(I137:I139)</f>
        <v>0</v>
      </c>
    </row>
    <row r="137" spans="1:9" ht="12.75" customHeight="1">
      <c r="A137" s="1444" t="s">
        <v>347</v>
      </c>
      <c r="B137" s="141"/>
      <c r="C137" s="316" t="s">
        <v>250</v>
      </c>
      <c r="D137" s="448"/>
      <c r="E137" s="458"/>
      <c r="F137" s="458">
        <v>0</v>
      </c>
      <c r="G137" s="458">
        <v>0</v>
      </c>
      <c r="H137" s="458">
        <v>0</v>
      </c>
      <c r="I137" s="458">
        <v>0</v>
      </c>
    </row>
    <row r="138" spans="1:9" ht="12.75" customHeight="1">
      <c r="A138" s="1444" t="s">
        <v>348</v>
      </c>
      <c r="B138" s="141"/>
      <c r="C138" s="128" t="s">
        <v>251</v>
      </c>
      <c r="D138" s="186"/>
      <c r="E138" s="459"/>
      <c r="F138" s="459">
        <v>0</v>
      </c>
      <c r="G138" s="459">
        <v>0</v>
      </c>
      <c r="H138" s="459">
        <v>0</v>
      </c>
      <c r="I138" s="459">
        <v>0</v>
      </c>
    </row>
    <row r="139" spans="1:9" ht="12.75" customHeight="1">
      <c r="A139" s="1444" t="s">
        <v>349</v>
      </c>
      <c r="B139" s="141"/>
      <c r="C139" s="17" t="s">
        <v>252</v>
      </c>
      <c r="D139" s="139"/>
      <c r="E139" s="455"/>
      <c r="F139" s="455">
        <v>0</v>
      </c>
      <c r="G139" s="455">
        <v>0</v>
      </c>
      <c r="H139" s="455">
        <v>0</v>
      </c>
      <c r="I139" s="455">
        <v>0</v>
      </c>
    </row>
    <row r="140" spans="1:9" ht="12.75" customHeight="1">
      <c r="A140" s="1445" t="s">
        <v>351</v>
      </c>
      <c r="B140" s="138" t="s">
        <v>182</v>
      </c>
      <c r="C140" s="9" t="s">
        <v>329</v>
      </c>
      <c r="D140" s="139">
        <v>20</v>
      </c>
      <c r="E140" s="453">
        <f>SUM(E141:E145)</f>
        <v>69300411</v>
      </c>
      <c r="F140" s="453">
        <f>SUM(F141:F143)</f>
        <v>67471811</v>
      </c>
      <c r="G140" s="453">
        <f>SUM(G141:G143)</f>
        <v>67471811</v>
      </c>
      <c r="H140" s="453">
        <f>SUM(H141:H143)</f>
        <v>67681861</v>
      </c>
      <c r="I140" s="453">
        <f>SUM(I141:I143)</f>
        <v>67993216</v>
      </c>
    </row>
    <row r="141" spans="1:9" s="146" customFormat="1" ht="19.5" customHeight="1">
      <c r="A141" s="1444" t="s">
        <v>352</v>
      </c>
      <c r="B141" s="141"/>
      <c r="C141" s="17" t="s">
        <v>250</v>
      </c>
      <c r="D141" s="139"/>
      <c r="E141" s="455">
        <v>52019117</v>
      </c>
      <c r="F141" s="455">
        <v>55379163</v>
      </c>
      <c r="G141" s="455">
        <v>55379163</v>
      </c>
      <c r="H141" s="455">
        <v>55379163</v>
      </c>
      <c r="I141" s="455">
        <v>55379163</v>
      </c>
    </row>
    <row r="142" spans="1:9" ht="12.75" customHeight="1">
      <c r="A142" s="1444" t="s">
        <v>353</v>
      </c>
      <c r="B142" s="141"/>
      <c r="C142" s="17" t="s">
        <v>251</v>
      </c>
      <c r="D142" s="139"/>
      <c r="E142" s="455">
        <v>16661294</v>
      </c>
      <c r="F142" s="455">
        <v>11172648</v>
      </c>
      <c r="G142" s="455">
        <v>11172648</v>
      </c>
      <c r="H142" s="455">
        <v>11172648</v>
      </c>
      <c r="I142" s="455">
        <v>11172648</v>
      </c>
    </row>
    <row r="143" spans="1:9" ht="12.75" customHeight="1">
      <c r="A143" s="1444" t="s">
        <v>354</v>
      </c>
      <c r="B143" s="141"/>
      <c r="C143" s="17" t="s">
        <v>252</v>
      </c>
      <c r="D143" s="139"/>
      <c r="E143" s="455">
        <v>620000</v>
      </c>
      <c r="F143" s="455">
        <v>920000</v>
      </c>
      <c r="G143" s="455">
        <v>920000</v>
      </c>
      <c r="H143" s="455">
        <v>1130050</v>
      </c>
      <c r="I143" s="455">
        <v>1441405</v>
      </c>
    </row>
    <row r="144" spans="1:9" ht="12.75" customHeight="1">
      <c r="A144" s="1446" t="s">
        <v>355</v>
      </c>
      <c r="B144" s="1226"/>
      <c r="C144" s="60" t="s">
        <v>1080</v>
      </c>
      <c r="D144" s="1228"/>
      <c r="E144" s="759"/>
      <c r="F144" s="759">
        <v>300000</v>
      </c>
      <c r="G144" s="759">
        <v>300000</v>
      </c>
      <c r="H144" s="759">
        <v>300000</v>
      </c>
      <c r="I144" s="759">
        <v>300000</v>
      </c>
    </row>
    <row r="145" spans="1:9" ht="12.75" customHeight="1">
      <c r="A145" s="1444" t="s">
        <v>356</v>
      </c>
      <c r="B145" s="141"/>
      <c r="C145" s="17" t="s">
        <v>15</v>
      </c>
      <c r="D145" s="139"/>
      <c r="E145" s="455">
        <v>0</v>
      </c>
      <c r="F145" s="455">
        <v>0</v>
      </c>
      <c r="G145" s="455">
        <v>0</v>
      </c>
      <c r="H145" s="455">
        <v>0</v>
      </c>
      <c r="I145" s="455">
        <v>0</v>
      </c>
    </row>
    <row r="146" spans="1:9" ht="12.75" customHeight="1">
      <c r="A146" s="1445" t="s">
        <v>357</v>
      </c>
      <c r="B146" s="138" t="s">
        <v>183</v>
      </c>
      <c r="C146" s="9" t="s">
        <v>493</v>
      </c>
      <c r="D146" s="139"/>
      <c r="E146" s="453">
        <f>SUM(E147:E149)</f>
        <v>394000</v>
      </c>
      <c r="F146" s="453">
        <f>SUM(F147:F149)</f>
        <v>394000</v>
      </c>
      <c r="G146" s="453">
        <f>SUM(G147:G149)</f>
        <v>394000</v>
      </c>
      <c r="H146" s="453">
        <f>SUM(H147:H149)</f>
        <v>394000</v>
      </c>
      <c r="I146" s="453">
        <f>SUM(I147:I149)</f>
        <v>394000</v>
      </c>
    </row>
    <row r="147" spans="1:9" ht="12.75" customHeight="1">
      <c r="A147" s="1444" t="s">
        <v>358</v>
      </c>
      <c r="B147" s="141"/>
      <c r="C147" s="17" t="s">
        <v>250</v>
      </c>
      <c r="D147" s="139"/>
      <c r="E147" s="455">
        <v>330000</v>
      </c>
      <c r="F147" s="455">
        <v>330000</v>
      </c>
      <c r="G147" s="455">
        <v>330000</v>
      </c>
      <c r="H147" s="455">
        <v>330000</v>
      </c>
      <c r="I147" s="455">
        <v>330000</v>
      </c>
    </row>
    <row r="148" spans="1:9" ht="12.75" customHeight="1">
      <c r="A148" s="1444" t="s">
        <v>359</v>
      </c>
      <c r="B148" s="141"/>
      <c r="C148" s="17" t="s">
        <v>251</v>
      </c>
      <c r="D148" s="139"/>
      <c r="E148" s="455">
        <v>64000</v>
      </c>
      <c r="F148" s="455">
        <v>64000</v>
      </c>
      <c r="G148" s="455">
        <v>64000</v>
      </c>
      <c r="H148" s="455">
        <v>64000</v>
      </c>
      <c r="I148" s="455">
        <v>64000</v>
      </c>
    </row>
    <row r="149" spans="1:9" ht="12.75" customHeight="1">
      <c r="A149" s="1444" t="s">
        <v>361</v>
      </c>
      <c r="B149" s="141"/>
      <c r="C149" s="17" t="s">
        <v>252</v>
      </c>
      <c r="D149" s="139"/>
      <c r="E149" s="455">
        <v>0</v>
      </c>
      <c r="F149" s="455">
        <v>0</v>
      </c>
      <c r="G149" s="455">
        <v>0</v>
      </c>
      <c r="H149" s="455">
        <v>0</v>
      </c>
      <c r="I149" s="455">
        <v>0</v>
      </c>
    </row>
    <row r="150" spans="1:9" ht="12.75" customHeight="1">
      <c r="A150" s="1445" t="s">
        <v>362</v>
      </c>
      <c r="B150" s="138" t="s">
        <v>184</v>
      </c>
      <c r="C150" s="9" t="s">
        <v>335</v>
      </c>
      <c r="D150" s="139"/>
      <c r="E150" s="453">
        <f>SUM(E151:E153)</f>
        <v>10689826</v>
      </c>
      <c r="F150" s="453">
        <f>SUM(F151:F153)</f>
        <v>13116458</v>
      </c>
      <c r="G150" s="453">
        <f>SUM(G151:G153)</f>
        <v>13116458</v>
      </c>
      <c r="H150" s="453">
        <f>SUM(H151:H153)</f>
        <v>13116458</v>
      </c>
      <c r="I150" s="453">
        <f>SUM(I151:I153)</f>
        <v>13206458</v>
      </c>
    </row>
    <row r="151" spans="1:9" s="68" customFormat="1" ht="12.75" customHeight="1">
      <c r="A151" s="1444" t="s">
        <v>363</v>
      </c>
      <c r="B151" s="141"/>
      <c r="C151" s="17" t="s">
        <v>250</v>
      </c>
      <c r="D151" s="139">
        <v>3</v>
      </c>
      <c r="E151" s="455">
        <v>8402972</v>
      </c>
      <c r="F151" s="455">
        <v>10350140</v>
      </c>
      <c r="G151" s="455">
        <v>10350140</v>
      </c>
      <c r="H151" s="455">
        <v>10350140</v>
      </c>
      <c r="I151" s="455">
        <v>10350140</v>
      </c>
    </row>
    <row r="152" spans="1:9" ht="12.75" customHeight="1">
      <c r="A152" s="1444" t="s">
        <v>364</v>
      </c>
      <c r="B152" s="141"/>
      <c r="C152" s="17" t="s">
        <v>251</v>
      </c>
      <c r="D152" s="139"/>
      <c r="E152" s="455">
        <v>1690854</v>
      </c>
      <c r="F152" s="455">
        <v>2170318</v>
      </c>
      <c r="G152" s="455">
        <v>2170318</v>
      </c>
      <c r="H152" s="455">
        <v>2170318</v>
      </c>
      <c r="I152" s="455">
        <v>2170318</v>
      </c>
    </row>
    <row r="153" spans="1:9" ht="12.75" customHeight="1">
      <c r="A153" s="1444" t="s">
        <v>365</v>
      </c>
      <c r="B153" s="141"/>
      <c r="C153" s="17" t="s">
        <v>252</v>
      </c>
      <c r="D153" s="139"/>
      <c r="E153" s="455">
        <v>596000</v>
      </c>
      <c r="F153" s="455">
        <v>596000</v>
      </c>
      <c r="G153" s="455">
        <v>596000</v>
      </c>
      <c r="H153" s="455">
        <v>596000</v>
      </c>
      <c r="I153" s="455">
        <v>686000</v>
      </c>
    </row>
    <row r="154" spans="1:9" ht="12.75" customHeight="1">
      <c r="A154" s="1445" t="s">
        <v>366</v>
      </c>
      <c r="B154" s="138" t="s">
        <v>186</v>
      </c>
      <c r="C154" s="9" t="s">
        <v>340</v>
      </c>
      <c r="D154" s="139">
        <v>6</v>
      </c>
      <c r="E154" s="453">
        <f>SUM(E155:E159)</f>
        <v>10474523</v>
      </c>
      <c r="F154" s="453">
        <f>SUM(F155:F157)</f>
        <v>19987878</v>
      </c>
      <c r="G154" s="453">
        <f>SUM(G155:G157)</f>
        <v>19987878</v>
      </c>
      <c r="H154" s="453">
        <f>SUM(H155:H157)</f>
        <v>20041521</v>
      </c>
      <c r="I154" s="453">
        <f>SUM(I155:I157)</f>
        <v>20080599</v>
      </c>
    </row>
    <row r="155" spans="1:9" s="68" customFormat="1" ht="12.75" customHeight="1">
      <c r="A155" s="1444" t="s">
        <v>367</v>
      </c>
      <c r="B155" s="141"/>
      <c r="C155" s="17" t="s">
        <v>250</v>
      </c>
      <c r="D155" s="139"/>
      <c r="E155" s="455">
        <v>8317727</v>
      </c>
      <c r="F155" s="455">
        <v>15522194</v>
      </c>
      <c r="G155" s="455">
        <v>15522194</v>
      </c>
      <c r="H155" s="455">
        <v>15567083</v>
      </c>
      <c r="I155" s="455">
        <v>15599784</v>
      </c>
    </row>
    <row r="156" spans="1:9" ht="12.75" customHeight="1">
      <c r="A156" s="1444" t="s">
        <v>368</v>
      </c>
      <c r="B156" s="141"/>
      <c r="C156" s="17" t="s">
        <v>251</v>
      </c>
      <c r="D156" s="142"/>
      <c r="E156" s="455">
        <v>1618796</v>
      </c>
      <c r="F156" s="455">
        <v>3165684</v>
      </c>
      <c r="G156" s="455">
        <v>3165684</v>
      </c>
      <c r="H156" s="455">
        <v>3174438</v>
      </c>
      <c r="I156" s="455">
        <v>3180815</v>
      </c>
    </row>
    <row r="157" spans="1:9" ht="12.75" customHeight="1">
      <c r="A157" s="1444" t="s">
        <v>369</v>
      </c>
      <c r="B157" s="141"/>
      <c r="C157" s="17" t="s">
        <v>635</v>
      </c>
      <c r="D157" s="142"/>
      <c r="E157" s="455">
        <v>538000</v>
      </c>
      <c r="F157" s="455">
        <v>1300000</v>
      </c>
      <c r="G157" s="455">
        <v>1300000</v>
      </c>
      <c r="H157" s="455">
        <v>1300000</v>
      </c>
      <c r="I157" s="455">
        <v>1300000</v>
      </c>
    </row>
    <row r="158" spans="1:9" ht="12.75" customHeight="1">
      <c r="A158" s="1446" t="s">
        <v>370</v>
      </c>
      <c r="B158" s="1226"/>
      <c r="C158" s="60" t="s">
        <v>1079</v>
      </c>
      <c r="D158" s="1227"/>
      <c r="E158" s="759"/>
      <c r="F158" s="759">
        <v>240000</v>
      </c>
      <c r="G158" s="759">
        <v>240000</v>
      </c>
      <c r="H158" s="759">
        <v>240000</v>
      </c>
      <c r="I158" s="759">
        <v>240000</v>
      </c>
    </row>
    <row r="159" spans="1:9" ht="12.75" customHeight="1">
      <c r="A159" s="1444" t="s">
        <v>371</v>
      </c>
      <c r="B159" s="141"/>
      <c r="C159" s="17" t="s">
        <v>15</v>
      </c>
      <c r="D159" s="142"/>
      <c r="E159" s="455">
        <v>0</v>
      </c>
      <c r="F159" s="455">
        <v>0</v>
      </c>
      <c r="G159" s="455">
        <v>0</v>
      </c>
      <c r="H159" s="455">
        <v>0</v>
      </c>
      <c r="I159" s="455">
        <v>0</v>
      </c>
    </row>
    <row r="160" spans="1:9" ht="26.25" customHeight="1">
      <c r="A160" s="1445" t="s">
        <v>372</v>
      </c>
      <c r="B160" s="138" t="s">
        <v>189</v>
      </c>
      <c r="C160" s="9" t="s">
        <v>346</v>
      </c>
      <c r="D160" s="139">
        <v>0</v>
      </c>
      <c r="E160" s="453">
        <f>SUM(E161:E164)</f>
        <v>4804201</v>
      </c>
      <c r="F160" s="453">
        <f>SUM(F161:F164)</f>
        <v>4697500</v>
      </c>
      <c r="G160" s="453">
        <f>SUM(G161:G164)</f>
        <v>4697500</v>
      </c>
      <c r="H160" s="453">
        <f>SUM(H161:H164)</f>
        <v>4940455</v>
      </c>
      <c r="I160" s="453">
        <f>SUM(I161:I164)</f>
        <v>5133005</v>
      </c>
    </row>
    <row r="161" spans="1:9" ht="12.75" customHeight="1">
      <c r="A161" s="1444" t="s">
        <v>1096</v>
      </c>
      <c r="B161" s="141"/>
      <c r="C161" s="17" t="s">
        <v>494</v>
      </c>
      <c r="D161" s="142"/>
      <c r="E161" s="455">
        <v>295863</v>
      </c>
      <c r="F161" s="455">
        <v>500000</v>
      </c>
      <c r="G161" s="455">
        <v>500000</v>
      </c>
      <c r="H161" s="455">
        <v>500000</v>
      </c>
      <c r="I161" s="455">
        <v>500000</v>
      </c>
    </row>
    <row r="162" spans="1:9" ht="12.75" customHeight="1">
      <c r="A162" s="1444" t="s">
        <v>1097</v>
      </c>
      <c r="B162" s="141"/>
      <c r="C162" s="17" t="s">
        <v>495</v>
      </c>
      <c r="D162" s="142"/>
      <c r="E162" s="455">
        <v>57693</v>
      </c>
      <c r="F162" s="455">
        <v>97500</v>
      </c>
      <c r="G162" s="455">
        <v>97500</v>
      </c>
      <c r="H162" s="455">
        <v>97500</v>
      </c>
      <c r="I162" s="455">
        <v>97500</v>
      </c>
    </row>
    <row r="163" spans="1:9" ht="12.75" customHeight="1">
      <c r="A163" s="1444" t="s">
        <v>373</v>
      </c>
      <c r="B163" s="141"/>
      <c r="C163" s="17" t="s">
        <v>453</v>
      </c>
      <c r="D163" s="142"/>
      <c r="E163" s="455">
        <v>3633384</v>
      </c>
      <c r="F163" s="455">
        <v>3600000</v>
      </c>
      <c r="G163" s="455">
        <v>3600000</v>
      </c>
      <c r="H163" s="455">
        <v>3600000</v>
      </c>
      <c r="I163" s="455">
        <v>3600000</v>
      </c>
    </row>
    <row r="164" spans="1:9" ht="12.75" customHeight="1" thickBot="1">
      <c r="A164" s="1447" t="s">
        <v>375</v>
      </c>
      <c r="B164" s="1363"/>
      <c r="C164" s="1364" t="s">
        <v>15</v>
      </c>
      <c r="D164" s="1365"/>
      <c r="E164" s="1366">
        <v>817261</v>
      </c>
      <c r="F164" s="1366">
        <v>500000</v>
      </c>
      <c r="G164" s="1366">
        <v>500000</v>
      </c>
      <c r="H164" s="1366">
        <v>742955</v>
      </c>
      <c r="I164" s="1366">
        <v>935505</v>
      </c>
    </row>
    <row r="165" spans="1:9" ht="19.5" customHeight="1" thickBot="1">
      <c r="A165" s="1367" t="s">
        <v>376</v>
      </c>
      <c r="B165" s="1368" t="s">
        <v>191</v>
      </c>
      <c r="C165" s="1369" t="s">
        <v>496</v>
      </c>
      <c r="D165" s="1370">
        <v>30</v>
      </c>
      <c r="E165" s="1371">
        <f>SUM(E128+E132+E140+E150+E154+E160)+E146+E136</f>
        <v>117182205</v>
      </c>
      <c r="F165" s="1371">
        <f>SUM(F128+F132+F140+F150+F154+F160)+F146+F136</f>
        <v>129394821</v>
      </c>
      <c r="G165" s="1371">
        <f>SUM(G128+G132+G140+G150+G154+G160)+G146+G136</f>
        <v>129394821</v>
      </c>
      <c r="H165" s="1371">
        <f>SUM(H128+H132+H140+H150+H154+H160)+H146+H136</f>
        <v>129901469</v>
      </c>
      <c r="I165" s="1371">
        <f>SUM(I128+I132+I140+I150+I154+I160)+I146+I136</f>
        <v>130534452</v>
      </c>
    </row>
    <row r="166" spans="1:9" s="68" customFormat="1" ht="24" customHeight="1">
      <c r="A166" s="1448" t="s">
        <v>377</v>
      </c>
      <c r="B166" s="1372"/>
      <c r="C166" s="868" t="s">
        <v>250</v>
      </c>
      <c r="D166" s="1381"/>
      <c r="E166" s="1377">
        <v>71870371</v>
      </c>
      <c r="F166" s="1377">
        <f>SUM(F129+F133+F141+F151+F155)+F147+F161</f>
        <v>84763396</v>
      </c>
      <c r="G166" s="1373">
        <f>SUM(G129+G133+G141+G151+G155)+G147+G161</f>
        <v>84763396</v>
      </c>
      <c r="H166" s="1373">
        <f>SUM(H129+H133+H141+H151+H155)+H147+H161</f>
        <v>84808285</v>
      </c>
      <c r="I166" s="1373">
        <f>SUM(I129+I133+I141+I151+I155)+I147+I161</f>
        <v>84840986</v>
      </c>
    </row>
    <row r="167" spans="1:9" ht="12.75" customHeight="1">
      <c r="A167" s="1444" t="s">
        <v>378</v>
      </c>
      <c r="B167" s="153"/>
      <c r="C167" s="155" t="s">
        <v>251</v>
      </c>
      <c r="D167" s="1382"/>
      <c r="E167" s="1023">
        <v>15061450</v>
      </c>
      <c r="F167" s="1023">
        <f>SUM(F130+F142+F152+F156)+F134+F148+F162</f>
        <v>17215425</v>
      </c>
      <c r="G167" s="1017">
        <f>SUM(G130+G142+G152+G156)+G134+G148+G162</f>
        <v>17215425</v>
      </c>
      <c r="H167" s="1017">
        <f>SUM(H130+H142+H152+H156)+H134+H148+H162</f>
        <v>17224179</v>
      </c>
      <c r="I167" s="1017">
        <f>SUM(I130+I142+I152+I156)+I134+I148+I162</f>
        <v>17230556</v>
      </c>
    </row>
    <row r="168" spans="1:9" ht="12.75" customHeight="1">
      <c r="A168" s="1444" t="s">
        <v>380</v>
      </c>
      <c r="B168" s="153"/>
      <c r="C168" s="155" t="s">
        <v>252</v>
      </c>
      <c r="D168" s="1382"/>
      <c r="E168" s="1023">
        <f>SUM(E131+E135+E143+E153+E157+E163)</f>
        <v>23887384</v>
      </c>
      <c r="F168" s="1023">
        <f>SUM(F131+F135+F143+F153+F157+F163)</f>
        <v>26916000</v>
      </c>
      <c r="G168" s="1017">
        <f>SUM(G131+G135+G143+G153+G157+G163)</f>
        <v>26916000</v>
      </c>
      <c r="H168" s="1017">
        <f>SUM(H131+H135+H143+H153+H157+H163)</f>
        <v>27126050</v>
      </c>
      <c r="I168" s="1017">
        <f>SUM(I131+I135+I143+I153+I157+I163)</f>
        <v>27527405</v>
      </c>
    </row>
    <row r="169" spans="1:9" ht="12.75" customHeight="1">
      <c r="A169" s="1449" t="s">
        <v>381</v>
      </c>
      <c r="B169" s="842"/>
      <c r="C169" s="843" t="s">
        <v>15</v>
      </c>
      <c r="D169" s="1383"/>
      <c r="E169" s="1378">
        <f>SUM(E159+E164)+E145</f>
        <v>817261</v>
      </c>
      <c r="F169" s="1378">
        <f>SUM(F159+F164)+F145</f>
        <v>500000</v>
      </c>
      <c r="G169" s="1374">
        <f>SUM(G159+G164)+G145</f>
        <v>500000</v>
      </c>
      <c r="H169" s="1374">
        <f>SUM(H159+H164)+H145</f>
        <v>742955</v>
      </c>
      <c r="I169" s="1374">
        <f>SUM(I159+I164)+I145</f>
        <v>935505</v>
      </c>
    </row>
    <row r="170" spans="1:9" ht="12.75" customHeight="1">
      <c r="A170" s="1450" t="s">
        <v>382</v>
      </c>
      <c r="B170" s="847"/>
      <c r="C170" s="848" t="s">
        <v>792</v>
      </c>
      <c r="D170" s="1384"/>
      <c r="E170" s="1379">
        <v>817261</v>
      </c>
      <c r="F170" s="1379">
        <v>500000</v>
      </c>
      <c r="G170" s="1375">
        <v>500000</v>
      </c>
      <c r="H170" s="1375">
        <v>742955</v>
      </c>
      <c r="I170" s="1375">
        <v>742955</v>
      </c>
    </row>
    <row r="171" spans="1:9" ht="13.5" thickBot="1">
      <c r="A171" s="1442" t="s">
        <v>383</v>
      </c>
      <c r="B171" s="865"/>
      <c r="C171" s="865" t="s">
        <v>793</v>
      </c>
      <c r="D171" s="1385"/>
      <c r="E171" s="1380"/>
      <c r="F171" s="1380"/>
      <c r="G171" s="1376"/>
      <c r="H171" s="1376"/>
      <c r="I171" s="1376"/>
    </row>
    <row r="172" spans="1:9" ht="13.5" thickBot="1">
      <c r="A172" s="1709" t="s">
        <v>1157</v>
      </c>
      <c r="B172" s="1695"/>
      <c r="C172" s="1695"/>
      <c r="D172" s="1695"/>
      <c r="E172" s="1695"/>
      <c r="F172" s="1695"/>
      <c r="G172" s="1695"/>
      <c r="H172" s="5"/>
      <c r="I172" s="5"/>
    </row>
    <row r="173" spans="1:9" ht="12.75" customHeight="1">
      <c r="A173" s="1451" t="s">
        <v>385</v>
      </c>
      <c r="B173" s="626" t="s">
        <v>164</v>
      </c>
      <c r="C173" s="627" t="s">
        <v>360</v>
      </c>
      <c r="D173" s="1388">
        <v>5</v>
      </c>
      <c r="E173" s="1393">
        <f>SUM(E174+E175+E176+E179)</f>
        <v>14325698</v>
      </c>
      <c r="F173" s="1398">
        <f>SUM(F174+F175+F176+F179)</f>
        <v>21231285</v>
      </c>
      <c r="G173" s="1393">
        <f>SUM(G174+G175+G176+G179)</f>
        <v>21231285</v>
      </c>
      <c r="H173" s="1393">
        <f>SUM(H174+H175+H176+H179)</f>
        <v>21406652</v>
      </c>
      <c r="I173" s="1393">
        <f>SUM(I174+I175+I176+I179)</f>
        <v>23724479</v>
      </c>
    </row>
    <row r="174" spans="1:9" ht="12.75" customHeight="1">
      <c r="A174" s="1421" t="s">
        <v>386</v>
      </c>
      <c r="B174" s="315"/>
      <c r="C174" s="316" t="s">
        <v>250</v>
      </c>
      <c r="D174" s="1389"/>
      <c r="E174" s="1394">
        <v>7693140</v>
      </c>
      <c r="F174" s="1399">
        <v>11352064</v>
      </c>
      <c r="G174" s="1394">
        <v>11352064</v>
      </c>
      <c r="H174" s="1394">
        <v>11498773</v>
      </c>
      <c r="I174" s="1394">
        <v>11597373</v>
      </c>
    </row>
    <row r="175" spans="1:9" ht="12.75" customHeight="1">
      <c r="A175" s="1421" t="s">
        <v>387</v>
      </c>
      <c r="B175" s="315"/>
      <c r="C175" s="316" t="s">
        <v>251</v>
      </c>
      <c r="D175" s="1389"/>
      <c r="E175" s="1394">
        <v>1553272</v>
      </c>
      <c r="F175" s="1399">
        <v>2290286</v>
      </c>
      <c r="G175" s="1394">
        <v>2290286</v>
      </c>
      <c r="H175" s="1394">
        <v>2318894</v>
      </c>
      <c r="I175" s="1394">
        <v>2338121</v>
      </c>
    </row>
    <row r="176" spans="1:9" ht="29.25" customHeight="1">
      <c r="A176" s="1421" t="s">
        <v>388</v>
      </c>
      <c r="B176" s="315"/>
      <c r="C176" s="316" t="s">
        <v>252</v>
      </c>
      <c r="D176" s="1389"/>
      <c r="E176" s="1394">
        <v>5015296</v>
      </c>
      <c r="F176" s="1399">
        <v>7088935</v>
      </c>
      <c r="G176" s="1394">
        <v>7088935</v>
      </c>
      <c r="H176" s="1394">
        <v>7088985</v>
      </c>
      <c r="I176" s="1394">
        <v>9288985</v>
      </c>
    </row>
    <row r="177" spans="1:9" ht="12.75" customHeight="1">
      <c r="A177" s="1452" t="s">
        <v>389</v>
      </c>
      <c r="B177" s="482"/>
      <c r="C177" s="339" t="s">
        <v>644</v>
      </c>
      <c r="D177" s="1390"/>
      <c r="E177" s="1395">
        <v>1424000</v>
      </c>
      <c r="F177" s="1400">
        <v>3000000</v>
      </c>
      <c r="G177" s="1395">
        <v>3000000</v>
      </c>
      <c r="H177" s="1395">
        <v>3000000</v>
      </c>
      <c r="I177" s="1395">
        <v>5200000</v>
      </c>
    </row>
    <row r="178" spans="1:9" ht="12.75" customHeight="1">
      <c r="A178" s="1452" t="s">
        <v>390</v>
      </c>
      <c r="B178" s="482"/>
      <c r="C178" s="339" t="s">
        <v>1030</v>
      </c>
      <c r="D178" s="1390"/>
      <c r="E178" s="1395"/>
      <c r="F178" s="1400">
        <v>300000</v>
      </c>
      <c r="G178" s="1395">
        <v>300000</v>
      </c>
      <c r="H178" s="1395">
        <v>300000</v>
      </c>
      <c r="I178" s="1395">
        <v>300000</v>
      </c>
    </row>
    <row r="179" spans="1:9" ht="12.75" customHeight="1">
      <c r="A179" s="1421" t="s">
        <v>391</v>
      </c>
      <c r="B179" s="315"/>
      <c r="C179" s="316" t="s">
        <v>249</v>
      </c>
      <c r="D179" s="1389"/>
      <c r="E179" s="1394">
        <v>63990</v>
      </c>
      <c r="F179" s="1399">
        <v>500000</v>
      </c>
      <c r="G179" s="1394">
        <v>500000</v>
      </c>
      <c r="H179" s="1394">
        <v>500000</v>
      </c>
      <c r="I179" s="1394">
        <v>500000</v>
      </c>
    </row>
    <row r="180" spans="1:9" ht="12.75" customHeight="1">
      <c r="A180" s="1453" t="s">
        <v>392</v>
      </c>
      <c r="B180" s="420" t="s">
        <v>166</v>
      </c>
      <c r="C180" s="421" t="s">
        <v>501</v>
      </c>
      <c r="D180" s="1391"/>
      <c r="E180" s="1396">
        <f>SUM(E181:E183)</f>
        <v>0</v>
      </c>
      <c r="F180" s="1401">
        <f>SUM(F181:F183)</f>
        <v>500000</v>
      </c>
      <c r="G180" s="1396">
        <f>SUM(G181:G183)</f>
        <v>500000</v>
      </c>
      <c r="H180" s="1396">
        <f>SUM(H181:H183)</f>
        <v>500000</v>
      </c>
      <c r="I180" s="1396">
        <f>SUM(I181:I183)</f>
        <v>500000</v>
      </c>
    </row>
    <row r="181" spans="1:9" s="68" customFormat="1" ht="12.75" customHeight="1">
      <c r="A181" s="1421" t="s">
        <v>393</v>
      </c>
      <c r="B181" s="315"/>
      <c r="C181" s="316" t="s">
        <v>250</v>
      </c>
      <c r="D181" s="1389"/>
      <c r="E181" s="1394">
        <v>0</v>
      </c>
      <c r="F181" s="1399">
        <v>0</v>
      </c>
      <c r="G181" s="1394">
        <v>0</v>
      </c>
      <c r="H181" s="1394">
        <v>0</v>
      </c>
      <c r="I181" s="1394">
        <v>0</v>
      </c>
    </row>
    <row r="182" spans="1:9" ht="12.75" customHeight="1">
      <c r="A182" s="1421" t="s">
        <v>394</v>
      </c>
      <c r="B182" s="315"/>
      <c r="C182" s="316" t="s">
        <v>251</v>
      </c>
      <c r="D182" s="1389"/>
      <c r="E182" s="1394">
        <v>0</v>
      </c>
      <c r="F182" s="1399">
        <v>0</v>
      </c>
      <c r="G182" s="1394">
        <v>0</v>
      </c>
      <c r="H182" s="1394">
        <v>0</v>
      </c>
      <c r="I182" s="1394">
        <v>0</v>
      </c>
    </row>
    <row r="183" spans="1:9" ht="12.75" customHeight="1">
      <c r="A183" s="1421" t="s">
        <v>395</v>
      </c>
      <c r="B183" s="315"/>
      <c r="C183" s="316" t="s">
        <v>252</v>
      </c>
      <c r="D183" s="1389"/>
      <c r="E183" s="1394">
        <v>0</v>
      </c>
      <c r="F183" s="1399">
        <v>500000</v>
      </c>
      <c r="G183" s="1394">
        <v>500000</v>
      </c>
      <c r="H183" s="1394">
        <v>500000</v>
      </c>
      <c r="I183" s="1394">
        <v>500000</v>
      </c>
    </row>
    <row r="184" spans="1:9" s="68" customFormat="1" ht="12.75" customHeight="1">
      <c r="A184" s="1454" t="s">
        <v>396</v>
      </c>
      <c r="B184" s="420" t="s">
        <v>173</v>
      </c>
      <c r="C184" s="480" t="s">
        <v>502</v>
      </c>
      <c r="D184" s="1391"/>
      <c r="E184" s="1396">
        <f>SUM(E185:E187)</f>
        <v>0</v>
      </c>
      <c r="F184" s="1401">
        <f>SUM(F185:F187)</f>
        <v>300000</v>
      </c>
      <c r="G184" s="1396">
        <f>SUM(G185:G187)</f>
        <v>300000</v>
      </c>
      <c r="H184" s="1396">
        <f>SUM(H185:H187)</f>
        <v>300000</v>
      </c>
      <c r="I184" s="1396">
        <f>SUM(I185:I187)</f>
        <v>300000</v>
      </c>
    </row>
    <row r="185" spans="1:9" ht="12.75" customHeight="1">
      <c r="A185" s="1421" t="s">
        <v>397</v>
      </c>
      <c r="B185" s="315"/>
      <c r="C185" s="316" t="s">
        <v>250</v>
      </c>
      <c r="D185" s="1389"/>
      <c r="E185" s="1394">
        <v>0</v>
      </c>
      <c r="F185" s="1399">
        <v>0</v>
      </c>
      <c r="G185" s="1394">
        <v>0</v>
      </c>
      <c r="H185" s="1394">
        <v>0</v>
      </c>
      <c r="I185" s="1394">
        <v>0</v>
      </c>
    </row>
    <row r="186" spans="1:9" s="68" customFormat="1" ht="12.75" customHeight="1">
      <c r="A186" s="1421" t="s">
        <v>398</v>
      </c>
      <c r="B186" s="315"/>
      <c r="C186" s="316" t="s">
        <v>251</v>
      </c>
      <c r="D186" s="1389"/>
      <c r="E186" s="1394">
        <v>0</v>
      </c>
      <c r="F186" s="1399">
        <v>0</v>
      </c>
      <c r="G186" s="1394">
        <v>0</v>
      </c>
      <c r="H186" s="1394">
        <v>0</v>
      </c>
      <c r="I186" s="1394">
        <v>0</v>
      </c>
    </row>
    <row r="187" spans="1:9" ht="12.75" customHeight="1" thickBot="1">
      <c r="A187" s="1455" t="s">
        <v>700</v>
      </c>
      <c r="B187" s="1386"/>
      <c r="C187" s="1387" t="s">
        <v>252</v>
      </c>
      <c r="D187" s="1392"/>
      <c r="E187" s="1397"/>
      <c r="F187" s="1402">
        <v>300000</v>
      </c>
      <c r="G187" s="1397">
        <v>300000</v>
      </c>
      <c r="H187" s="1397">
        <v>300000</v>
      </c>
      <c r="I187" s="1397">
        <v>300000</v>
      </c>
    </row>
    <row r="188" spans="1:9" ht="41.25" customHeight="1" thickBot="1">
      <c r="A188" s="1456" t="s">
        <v>701</v>
      </c>
      <c r="B188" s="1267" t="s">
        <v>183</v>
      </c>
      <c r="C188" s="1268" t="s">
        <v>1148</v>
      </c>
      <c r="D188" s="1265">
        <f>SUM(D171:D179)</f>
        <v>5</v>
      </c>
      <c r="E188" s="1269">
        <f>SUM(E189:E192)</f>
        <v>14325698</v>
      </c>
      <c r="F188" s="1269">
        <f>SUM(F189:F192)</f>
        <v>22031285</v>
      </c>
      <c r="G188" s="1269">
        <f>SUM(G189:G192)</f>
        <v>22031285</v>
      </c>
      <c r="H188" s="1269">
        <f>SUM(H189:H192)</f>
        <v>22206652</v>
      </c>
      <c r="I188" s="1269">
        <f>SUM(I189:I192)</f>
        <v>24524479</v>
      </c>
    </row>
    <row r="189" spans="1:9" ht="12.75" customHeight="1">
      <c r="A189" s="1457" t="s">
        <v>702</v>
      </c>
      <c r="B189" s="856"/>
      <c r="C189" s="857" t="s">
        <v>250</v>
      </c>
      <c r="D189" s="858"/>
      <c r="E189" s="859">
        <f aca="true" t="shared" si="1" ref="E189:F191">E174+E181+E185</f>
        <v>7693140</v>
      </c>
      <c r="F189" s="859">
        <f t="shared" si="1"/>
        <v>11352064</v>
      </c>
      <c r="G189" s="859">
        <f aca="true" t="shared" si="2" ref="G189:H191">G174+G181+G185</f>
        <v>11352064</v>
      </c>
      <c r="H189" s="859">
        <f t="shared" si="2"/>
        <v>11498773</v>
      </c>
      <c r="I189" s="859">
        <f>I174+I181+I185</f>
        <v>11597373</v>
      </c>
    </row>
    <row r="190" spans="1:9" ht="12.75" customHeight="1">
      <c r="A190" s="1421" t="s">
        <v>703</v>
      </c>
      <c r="B190" s="845"/>
      <c r="C190" s="424" t="s">
        <v>251</v>
      </c>
      <c r="D190" s="846"/>
      <c r="E190" s="860">
        <f t="shared" si="1"/>
        <v>1553272</v>
      </c>
      <c r="F190" s="860">
        <f t="shared" si="1"/>
        <v>2290286</v>
      </c>
      <c r="G190" s="860">
        <f t="shared" si="2"/>
        <v>2290286</v>
      </c>
      <c r="H190" s="860">
        <f t="shared" si="2"/>
        <v>2318894</v>
      </c>
      <c r="I190" s="860">
        <f>I175+I182+I186</f>
        <v>2338121</v>
      </c>
    </row>
    <row r="191" spans="1:9" s="68" customFormat="1" ht="12.75" customHeight="1">
      <c r="A191" s="1421" t="s">
        <v>399</v>
      </c>
      <c r="B191" s="845"/>
      <c r="C191" s="424" t="s">
        <v>252</v>
      </c>
      <c r="D191" s="846"/>
      <c r="E191" s="860">
        <f t="shared" si="1"/>
        <v>5015296</v>
      </c>
      <c r="F191" s="860">
        <f t="shared" si="1"/>
        <v>7888935</v>
      </c>
      <c r="G191" s="860">
        <f t="shared" si="2"/>
        <v>7888935</v>
      </c>
      <c r="H191" s="860">
        <f t="shared" si="2"/>
        <v>7888985</v>
      </c>
      <c r="I191" s="860">
        <f>I176+I183+I187</f>
        <v>10088985</v>
      </c>
    </row>
    <row r="192" spans="1:9" ht="12.75" customHeight="1">
      <c r="A192" s="1421" t="s">
        <v>401</v>
      </c>
      <c r="B192" s="845"/>
      <c r="C192" s="424" t="s">
        <v>249</v>
      </c>
      <c r="D192" s="846"/>
      <c r="E192" s="861">
        <f>SUM(E179)</f>
        <v>63990</v>
      </c>
      <c r="F192" s="861">
        <f>SUM(F179)</f>
        <v>500000</v>
      </c>
      <c r="G192" s="861">
        <f>SUM(G179)</f>
        <v>500000</v>
      </c>
      <c r="H192" s="861">
        <f>SUM(H179)</f>
        <v>500000</v>
      </c>
      <c r="I192" s="861">
        <f>SUM(I179)</f>
        <v>500000</v>
      </c>
    </row>
    <row r="193" spans="1:9" s="10" customFormat="1" ht="14.25" customHeight="1">
      <c r="A193" s="1441" t="s">
        <v>402</v>
      </c>
      <c r="B193" s="848"/>
      <c r="C193" s="848" t="s">
        <v>792</v>
      </c>
      <c r="D193" s="848"/>
      <c r="E193" s="863">
        <v>63990</v>
      </c>
      <c r="F193" s="863">
        <v>500000</v>
      </c>
      <c r="G193" s="863">
        <v>500000</v>
      </c>
      <c r="H193" s="863">
        <v>500000</v>
      </c>
      <c r="I193" s="863">
        <v>500000</v>
      </c>
    </row>
    <row r="194" spans="1:246" ht="12.75" customHeight="1" thickBot="1">
      <c r="A194" s="1442" t="s">
        <v>403</v>
      </c>
      <c r="B194" s="865"/>
      <c r="C194" s="865" t="s">
        <v>793</v>
      </c>
      <c r="D194" s="865"/>
      <c r="E194" s="866">
        <v>0</v>
      </c>
      <c r="F194" s="866"/>
      <c r="G194" s="866"/>
      <c r="H194" s="866"/>
      <c r="I194" s="86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</row>
    <row r="195" spans="1:246" ht="12.75" customHeight="1" thickBot="1">
      <c r="A195" s="1710" t="s">
        <v>242</v>
      </c>
      <c r="B195" s="1711"/>
      <c r="C195" s="1711"/>
      <c r="D195" s="1711"/>
      <c r="E195" s="1711"/>
      <c r="F195" s="1711"/>
      <c r="G195" s="1711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</row>
    <row r="196" spans="1:246" ht="12.75" customHeight="1">
      <c r="A196" s="1458" t="s">
        <v>404</v>
      </c>
      <c r="B196" s="1403" t="s">
        <v>164</v>
      </c>
      <c r="C196" s="1404" t="s">
        <v>374</v>
      </c>
      <c r="D196" s="1405">
        <v>7</v>
      </c>
      <c r="E196" s="573">
        <f>SUM(E197:E199)</f>
        <v>33025069</v>
      </c>
      <c r="F196" s="573">
        <f>SUM(F197:F199)</f>
        <v>36066279</v>
      </c>
      <c r="G196" s="573">
        <f>SUM(G197:G199)</f>
        <v>36066279</v>
      </c>
      <c r="H196" s="573">
        <f>SUM(H197:H199)</f>
        <v>36066279</v>
      </c>
      <c r="I196" s="573">
        <f>SUM(I197:I199)</f>
        <v>36066279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</row>
    <row r="197" spans="1:246" ht="12.75" customHeight="1">
      <c r="A197" s="1459" t="s">
        <v>405</v>
      </c>
      <c r="B197" s="85"/>
      <c r="C197" s="17" t="s">
        <v>250</v>
      </c>
      <c r="D197" s="149"/>
      <c r="E197" s="574">
        <v>9500792</v>
      </c>
      <c r="F197" s="574">
        <v>11685043</v>
      </c>
      <c r="G197" s="574">
        <v>11685043</v>
      </c>
      <c r="H197" s="574">
        <v>11685043</v>
      </c>
      <c r="I197" s="574">
        <v>11685043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</row>
    <row r="198" spans="1:246" ht="12.75" customHeight="1">
      <c r="A198" s="1459" t="s">
        <v>406</v>
      </c>
      <c r="B198" s="85"/>
      <c r="C198" s="17" t="s">
        <v>251</v>
      </c>
      <c r="D198" s="149"/>
      <c r="E198" s="574">
        <v>1725258</v>
      </c>
      <c r="F198" s="574">
        <v>2381236</v>
      </c>
      <c r="G198" s="574">
        <v>2381236</v>
      </c>
      <c r="H198" s="574">
        <v>2381236</v>
      </c>
      <c r="I198" s="574">
        <v>2381236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</row>
    <row r="199" spans="1:246" ht="12.75" customHeight="1">
      <c r="A199" s="1459" t="s">
        <v>407</v>
      </c>
      <c r="B199" s="85"/>
      <c r="C199" s="17" t="s">
        <v>252</v>
      </c>
      <c r="D199" s="149"/>
      <c r="E199" s="574">
        <v>21799019</v>
      </c>
      <c r="F199" s="574">
        <v>22000000</v>
      </c>
      <c r="G199" s="574">
        <v>22000000</v>
      </c>
      <c r="H199" s="574">
        <v>22000000</v>
      </c>
      <c r="I199" s="574">
        <v>22000000</v>
      </c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</row>
    <row r="200" spans="1:246" ht="12.75" customHeight="1">
      <c r="A200" s="1459" t="s">
        <v>409</v>
      </c>
      <c r="B200" s="85"/>
      <c r="C200" s="17" t="s">
        <v>625</v>
      </c>
      <c r="D200" s="149"/>
      <c r="E200" s="574">
        <v>0</v>
      </c>
      <c r="F200" s="574">
        <v>0</v>
      </c>
      <c r="G200" s="574">
        <v>0</v>
      </c>
      <c r="H200" s="574">
        <v>0</v>
      </c>
      <c r="I200" s="574">
        <v>0</v>
      </c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</row>
    <row r="201" spans="1:246" s="68" customFormat="1" ht="12.75" customHeight="1">
      <c r="A201" s="1459" t="s">
        <v>410</v>
      </c>
      <c r="B201" s="65" t="s">
        <v>166</v>
      </c>
      <c r="C201" s="147" t="s">
        <v>511</v>
      </c>
      <c r="D201" s="148">
        <v>1</v>
      </c>
      <c r="E201" s="575">
        <f>SUM(E202:E205)</f>
        <v>9410260</v>
      </c>
      <c r="F201" s="575">
        <f>SUM(F202:F205)</f>
        <v>9729409</v>
      </c>
      <c r="G201" s="575">
        <f>SUM(G202:G205)</f>
        <v>9729409</v>
      </c>
      <c r="H201" s="575">
        <f>SUM(H202:H205)</f>
        <v>9729409</v>
      </c>
      <c r="I201" s="575">
        <f>SUM(I202:I205)</f>
        <v>9729409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</row>
    <row r="202" spans="1:246" ht="12.75" customHeight="1">
      <c r="A202" s="1459" t="s">
        <v>411</v>
      </c>
      <c r="B202" s="85"/>
      <c r="C202" s="17" t="s">
        <v>250</v>
      </c>
      <c r="D202" s="149"/>
      <c r="E202" s="574">
        <v>2886160</v>
      </c>
      <c r="F202" s="574">
        <v>3094751</v>
      </c>
      <c r="G202" s="574">
        <v>3094751</v>
      </c>
      <c r="H202" s="574">
        <v>3094751</v>
      </c>
      <c r="I202" s="574">
        <v>3094751</v>
      </c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</row>
    <row r="203" spans="1:246" ht="12.75" customHeight="1">
      <c r="A203" s="1459" t="s">
        <v>412</v>
      </c>
      <c r="B203" s="85"/>
      <c r="C203" s="17" t="s">
        <v>251</v>
      </c>
      <c r="D203" s="149"/>
      <c r="E203" s="574">
        <v>524100</v>
      </c>
      <c r="F203" s="574">
        <v>634658</v>
      </c>
      <c r="G203" s="574">
        <v>634658</v>
      </c>
      <c r="H203" s="574">
        <v>634658</v>
      </c>
      <c r="I203" s="574">
        <v>634658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</row>
    <row r="204" spans="1:246" ht="12.75" customHeight="1">
      <c r="A204" s="1459" t="s">
        <v>413</v>
      </c>
      <c r="B204" s="85"/>
      <c r="C204" s="17" t="s">
        <v>252</v>
      </c>
      <c r="D204" s="149"/>
      <c r="E204" s="574">
        <v>6000000</v>
      </c>
      <c r="F204" s="574">
        <v>6000000</v>
      </c>
      <c r="G204" s="574">
        <v>6000000</v>
      </c>
      <c r="H204" s="574">
        <v>6000000</v>
      </c>
      <c r="I204" s="574">
        <v>6000000</v>
      </c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</row>
    <row r="205" spans="1:9" ht="30" customHeight="1">
      <c r="A205" s="1459" t="s">
        <v>414</v>
      </c>
      <c r="B205" s="85"/>
      <c r="C205" s="17" t="s">
        <v>625</v>
      </c>
      <c r="D205" s="149"/>
      <c r="E205" s="574"/>
      <c r="F205" s="574"/>
      <c r="G205" s="574"/>
      <c r="H205" s="574"/>
      <c r="I205" s="574"/>
    </row>
    <row r="206" spans="1:9" ht="12.75" customHeight="1">
      <c r="A206" s="1459" t="s">
        <v>415</v>
      </c>
      <c r="B206" s="65" t="s">
        <v>173</v>
      </c>
      <c r="C206" s="147" t="s">
        <v>384</v>
      </c>
      <c r="D206" s="148">
        <v>0</v>
      </c>
      <c r="E206" s="575">
        <f>SUM(E207:E210)</f>
        <v>0</v>
      </c>
      <c r="F206" s="575">
        <f>SUM(F207:F210)</f>
        <v>0</v>
      </c>
      <c r="G206" s="575">
        <f>SUM(G207:G210)</f>
        <v>0</v>
      </c>
      <c r="H206" s="575">
        <f>SUM(H207:H210)</f>
        <v>0</v>
      </c>
      <c r="I206" s="575">
        <f>SUM(I207:I210)</f>
        <v>0</v>
      </c>
    </row>
    <row r="207" spans="1:9" ht="12.75" customHeight="1">
      <c r="A207" s="1459" t="s">
        <v>416</v>
      </c>
      <c r="B207" s="85"/>
      <c r="C207" s="17" t="s">
        <v>250</v>
      </c>
      <c r="D207" s="149"/>
      <c r="E207" s="574">
        <v>0</v>
      </c>
      <c r="F207" s="574">
        <v>0</v>
      </c>
      <c r="G207" s="574">
        <v>0</v>
      </c>
      <c r="H207" s="574">
        <v>0</v>
      </c>
      <c r="I207" s="574">
        <v>0</v>
      </c>
    </row>
    <row r="208" spans="1:9" ht="12.75" customHeight="1">
      <c r="A208" s="1459" t="s">
        <v>417</v>
      </c>
      <c r="B208" s="85"/>
      <c r="C208" s="17" t="s">
        <v>251</v>
      </c>
      <c r="D208" s="149"/>
      <c r="E208" s="574">
        <v>0</v>
      </c>
      <c r="F208" s="574">
        <v>0</v>
      </c>
      <c r="G208" s="574">
        <v>0</v>
      </c>
      <c r="H208" s="574">
        <v>0</v>
      </c>
      <c r="I208" s="574">
        <v>0</v>
      </c>
    </row>
    <row r="209" spans="1:9" ht="12.75" customHeight="1">
      <c r="A209" s="1459" t="s">
        <v>418</v>
      </c>
      <c r="B209" s="85"/>
      <c r="C209" s="17" t="s">
        <v>252</v>
      </c>
      <c r="D209" s="149"/>
      <c r="E209" s="574">
        <v>0</v>
      </c>
      <c r="F209" s="574">
        <v>0</v>
      </c>
      <c r="G209" s="574">
        <v>0</v>
      </c>
      <c r="H209" s="574">
        <v>0</v>
      </c>
      <c r="I209" s="574">
        <v>0</v>
      </c>
    </row>
    <row r="210" spans="1:9" ht="37.5" customHeight="1">
      <c r="A210" s="1459" t="s">
        <v>419</v>
      </c>
      <c r="B210" s="85"/>
      <c r="C210" s="17" t="s">
        <v>625</v>
      </c>
      <c r="D210" s="149"/>
      <c r="E210" s="574">
        <v>0</v>
      </c>
      <c r="F210" s="574">
        <v>0</v>
      </c>
      <c r="G210" s="574">
        <v>0</v>
      </c>
      <c r="H210" s="574">
        <v>0</v>
      </c>
      <c r="I210" s="574">
        <v>0</v>
      </c>
    </row>
    <row r="211" spans="1:9" ht="12.75" customHeight="1">
      <c r="A211" s="1459" t="s">
        <v>420</v>
      </c>
      <c r="B211" s="65" t="s">
        <v>182</v>
      </c>
      <c r="C211" s="147" t="s">
        <v>512</v>
      </c>
      <c r="D211" s="148">
        <v>0</v>
      </c>
      <c r="E211" s="575">
        <f>SUM(E214:E215)</f>
        <v>500000</v>
      </c>
      <c r="F211" s="575">
        <f>SUM(F214:F215)</f>
        <v>500000</v>
      </c>
      <c r="G211" s="575">
        <f>SUM(G214:G215)</f>
        <v>500000</v>
      </c>
      <c r="H211" s="575">
        <f>SUM(H214:H215)</f>
        <v>500000</v>
      </c>
      <c r="I211" s="575">
        <f>SUM(I214:I215)</f>
        <v>500000</v>
      </c>
    </row>
    <row r="212" spans="1:9" ht="12.75" customHeight="1">
      <c r="A212" s="1459" t="s">
        <v>421</v>
      </c>
      <c r="B212" s="65"/>
      <c r="C212" s="17" t="s">
        <v>451</v>
      </c>
      <c r="D212" s="148"/>
      <c r="E212" s="574">
        <v>0</v>
      </c>
      <c r="F212" s="574">
        <v>0</v>
      </c>
      <c r="G212" s="574">
        <v>0</v>
      </c>
      <c r="H212" s="574">
        <v>0</v>
      </c>
      <c r="I212" s="574">
        <v>0</v>
      </c>
    </row>
    <row r="213" spans="1:9" ht="12.75" customHeight="1">
      <c r="A213" s="1459" t="s">
        <v>422</v>
      </c>
      <c r="B213" s="85"/>
      <c r="C213" s="17" t="s">
        <v>251</v>
      </c>
      <c r="D213" s="149"/>
      <c r="E213" s="574">
        <v>0</v>
      </c>
      <c r="F213" s="574">
        <v>0</v>
      </c>
      <c r="G213" s="574">
        <v>0</v>
      </c>
      <c r="H213" s="574">
        <v>0</v>
      </c>
      <c r="I213" s="574">
        <v>0</v>
      </c>
    </row>
    <row r="214" spans="1:9" ht="24.75" customHeight="1">
      <c r="A214" s="1459" t="s">
        <v>423</v>
      </c>
      <c r="B214" s="85"/>
      <c r="C214" s="17" t="s">
        <v>252</v>
      </c>
      <c r="D214" s="149"/>
      <c r="E214" s="574">
        <v>500000</v>
      </c>
      <c r="F214" s="574">
        <v>500000</v>
      </c>
      <c r="G214" s="574">
        <v>500000</v>
      </c>
      <c r="H214" s="574">
        <v>500000</v>
      </c>
      <c r="I214" s="574">
        <v>500000</v>
      </c>
    </row>
    <row r="215" spans="1:9" ht="12.75" customHeight="1">
      <c r="A215" s="1459" t="s">
        <v>424</v>
      </c>
      <c r="B215" s="85"/>
      <c r="C215" s="17" t="s">
        <v>625</v>
      </c>
      <c r="D215" s="149"/>
      <c r="E215" s="574">
        <v>0</v>
      </c>
      <c r="F215" s="574">
        <v>0</v>
      </c>
      <c r="G215" s="574">
        <v>0</v>
      </c>
      <c r="H215" s="574">
        <v>0</v>
      </c>
      <c r="I215" s="574">
        <v>0</v>
      </c>
    </row>
    <row r="216" spans="1:9" ht="12.75" customHeight="1">
      <c r="A216" s="1459" t="s">
        <v>425</v>
      </c>
      <c r="B216" s="65" t="s">
        <v>183</v>
      </c>
      <c r="C216" s="147" t="s">
        <v>513</v>
      </c>
      <c r="D216" s="148">
        <v>0</v>
      </c>
      <c r="E216" s="575">
        <f>SUM(E217:E220)</f>
        <v>430000</v>
      </c>
      <c r="F216" s="575">
        <f>SUM(F217:F220)</f>
        <v>430000</v>
      </c>
      <c r="G216" s="575">
        <f>SUM(G217:G220)</f>
        <v>430000</v>
      </c>
      <c r="H216" s="575">
        <f>SUM(H217:H220)</f>
        <v>430000</v>
      </c>
      <c r="I216" s="575">
        <f>SUM(I217:I220)</f>
        <v>430000</v>
      </c>
    </row>
    <row r="217" spans="1:9" ht="12.75" customHeight="1">
      <c r="A217" s="1459" t="s">
        <v>426</v>
      </c>
      <c r="B217" s="65"/>
      <c r="C217" s="17" t="s">
        <v>250</v>
      </c>
      <c r="D217" s="148"/>
      <c r="E217" s="574">
        <v>0</v>
      </c>
      <c r="F217" s="574">
        <v>0</v>
      </c>
      <c r="G217" s="574">
        <v>0</v>
      </c>
      <c r="H217" s="574">
        <v>0</v>
      </c>
      <c r="I217" s="574">
        <v>0</v>
      </c>
    </row>
    <row r="218" spans="1:9" ht="12.75" customHeight="1">
      <c r="A218" s="1459" t="s">
        <v>699</v>
      </c>
      <c r="B218" s="85"/>
      <c r="C218" s="17" t="s">
        <v>251</v>
      </c>
      <c r="D218" s="217"/>
      <c r="E218" s="574">
        <v>0</v>
      </c>
      <c r="F218" s="574">
        <v>0</v>
      </c>
      <c r="G218" s="574">
        <v>0</v>
      </c>
      <c r="H218" s="574">
        <v>0</v>
      </c>
      <c r="I218" s="574">
        <v>0</v>
      </c>
    </row>
    <row r="219" spans="1:9" ht="25.5" customHeight="1">
      <c r="A219" s="1459" t="s">
        <v>1098</v>
      </c>
      <c r="B219" s="85"/>
      <c r="C219" s="17" t="s">
        <v>252</v>
      </c>
      <c r="D219" s="217"/>
      <c r="E219" s="574">
        <v>430000</v>
      </c>
      <c r="F219" s="574">
        <v>430000</v>
      </c>
      <c r="G219" s="574">
        <v>430000</v>
      </c>
      <c r="H219" s="574">
        <v>430000</v>
      </c>
      <c r="I219" s="574">
        <v>430000</v>
      </c>
    </row>
    <row r="220" spans="1:9" ht="12.75" customHeight="1">
      <c r="A220" s="1459" t="s">
        <v>1099</v>
      </c>
      <c r="B220" s="85"/>
      <c r="C220" s="17" t="s">
        <v>625</v>
      </c>
      <c r="D220" s="217"/>
      <c r="E220" s="574">
        <v>0</v>
      </c>
      <c r="F220" s="574">
        <v>0</v>
      </c>
      <c r="G220" s="574">
        <v>0</v>
      </c>
      <c r="H220" s="574">
        <v>0</v>
      </c>
      <c r="I220" s="574">
        <v>0</v>
      </c>
    </row>
    <row r="221" spans="1:9" ht="12.75" customHeight="1">
      <c r="A221" s="1459" t="s">
        <v>1100</v>
      </c>
      <c r="B221" s="65" t="s">
        <v>184</v>
      </c>
      <c r="C221" s="147" t="s">
        <v>514</v>
      </c>
      <c r="D221" s="218">
        <v>13</v>
      </c>
      <c r="E221" s="575">
        <f>SUM(E222:E225)</f>
        <v>41391137</v>
      </c>
      <c r="F221" s="575">
        <f>SUM(F222:F225)</f>
        <v>42460212</v>
      </c>
      <c r="G221" s="575">
        <f>SUM(G222:G225)</f>
        <v>42460212</v>
      </c>
      <c r="H221" s="575">
        <f>SUM(H222:H225)</f>
        <v>42502136</v>
      </c>
      <c r="I221" s="575">
        <f>SUM(I222:I225)</f>
        <v>42546610</v>
      </c>
    </row>
    <row r="222" spans="1:9" ht="12.75" customHeight="1">
      <c r="A222" s="1459" t="s">
        <v>1101</v>
      </c>
      <c r="B222" s="85"/>
      <c r="C222" s="17" t="s">
        <v>250</v>
      </c>
      <c r="D222" s="217"/>
      <c r="E222" s="574">
        <v>20532985</v>
      </c>
      <c r="F222" s="574">
        <v>24263927</v>
      </c>
      <c r="G222" s="574">
        <v>24263927</v>
      </c>
      <c r="H222" s="574">
        <v>24298926</v>
      </c>
      <c r="I222" s="574">
        <v>24013848</v>
      </c>
    </row>
    <row r="223" spans="1:9" ht="12.75" customHeight="1">
      <c r="A223" s="1459" t="s">
        <v>1102</v>
      </c>
      <c r="B223" s="85"/>
      <c r="C223" s="17" t="s">
        <v>251</v>
      </c>
      <c r="D223" s="217"/>
      <c r="E223" s="574">
        <v>7259790</v>
      </c>
      <c r="F223" s="574">
        <v>5096285</v>
      </c>
      <c r="G223" s="574">
        <v>5096285</v>
      </c>
      <c r="H223" s="574">
        <v>5103110</v>
      </c>
      <c r="I223" s="574">
        <v>5421528</v>
      </c>
    </row>
    <row r="224" spans="1:9" ht="12.75" customHeight="1">
      <c r="A224" s="1459" t="s">
        <v>1103</v>
      </c>
      <c r="B224" s="85"/>
      <c r="C224" s="17" t="s">
        <v>252</v>
      </c>
      <c r="D224" s="217"/>
      <c r="E224" s="574">
        <v>12117345</v>
      </c>
      <c r="F224" s="574">
        <v>12100000</v>
      </c>
      <c r="G224" s="574">
        <v>12100000</v>
      </c>
      <c r="H224" s="574">
        <v>12100100</v>
      </c>
      <c r="I224" s="574">
        <v>12111234</v>
      </c>
    </row>
    <row r="225" spans="1:9" ht="12.75" customHeight="1">
      <c r="A225" s="1459" t="s">
        <v>1104</v>
      </c>
      <c r="B225" s="85"/>
      <c r="C225" s="17" t="s">
        <v>249</v>
      </c>
      <c r="D225" s="217"/>
      <c r="E225" s="574">
        <v>1481017</v>
      </c>
      <c r="F225" s="574">
        <v>1000000</v>
      </c>
      <c r="G225" s="574">
        <v>1000000</v>
      </c>
      <c r="H225" s="574">
        <v>1000000</v>
      </c>
      <c r="I225" s="574">
        <v>1000000</v>
      </c>
    </row>
    <row r="226" spans="1:9" ht="12.75" customHeight="1">
      <c r="A226" s="1459" t="s">
        <v>1176</v>
      </c>
      <c r="B226" s="220" t="s">
        <v>186</v>
      </c>
      <c r="C226" s="221" t="s">
        <v>400</v>
      </c>
      <c r="D226" s="222">
        <v>0</v>
      </c>
      <c r="E226" s="575">
        <f>SUM(E227:E229)</f>
        <v>640000</v>
      </c>
      <c r="F226" s="575">
        <f>SUM(F227:F229)</f>
        <v>640000</v>
      </c>
      <c r="G226" s="575">
        <f>SUM(G227:G229)</f>
        <v>640000</v>
      </c>
      <c r="H226" s="575">
        <f>SUM(H227:H229)</f>
        <v>640000</v>
      </c>
      <c r="I226" s="575">
        <f>SUM(I227:I229)</f>
        <v>640000</v>
      </c>
    </row>
    <row r="227" spans="1:9" ht="12.75" customHeight="1">
      <c r="A227" s="1459" t="s">
        <v>1105</v>
      </c>
      <c r="B227" s="153"/>
      <c r="C227" s="155" t="s">
        <v>250</v>
      </c>
      <c r="D227" s="223"/>
      <c r="E227" s="574">
        <v>0</v>
      </c>
      <c r="F227" s="574">
        <v>0</v>
      </c>
      <c r="G227" s="574">
        <v>0</v>
      </c>
      <c r="H227" s="574">
        <v>0</v>
      </c>
      <c r="I227" s="574">
        <v>0</v>
      </c>
    </row>
    <row r="228" spans="1:9" ht="12.75" customHeight="1">
      <c r="A228" s="1459" t="s">
        <v>1106</v>
      </c>
      <c r="B228" s="153"/>
      <c r="C228" s="155" t="s">
        <v>251</v>
      </c>
      <c r="D228" s="223"/>
      <c r="E228" s="574">
        <v>0</v>
      </c>
      <c r="F228" s="574">
        <v>0</v>
      </c>
      <c r="G228" s="574">
        <v>0</v>
      </c>
      <c r="H228" s="574">
        <v>0</v>
      </c>
      <c r="I228" s="574">
        <v>0</v>
      </c>
    </row>
    <row r="229" spans="1:9" ht="12.75" customHeight="1">
      <c r="A229" s="1459" t="s">
        <v>1107</v>
      </c>
      <c r="B229" s="153"/>
      <c r="C229" s="155" t="s">
        <v>252</v>
      </c>
      <c r="D229" s="223"/>
      <c r="E229" s="574">
        <v>640000</v>
      </c>
      <c r="F229" s="574">
        <v>640000</v>
      </c>
      <c r="G229" s="574">
        <v>640000</v>
      </c>
      <c r="H229" s="574">
        <v>640000</v>
      </c>
      <c r="I229" s="574">
        <v>640000</v>
      </c>
    </row>
    <row r="230" spans="1:9" ht="12.75" customHeight="1">
      <c r="A230" s="1459" t="s">
        <v>1108</v>
      </c>
      <c r="B230" s="224" t="s">
        <v>189</v>
      </c>
      <c r="C230" s="9" t="s">
        <v>645</v>
      </c>
      <c r="D230" s="148">
        <v>0</v>
      </c>
      <c r="E230" s="575">
        <f>SUM(E231:E234)</f>
        <v>0</v>
      </c>
      <c r="F230" s="575">
        <f>SUM(F231:F234)</f>
        <v>0</v>
      </c>
      <c r="G230" s="575">
        <f>SUM(G231:G234)</f>
        <v>0</v>
      </c>
      <c r="H230" s="575">
        <f>SUM(H231:H234)</f>
        <v>0</v>
      </c>
      <c r="I230" s="575">
        <f>SUM(I231:I234)</f>
        <v>0</v>
      </c>
    </row>
    <row r="231" spans="1:9" ht="12.75" customHeight="1">
      <c r="A231" s="1459" t="s">
        <v>1109</v>
      </c>
      <c r="B231" s="85"/>
      <c r="C231" s="17" t="s">
        <v>250</v>
      </c>
      <c r="D231" s="149"/>
      <c r="E231" s="574"/>
      <c r="F231" s="574"/>
      <c r="G231" s="574"/>
      <c r="H231" s="574"/>
      <c r="I231" s="574"/>
    </row>
    <row r="232" spans="1:9" ht="12.75" customHeight="1">
      <c r="A232" s="1459" t="s">
        <v>1110</v>
      </c>
      <c r="B232" s="85"/>
      <c r="C232" s="17" t="s">
        <v>251</v>
      </c>
      <c r="D232" s="149"/>
      <c r="E232" s="574"/>
      <c r="F232" s="574"/>
      <c r="G232" s="574"/>
      <c r="H232" s="574"/>
      <c r="I232" s="574"/>
    </row>
    <row r="233" spans="1:9" ht="12.75" customHeight="1">
      <c r="A233" s="1459" t="s">
        <v>1111</v>
      </c>
      <c r="B233" s="85"/>
      <c r="C233" s="17" t="s">
        <v>252</v>
      </c>
      <c r="D233" s="149"/>
      <c r="E233" s="574"/>
      <c r="F233" s="574"/>
      <c r="G233" s="574"/>
      <c r="H233" s="574"/>
      <c r="I233" s="574"/>
    </row>
    <row r="234" spans="1:9" ht="12.75" customHeight="1">
      <c r="A234" s="1459" t="s">
        <v>1112</v>
      </c>
      <c r="B234" s="85"/>
      <c r="C234" s="17" t="s">
        <v>625</v>
      </c>
      <c r="D234" s="149"/>
      <c r="E234" s="576"/>
      <c r="F234" s="576"/>
      <c r="G234" s="576"/>
      <c r="H234" s="576"/>
      <c r="I234" s="576"/>
    </row>
    <row r="235" spans="1:9" ht="12.75" customHeight="1">
      <c r="A235" s="1459" t="s">
        <v>1113</v>
      </c>
      <c r="B235" s="65" t="s">
        <v>191</v>
      </c>
      <c r="C235" s="9" t="s">
        <v>408</v>
      </c>
      <c r="D235" s="219">
        <v>0</v>
      </c>
      <c r="E235" s="577">
        <f>SUM(E236:E236)</f>
        <v>720000</v>
      </c>
      <c r="F235" s="577">
        <f>SUM(F236:F236)</f>
        <v>720000</v>
      </c>
      <c r="G235" s="577">
        <f>SUM(G236:G236)</f>
        <v>720000</v>
      </c>
      <c r="H235" s="577">
        <f>SUM(H236:H236)</f>
        <v>720000</v>
      </c>
      <c r="I235" s="577">
        <f>SUM(I236:I236)</f>
        <v>720000</v>
      </c>
    </row>
    <row r="236" spans="1:9" ht="12.75" customHeight="1">
      <c r="A236" s="1459" t="s">
        <v>1114</v>
      </c>
      <c r="B236" s="85"/>
      <c r="C236" s="17" t="s">
        <v>515</v>
      </c>
      <c r="D236" s="149"/>
      <c r="E236" s="576">
        <v>720000</v>
      </c>
      <c r="F236" s="576">
        <v>720000</v>
      </c>
      <c r="G236" s="576">
        <v>720000</v>
      </c>
      <c r="H236" s="576">
        <v>720000</v>
      </c>
      <c r="I236" s="576">
        <v>720000</v>
      </c>
    </row>
    <row r="237" spans="1:9" ht="12.75" customHeight="1">
      <c r="A237" s="1459" t="s">
        <v>1116</v>
      </c>
      <c r="B237" s="65" t="s">
        <v>195</v>
      </c>
      <c r="C237" s="92" t="s">
        <v>276</v>
      </c>
      <c r="D237" s="148">
        <v>6</v>
      </c>
      <c r="E237" s="577">
        <f>SUM(E238:E240)</f>
        <v>6848850</v>
      </c>
      <c r="F237" s="577">
        <f>SUM(F238:F240)</f>
        <v>6848850</v>
      </c>
      <c r="G237" s="577">
        <f>SUM(G238:G240)</f>
        <v>6848850</v>
      </c>
      <c r="H237" s="577">
        <f>SUM(H238:H240)</f>
        <v>4209988</v>
      </c>
      <c r="I237" s="577">
        <f>SUM(I238:I240)</f>
        <v>4209988</v>
      </c>
    </row>
    <row r="238" spans="1:9" ht="12.75" customHeight="1">
      <c r="A238" s="1459" t="s">
        <v>1115</v>
      </c>
      <c r="B238" s="85"/>
      <c r="C238" s="17" t="s">
        <v>250</v>
      </c>
      <c r="D238" s="149"/>
      <c r="E238" s="576">
        <v>5731255</v>
      </c>
      <c r="F238" s="576">
        <v>5731255</v>
      </c>
      <c r="G238" s="576">
        <v>5731255</v>
      </c>
      <c r="H238" s="576">
        <v>3835980</v>
      </c>
      <c r="I238" s="576">
        <v>3835980</v>
      </c>
    </row>
    <row r="239" spans="1:9" ht="12.75" customHeight="1">
      <c r="A239" s="1460" t="s">
        <v>1136</v>
      </c>
      <c r="B239" s="150"/>
      <c r="C239" s="144" t="s">
        <v>251</v>
      </c>
      <c r="D239" s="525"/>
      <c r="E239" s="578">
        <v>1117595</v>
      </c>
      <c r="F239" s="578">
        <v>1117595</v>
      </c>
      <c r="G239" s="578">
        <v>1117595</v>
      </c>
      <c r="H239" s="578">
        <v>374008</v>
      </c>
      <c r="I239" s="578">
        <v>374008</v>
      </c>
    </row>
    <row r="240" spans="1:9" ht="12.75" customHeight="1">
      <c r="A240" s="1421" t="s">
        <v>1137</v>
      </c>
      <c r="B240" s="315"/>
      <c r="C240" s="316" t="s">
        <v>252</v>
      </c>
      <c r="D240" s="570"/>
      <c r="E240" s="579">
        <v>0</v>
      </c>
      <c r="F240" s="579">
        <v>0</v>
      </c>
      <c r="G240" s="579">
        <v>0</v>
      </c>
      <c r="H240" s="579">
        <v>0</v>
      </c>
      <c r="I240" s="579">
        <v>0</v>
      </c>
    </row>
    <row r="241" spans="1:9" ht="12.75" customHeight="1" thickBot="1">
      <c r="A241" s="1455" t="s">
        <v>1117</v>
      </c>
      <c r="B241" s="1386"/>
      <c r="C241" s="1364" t="s">
        <v>625</v>
      </c>
      <c r="D241" s="1406"/>
      <c r="E241" s="1407">
        <v>0</v>
      </c>
      <c r="F241" s="1407">
        <v>0</v>
      </c>
      <c r="G241" s="1407">
        <v>0</v>
      </c>
      <c r="H241" s="1407">
        <v>0</v>
      </c>
      <c r="I241" s="1407">
        <v>0</v>
      </c>
    </row>
    <row r="242" spans="1:9" ht="12.75" customHeight="1" thickBot="1">
      <c r="A242" s="589" t="s">
        <v>1118</v>
      </c>
      <c r="B242" s="529"/>
      <c r="C242" s="1704" t="s">
        <v>516</v>
      </c>
      <c r="D242" s="1704"/>
      <c r="E242" s="588">
        <f>SUM(E196+E201+E206+E211+E216+E221+E226+E230+E235+E237)</f>
        <v>92965316</v>
      </c>
      <c r="F242" s="588">
        <f>SUM(F196+F201+F206+F211+F216+F221+F226+F230+F235+F237)</f>
        <v>97394750</v>
      </c>
      <c r="G242" s="588">
        <f>SUM(G196+G201+G206+G211+G216+G221+G226+G230+G235+G237)</f>
        <v>97394750</v>
      </c>
      <c r="H242" s="588">
        <f>SUM(H196+H201+H206+H211+H216+H221+H226+H230+H235+H237)</f>
        <v>94797812</v>
      </c>
      <c r="I242" s="588">
        <f>SUM(I196+I201+I206+I211+I216+I221+I226+I230+I235+I237)</f>
        <v>94842286</v>
      </c>
    </row>
    <row r="243" spans="1:9" ht="12.75" customHeight="1">
      <c r="A243" s="1420" t="s">
        <v>1119</v>
      </c>
      <c r="B243" s="876"/>
      <c r="C243" s="868" t="s">
        <v>494</v>
      </c>
      <c r="D243" s="877">
        <v>27</v>
      </c>
      <c r="E243" s="878">
        <f aca="true" t="shared" si="3" ref="E243:G244">SUM(E197+E202+E207+E212+E217+E222+E227+E231+E238)</f>
        <v>38651192</v>
      </c>
      <c r="F243" s="878">
        <f t="shared" si="3"/>
        <v>44774976</v>
      </c>
      <c r="G243" s="878">
        <f t="shared" si="3"/>
        <v>44774976</v>
      </c>
      <c r="H243" s="878">
        <f>SUM(H197+H202+H207+H212+H217+H222+H227+H231+H238)</f>
        <v>42914700</v>
      </c>
      <c r="I243" s="878">
        <f>SUM(I197+I202+I207+I212+I217+I222+I227+I231+I238)</f>
        <v>42629622</v>
      </c>
    </row>
    <row r="244" spans="1:9" ht="12.75" customHeight="1">
      <c r="A244" s="1460" t="s">
        <v>1120</v>
      </c>
      <c r="B244" s="842"/>
      <c r="C244" s="872" t="s">
        <v>251</v>
      </c>
      <c r="D244" s="844"/>
      <c r="E244" s="873">
        <f t="shared" si="3"/>
        <v>10626743</v>
      </c>
      <c r="F244" s="873">
        <f t="shared" si="3"/>
        <v>9229774</v>
      </c>
      <c r="G244" s="873">
        <f t="shared" si="3"/>
        <v>9229774</v>
      </c>
      <c r="H244" s="873">
        <f>SUM(H198+H203+H208+H213+H218+H223+H228+H232+H239)</f>
        <v>8493012</v>
      </c>
      <c r="I244" s="873">
        <f>SUM(I198+I203+I208+I213+I218+I223+I228+I232+I239)</f>
        <v>8811430</v>
      </c>
    </row>
    <row r="245" spans="1:9" ht="12.75" customHeight="1">
      <c r="A245" s="1421" t="s">
        <v>1121</v>
      </c>
      <c r="B245" s="845"/>
      <c r="C245" s="874" t="s">
        <v>635</v>
      </c>
      <c r="D245" s="846"/>
      <c r="E245" s="879">
        <f>SUM(E199+E204+E209+E214+E219+E224+E229+E233+E240)+E236</f>
        <v>42206364</v>
      </c>
      <c r="F245" s="879">
        <f>SUM(F199+F204+F209+F214+F219+F224+F229+F233+F240)+F236</f>
        <v>42390000</v>
      </c>
      <c r="G245" s="879">
        <f>SUM(G199+G204+G209+G214+G219+G224+G229+G233+G240)+G236</f>
        <v>42390000</v>
      </c>
      <c r="H245" s="879">
        <f>SUM(H199+H204+H209+H214+H219+H224+H229+H233+H240)+H236</f>
        <v>42390100</v>
      </c>
      <c r="I245" s="879">
        <f>SUM(I199+I204+I209+I214+I219+I224+I229+I233+I240)+I236</f>
        <v>42401234</v>
      </c>
    </row>
    <row r="246" spans="1:9" ht="12.75" customHeight="1">
      <c r="A246" s="1421" t="s">
        <v>1122</v>
      </c>
      <c r="B246" s="845"/>
      <c r="C246" s="424" t="s">
        <v>249</v>
      </c>
      <c r="D246" s="846"/>
      <c r="E246" s="879">
        <f>SUM(E200+E205+E210+E215+E220+E225+E234)</f>
        <v>1481017</v>
      </c>
      <c r="F246" s="879">
        <f>SUM(F200+F205+F210+F215+F220+F225+F234)</f>
        <v>1000000</v>
      </c>
      <c r="G246" s="879">
        <f>SUM(G200+G205+G210+G215+G220+G225+G234)</f>
        <v>1000000</v>
      </c>
      <c r="H246" s="879">
        <f>SUM(H200+H205+H210+H215+H220+H225+H234)</f>
        <v>1000000</v>
      </c>
      <c r="I246" s="879">
        <f>SUM(I200+I205+I210+I215+I220+I225+I234)</f>
        <v>1000000</v>
      </c>
    </row>
    <row r="247" spans="1:9" ht="12.75" customHeight="1">
      <c r="A247" s="1461" t="s">
        <v>1123</v>
      </c>
      <c r="B247" s="808"/>
      <c r="C247" s="808" t="s">
        <v>792</v>
      </c>
      <c r="D247" s="808"/>
      <c r="E247" s="881">
        <v>1481017</v>
      </c>
      <c r="F247" s="881">
        <v>1000000</v>
      </c>
      <c r="G247" s="881">
        <v>1000000</v>
      </c>
      <c r="H247" s="881">
        <v>1000000</v>
      </c>
      <c r="I247" s="881">
        <v>1000000</v>
      </c>
    </row>
    <row r="248" spans="1:9" ht="12.75" customHeight="1" thickBot="1">
      <c r="A248" s="1442" t="s">
        <v>1124</v>
      </c>
      <c r="B248" s="865"/>
      <c r="C248" s="865" t="s">
        <v>793</v>
      </c>
      <c r="D248" s="865"/>
      <c r="E248" s="871"/>
      <c r="F248" s="871"/>
      <c r="G248" s="871"/>
      <c r="H248" s="871"/>
      <c r="I248" s="871"/>
    </row>
    <row r="249" spans="1:9" ht="12.75" customHeight="1">
      <c r="A249" s="1462" t="s">
        <v>1125</v>
      </c>
      <c r="B249" s="103"/>
      <c r="C249" s="291" t="s">
        <v>576</v>
      </c>
      <c r="D249" s="103"/>
      <c r="E249" s="84"/>
      <c r="F249" s="84"/>
      <c r="G249" s="84"/>
      <c r="H249" s="84"/>
      <c r="I249" s="84"/>
    </row>
    <row r="250" spans="1:9" ht="12.75" customHeight="1">
      <c r="A250" s="1462" t="s">
        <v>1126</v>
      </c>
      <c r="B250" s="103"/>
      <c r="C250" s="178" t="s">
        <v>577</v>
      </c>
      <c r="D250" s="103"/>
      <c r="E250" s="84">
        <f>SUM('ÖNK ÖSSZESITŐ'!E89)</f>
        <v>202958120</v>
      </c>
      <c r="F250" s="84">
        <f>SUM('ÖNK ÖSSZESITŐ'!F89)</f>
        <v>231916418</v>
      </c>
      <c r="G250" s="84">
        <f>SUM('ÖNK ÖSSZESITŐ'!G89)</f>
        <v>231916418</v>
      </c>
      <c r="H250" s="84">
        <f>SUM('ÖNK ÖSSZESITŐ'!H89)</f>
        <v>236489748</v>
      </c>
      <c r="I250" s="84">
        <f>SUM('ÖNK ÖSSZESITŐ'!I89)</f>
        <v>237134758</v>
      </c>
    </row>
    <row r="251" spans="1:9" ht="12.75" customHeight="1">
      <c r="A251" s="1462" t="s">
        <v>1127</v>
      </c>
      <c r="B251" s="103"/>
      <c r="C251" s="178" t="s">
        <v>578</v>
      </c>
      <c r="D251" s="103"/>
      <c r="E251" s="84">
        <f>SUM('ÖNK ÖSSZESITŐ'!E90)</f>
        <v>48716977</v>
      </c>
      <c r="F251" s="84">
        <f>SUM('ÖNK ÖSSZESITŐ'!F90)</f>
        <v>46416484</v>
      </c>
      <c r="G251" s="84">
        <f>SUM('ÖNK ÖSSZESITŐ'!G90)</f>
        <v>46416484</v>
      </c>
      <c r="H251" s="84">
        <f>SUM('ÖNK ÖSSZESITŐ'!H90)</f>
        <v>46934276</v>
      </c>
      <c r="I251" s="84">
        <f>SUM('ÖNK ÖSSZESITŐ'!I90)</f>
        <v>47470843</v>
      </c>
    </row>
    <row r="252" spans="1:9" ht="12.75" customHeight="1">
      <c r="A252" s="1462" t="s">
        <v>1128</v>
      </c>
      <c r="B252" s="103"/>
      <c r="C252" s="178" t="s">
        <v>579</v>
      </c>
      <c r="D252" s="103"/>
      <c r="E252" s="84">
        <f>SUM('ÖNK ÖSSZESITŐ'!E91)</f>
        <v>179424836</v>
      </c>
      <c r="F252" s="84">
        <f>SUM('ÖNK ÖSSZESITŐ'!F91)</f>
        <v>121926274</v>
      </c>
      <c r="G252" s="84">
        <f>SUM('ÖNK ÖSSZESITŐ'!G91)</f>
        <v>121926274</v>
      </c>
      <c r="H252" s="84">
        <f>SUM('ÖNK ÖSSZESITŐ'!H91)</f>
        <v>127743156</v>
      </c>
      <c r="I252" s="84">
        <f>SUM('ÖNK ÖSSZESITŐ'!I91)</f>
        <v>136085833</v>
      </c>
    </row>
    <row r="253" spans="1:9" ht="12.75" customHeight="1">
      <c r="A253" s="1463" t="s">
        <v>1129</v>
      </c>
      <c r="B253" s="102"/>
      <c r="C253" s="292" t="s">
        <v>25</v>
      </c>
      <c r="D253" s="89"/>
      <c r="E253" s="84">
        <f>SUM('ÖNK ÖSSZESITŐ'!E92)</f>
        <v>431099933</v>
      </c>
      <c r="F253" s="84">
        <f>SUM('ÖNK ÖSSZESITŐ'!F92)</f>
        <v>400259176</v>
      </c>
      <c r="G253" s="84">
        <f>SUM('ÖNK ÖSSZESITŐ'!G92)</f>
        <v>400259176</v>
      </c>
      <c r="H253" s="84">
        <f>SUM('ÖNK ÖSSZESITŐ'!H92)</f>
        <v>411167180</v>
      </c>
      <c r="I253" s="84">
        <f>SUM('ÖNK ÖSSZESITŐ'!I92)</f>
        <v>420691434</v>
      </c>
    </row>
    <row r="254" spans="1:9" ht="12.75" customHeight="1">
      <c r="A254" s="1462" t="s">
        <v>1130</v>
      </c>
      <c r="B254" s="102"/>
      <c r="C254" s="178" t="s">
        <v>256</v>
      </c>
      <c r="D254" s="102"/>
      <c r="E254" s="84">
        <f>SUM('ÖNK ÖSSZESITŐ'!E93)</f>
        <v>40766879</v>
      </c>
      <c r="F254" s="84">
        <f>SUM('ÖNK ÖSSZESITŐ'!F93)</f>
        <v>32887850</v>
      </c>
      <c r="G254" s="84">
        <f>SUM('ÖNK ÖSSZESITŐ'!G93)</f>
        <v>32887850</v>
      </c>
      <c r="H254" s="84">
        <f>SUM('ÖNK ÖSSZESITŐ'!H93)</f>
        <v>38852413</v>
      </c>
      <c r="I254" s="84">
        <f>SUM('ÖNK ÖSSZESITŐ'!I93)</f>
        <v>38917253</v>
      </c>
    </row>
    <row r="255" spans="1:9" ht="12.75" customHeight="1">
      <c r="A255" s="1462" t="s">
        <v>1131</v>
      </c>
      <c r="B255" s="102"/>
      <c r="C255" s="178" t="s">
        <v>296</v>
      </c>
      <c r="D255" s="102"/>
      <c r="E255" s="84">
        <f>SUM('ÖNK ÖSSZESITŐ'!E94)</f>
        <v>3627050</v>
      </c>
      <c r="F255" s="84">
        <f>SUM('ÖNK ÖSSZESITŐ'!F94)</f>
        <v>4162000</v>
      </c>
      <c r="G255" s="84">
        <f>SUM('ÖNK ÖSSZESITŐ'!G94)</f>
        <v>4162000</v>
      </c>
      <c r="H255" s="84">
        <f>SUM('ÖNK ÖSSZESITŐ'!H94)</f>
        <v>4162000</v>
      </c>
      <c r="I255" s="84">
        <f>SUM('ÖNK ÖSSZESITŐ'!I94)</f>
        <v>4162000</v>
      </c>
    </row>
    <row r="256" spans="1:9" ht="12.75" customHeight="1">
      <c r="A256" s="1462" t="s">
        <v>1132</v>
      </c>
      <c r="B256" s="102"/>
      <c r="C256" s="178" t="s">
        <v>298</v>
      </c>
      <c r="D256" s="102"/>
      <c r="E256" s="84">
        <f>SUM('ÖNK ÖSSZESITŐ'!E95)</f>
        <v>57380504</v>
      </c>
      <c r="F256" s="84">
        <f>SUM('ÖNK ÖSSZESITŐ'!F95)</f>
        <v>5800000</v>
      </c>
      <c r="G256" s="84">
        <f>SUM('ÖNK ÖSSZESITŐ'!G95)</f>
        <v>5800000</v>
      </c>
      <c r="H256" s="84">
        <f>SUM('ÖNK ÖSSZESITŐ'!H95)</f>
        <v>12312732</v>
      </c>
      <c r="I256" s="84">
        <f>SUM('ÖNK ÖSSZESITŐ'!I95)</f>
        <v>24271678</v>
      </c>
    </row>
    <row r="257" spans="1:9" ht="12.75" customHeight="1">
      <c r="A257" s="1462" t="s">
        <v>1133</v>
      </c>
      <c r="B257" s="102"/>
      <c r="C257" s="178" t="s">
        <v>300</v>
      </c>
      <c r="D257" s="102"/>
      <c r="E257" s="84">
        <f>SUM('ÖNK ÖSSZESITŐ'!E96)</f>
        <v>274808735</v>
      </c>
      <c r="F257" s="84">
        <f>SUM('ÖNK ÖSSZESITŐ'!F96)</f>
        <v>312611623</v>
      </c>
      <c r="G257" s="84">
        <f>SUM('ÖNK ÖSSZESITŐ'!G96)</f>
        <v>312611623</v>
      </c>
      <c r="H257" s="84">
        <f>SUM('ÖNK ÖSSZESITŐ'!H96)</f>
        <v>313202745</v>
      </c>
      <c r="I257" s="84">
        <f>SUM('ÖNK ÖSSZESITŐ'!I96)</f>
        <v>315592990</v>
      </c>
    </row>
    <row r="258" spans="1:9" ht="12.75" customHeight="1">
      <c r="A258" s="1462" t="s">
        <v>1134</v>
      </c>
      <c r="B258" s="102"/>
      <c r="C258" s="178" t="s">
        <v>521</v>
      </c>
      <c r="D258" s="102"/>
      <c r="E258" s="84">
        <f>SUM('ÖNK ÖSSZESITŐ'!E97)</f>
        <v>664627351</v>
      </c>
      <c r="F258" s="84">
        <f>SUM('ÖNK ÖSSZESITŐ'!F97)</f>
        <v>649730501</v>
      </c>
      <c r="G258" s="84">
        <f>SUM('ÖNK ÖSSZESITŐ'!G97)</f>
        <v>649730501</v>
      </c>
      <c r="H258" s="84">
        <f>SUM('ÖNK ÖSSZESITŐ'!H97)</f>
        <v>644615355</v>
      </c>
      <c r="I258" s="84">
        <f>SUM('ÖNK ÖSSZESITŐ'!I97)</f>
        <v>642488982</v>
      </c>
    </row>
    <row r="259" spans="1:9" ht="12.75" customHeight="1">
      <c r="A259" s="1462" t="s">
        <v>1135</v>
      </c>
      <c r="B259" s="102"/>
      <c r="C259" s="17" t="s">
        <v>692</v>
      </c>
      <c r="D259" s="102"/>
      <c r="E259" s="84">
        <f>SUM('ÖNK ÖSSZESITŐ'!E98)</f>
        <v>0</v>
      </c>
      <c r="F259" s="84">
        <f>SUM('ÖNK ÖSSZESITŐ'!F98)</f>
        <v>0</v>
      </c>
      <c r="G259" s="84">
        <f>SUM('ÖNK ÖSSZESITŐ'!G98)</f>
        <v>0</v>
      </c>
      <c r="H259" s="84">
        <f>SUM('ÖNK ÖSSZESITŐ'!H98)</f>
        <v>116897</v>
      </c>
      <c r="I259" s="84">
        <f>SUM('ÖNK ÖSSZESITŐ'!I98)</f>
        <v>2482037</v>
      </c>
    </row>
    <row r="260" spans="1:9" ht="12.75" customHeight="1">
      <c r="A260" s="1462" t="s">
        <v>1160</v>
      </c>
      <c r="B260" s="102"/>
      <c r="C260" s="123" t="s">
        <v>694</v>
      </c>
      <c r="D260" s="102"/>
      <c r="E260" s="84">
        <f>SUM('ÖNK ÖSSZESITŐ'!E99)</f>
        <v>10729481</v>
      </c>
      <c r="F260" s="84">
        <f>SUM('ÖNK ÖSSZESITŐ'!F99)</f>
        <v>0</v>
      </c>
      <c r="G260" s="84">
        <f>SUM('ÖNK ÖSSZESITŐ'!G99)</f>
        <v>0</v>
      </c>
      <c r="H260" s="84">
        <f>SUM('ÖNK ÖSSZESITŐ'!H99)</f>
        <v>0</v>
      </c>
      <c r="I260" s="84">
        <f>SUM('ÖNK ÖSSZESITŐ'!I99)</f>
        <v>0</v>
      </c>
    </row>
    <row r="261" spans="1:9" ht="12.75" customHeight="1">
      <c r="A261" s="1462" t="s">
        <v>1177</v>
      </c>
      <c r="B261" s="102"/>
      <c r="C261" s="123" t="s">
        <v>693</v>
      </c>
      <c r="D261" s="102"/>
      <c r="E261" s="84">
        <f>SUM('ÖNK ÖSSZESITŐ'!E100)</f>
        <v>0</v>
      </c>
      <c r="F261" s="84">
        <f>SUM('ÖNK ÖSSZESITŐ'!F100)</f>
        <v>0</v>
      </c>
      <c r="G261" s="84">
        <f>SUM('ÖNK ÖSSZESITŐ'!G100)</f>
        <v>0</v>
      </c>
      <c r="H261" s="84">
        <f>SUM('ÖNK ÖSSZESITŐ'!H100)</f>
        <v>0</v>
      </c>
      <c r="I261" s="84">
        <f>SUM('ÖNK ÖSSZESITŐ'!I100)</f>
        <v>0</v>
      </c>
    </row>
    <row r="262" spans="1:9" ht="12.75" customHeight="1">
      <c r="A262" s="1462" t="s">
        <v>1178</v>
      </c>
      <c r="B262" s="102"/>
      <c r="C262" s="178" t="s">
        <v>270</v>
      </c>
      <c r="D262" s="102"/>
      <c r="E262" s="84">
        <f>SUM('ÖNK ÖSSZESITŐ'!E101)</f>
        <v>9086397</v>
      </c>
      <c r="F262" s="84">
        <f>SUM('ÖNK ÖSSZESITŐ'!F101)</f>
        <v>7035063</v>
      </c>
      <c r="G262" s="84">
        <f>SUM('ÖNK ÖSSZESITŐ'!G101)</f>
        <v>7035063</v>
      </c>
      <c r="H262" s="84">
        <f>SUM('ÖNK ÖSSZESITŐ'!H101)</f>
        <v>7496735</v>
      </c>
      <c r="I262" s="84">
        <f>SUM('ÖNK ÖSSZESITŐ'!I101)</f>
        <v>8085459</v>
      </c>
    </row>
    <row r="263" spans="1:9" ht="12.75" customHeight="1">
      <c r="A263" s="1462" t="s">
        <v>1179</v>
      </c>
      <c r="B263" s="102"/>
      <c r="C263" s="178" t="s">
        <v>272</v>
      </c>
      <c r="D263" s="102"/>
      <c r="E263" s="84">
        <f>SUM('ÖNK ÖSSZESITŐ'!E102)</f>
        <v>0</v>
      </c>
      <c r="F263" s="84"/>
      <c r="G263" s="84"/>
      <c r="H263" s="84"/>
      <c r="I263" s="84"/>
    </row>
    <row r="264" spans="1:9" ht="12.75" customHeight="1">
      <c r="A264" s="1462" t="s">
        <v>1180</v>
      </c>
      <c r="B264" s="289"/>
      <c r="C264" s="293" t="s">
        <v>550</v>
      </c>
      <c r="D264" s="289"/>
      <c r="E264" s="290">
        <f>SUM(E253:E263)</f>
        <v>1492126330</v>
      </c>
      <c r="F264" s="290">
        <f>SUM(F253:F263)</f>
        <v>1412486213</v>
      </c>
      <c r="G264" s="290">
        <f>SUM(G253:G263)</f>
        <v>1412486213</v>
      </c>
      <c r="H264" s="290">
        <f>SUM(H253:H263)</f>
        <v>1431926057</v>
      </c>
      <c r="I264" s="290">
        <f>SUM(I253:I263)</f>
        <v>1456691833</v>
      </c>
    </row>
  </sheetData>
  <sheetProtection selectLockedCells="1" selectUnlockedCells="1"/>
  <mergeCells count="11">
    <mergeCell ref="A4:I4"/>
    <mergeCell ref="A5:I7"/>
    <mergeCell ref="A2:I3"/>
    <mergeCell ref="A1:I1"/>
    <mergeCell ref="C242:D242"/>
    <mergeCell ref="A102:F102"/>
    <mergeCell ref="A120:B120"/>
    <mergeCell ref="A127:G127"/>
    <mergeCell ref="A172:G172"/>
    <mergeCell ref="A195:G195"/>
    <mergeCell ref="A10:B11"/>
  </mergeCells>
  <printOptions horizontalCentered="1"/>
  <pageMargins left="0.31496062992125984" right="0.2362204724409449" top="0.4724409448818898" bottom="0.6299212598425197" header="0.5118110236220472" footer="0.2362204724409449"/>
  <pageSetup firstPageNumber="1" useFirstPageNumber="1" horizontalDpi="600" verticalDpi="600" orientation="portrait" paperSize="9" scale="60" r:id="rId1"/>
  <headerFooter alignWithMargins="0">
    <oddFooter>&amp;C&amp;P. oldal</oddFooter>
  </headerFooter>
  <rowBreaks count="3" manualBreakCount="3">
    <brk id="76" max="8" man="1"/>
    <brk id="153" max="8" man="1"/>
    <brk id="1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Henger Zsuzsanna</dc:creator>
  <cp:keywords/>
  <dc:description/>
  <cp:lastModifiedBy>kolonics.krisztina</cp:lastModifiedBy>
  <cp:lastPrinted>2019-08-06T06:48:21Z</cp:lastPrinted>
  <dcterms:created xsi:type="dcterms:W3CDTF">2017-01-11T11:20:02Z</dcterms:created>
  <dcterms:modified xsi:type="dcterms:W3CDTF">2019-08-30T09:20:19Z</dcterms:modified>
  <cp:category/>
  <cp:version/>
  <cp:contentType/>
  <cp:contentStatus/>
</cp:coreProperties>
</file>