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839" firstSheet="19" activeTab="2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.a sz.m.fejlesztés (2)" sheetId="7" r:id="rId7"/>
    <sheet name="6.b.sz.m.intfejl (2)" sheetId="8" r:id="rId8"/>
    <sheet name="7.sz.m.Dologi kiadás (2)" sheetId="9" r:id="rId9"/>
    <sheet name="8.sz.m.szociális kiadások" sheetId="10" r:id="rId10"/>
    <sheet name="9.sz.m.átadott pe (2)" sheetId="11" r:id="rId11"/>
    <sheet name="10 .sz.m. Létszám (2)" sheetId="12" r:id="rId12"/>
    <sheet name="11. maradvány" sheetId="13" r:id="rId13"/>
    <sheet name="12. mérleg" sheetId="14" r:id="rId14"/>
    <sheet name="13.a.mell.Vagyokim. rk" sheetId="15" r:id="rId15"/>
    <sheet name="13.b.mell.Vagyokim. rk_ovi" sheetId="16" r:id="rId16"/>
    <sheet name="13.c.sz.m Önk. érték nélkül Rk" sheetId="17" r:id="rId17"/>
    <sheet name="13d.sz.m Önk. érték nélkül Rk_o" sheetId="18" r:id="rId18"/>
    <sheet name="14.sz.m. állami támogatás " sheetId="19" r:id="rId19"/>
    <sheet name="15. sz.m. közvetett tám." sheetId="20" r:id="rId20"/>
    <sheet name="16.sz.m.többéves kihatás" sheetId="21" r:id="rId21"/>
    <sheet name="17.sz.m.részesedések" sheetId="22" r:id="rId22"/>
    <sheet name="18.sz.m. pe változás" sheetId="23" r:id="rId23"/>
    <sheet name="19.sz.m.akü" sheetId="24" r:id="rId24"/>
    <sheet name="20. sz. m. EU " sheetId="25" r:id="rId25"/>
  </sheets>
  <externalReferences>
    <externalReference r:id="rId28"/>
    <externalReference r:id="rId29"/>
    <externalReference r:id="rId30"/>
  </externalReferences>
  <definedNames>
    <definedName name="_xlfn.IFERROR" hidden="1">#NAME?</definedName>
    <definedName name="_xlnm.Print_Area" localSheetId="1">'1 .sz.m.önk.össz.kiad.'!$A$2:$AJ$69</definedName>
    <definedName name="_xlnm.Print_Area" localSheetId="0">'1.sz.m-önk.össze.bev'!$A$1:$X$67</definedName>
    <definedName name="_xlnm.Print_Area" localSheetId="11">'10 .sz.m. Létszám (2)'!$A$1:$K$22</definedName>
    <definedName name="_xlnm.Print_Area" localSheetId="2">'2.sz.m.összehasonlító'!$A$1:$L$34</definedName>
    <definedName name="_xlnm.Print_Area" localSheetId="3">'3.sz.m Önk  bev.'!$A$1:$R$65</definedName>
    <definedName name="_xlnm.Print_Area" localSheetId="4">'4.sz.m.ÖNK kiadás'!$A$1:$U$38</definedName>
    <definedName name="_xlnm.Print_Area" localSheetId="5">'5. sz. m óvoda'!$A$1:$P$51</definedName>
    <definedName name="_xlnm.Print_Area" localSheetId="6">'6.a sz.m.fejlesztés (2)'!$A$3:$Q$35</definedName>
    <definedName name="_xlnm.Print_Area" localSheetId="7">'6.b.sz.m.intfejl (2)'!$A$2:$J$22</definedName>
    <definedName name="_xlnm.Print_Area" localSheetId="8">'7.sz.m.Dologi kiadás (2)'!$A$1:$S$29</definedName>
    <definedName name="_xlnm.Print_Area" localSheetId="9">'8.sz.m.szociális kiadások'!$A$1:$O$44</definedName>
    <definedName name="_xlnm.Print_Area" localSheetId="10">'9.sz.m.átadott pe (2)'!$A$1:$S$64</definedName>
  </definedNames>
  <calcPr fullCalcOnLoad="1"/>
</workbook>
</file>

<file path=xl/sharedStrings.xml><?xml version="1.0" encoding="utf-8"?>
<sst xmlns="http://schemas.openxmlformats.org/spreadsheetml/2006/main" count="2046" uniqueCount="959">
  <si>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</si>
  <si>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</si>
  <si>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</si>
  <si>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</si>
  <si>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</si>
  <si>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</si>
  <si>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</si>
  <si>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</si>
  <si>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</si>
  <si>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</si>
  <si>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</si>
  <si>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</si>
  <si>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</si>
  <si>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</si>
  <si>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</si>
  <si>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</si>
  <si>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</si>
  <si>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</si>
  <si>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</si>
  <si>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</si>
  <si>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</si>
  <si>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</si>
  <si>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</si>
  <si>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</si>
  <si>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</si>
  <si>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</si>
  <si>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</si>
  <si>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</si>
  <si>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</si>
  <si>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</si>
  <si>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</si>
  <si>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</si>
  <si>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</si>
  <si>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</si>
  <si>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</si>
  <si>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</si>
  <si>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</si>
  <si>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</si>
  <si>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</si>
  <si>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</si>
  <si>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</si>
  <si>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</si>
  <si>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</si>
  <si>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</si>
  <si>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</si>
  <si>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</si>
  <si>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</si>
  <si>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</si>
  <si>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</si>
  <si>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</si>
  <si>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</si>
  <si>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</si>
  <si>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</si>
  <si>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</si>
  <si>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</si>
  <si>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</si>
  <si>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</si>
  <si>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</si>
  <si>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</si>
  <si>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</si>
  <si>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</si>
  <si>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</si>
  <si>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</si>
  <si>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</si>
  <si>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</si>
  <si>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</si>
  <si>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</si>
  <si>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</si>
  <si>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</si>
  <si>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</si>
  <si>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</si>
  <si>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</si>
  <si>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</si>
  <si>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</si>
  <si>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</si>
  <si>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</si>
  <si>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</si>
  <si>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3.3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</si>
  <si>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</si>
  <si>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</si>
  <si>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</si>
  <si>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</si>
  <si>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</si>
  <si>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</si>
  <si>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</si>
  <si>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</si>
  <si>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</si>
  <si>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</si>
  <si>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</si>
  <si>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</si>
  <si>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</si>
  <si>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</si>
  <si>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</si>
  <si>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</si>
  <si>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</si>
  <si>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</si>
  <si>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</si>
  <si>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</si>
  <si>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</si>
  <si>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</si>
  <si>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</si>
  <si>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</si>
  <si>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</si>
  <si>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</si>
  <si>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</si>
  <si>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</si>
  <si>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</si>
  <si>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</si>
  <si>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</si>
  <si>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</si>
  <si>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</si>
  <si>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</si>
  <si>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</si>
  <si>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</si>
  <si>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</si>
  <si>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</si>
  <si>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</si>
  <si>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</si>
  <si>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</si>
  <si>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</si>
  <si>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</si>
  <si>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</si>
  <si>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</si>
  <si>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</si>
  <si>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</si>
  <si>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</si>
  <si>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</si>
  <si>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</si>
  <si>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</si>
  <si>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</si>
  <si>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</si>
  <si>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</si>
  <si>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</si>
  <si>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</si>
  <si>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</si>
  <si>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</si>
  <si>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</si>
  <si>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</si>
  <si>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</si>
  <si>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</si>
  <si>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</si>
  <si>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</si>
  <si>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</si>
  <si>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</si>
  <si>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</si>
  <si>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</si>
  <si>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</si>
  <si>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</si>
  <si>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</si>
  <si>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</si>
  <si>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</si>
  <si>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</si>
  <si>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</si>
  <si>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</si>
  <si>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</si>
  <si>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</si>
  <si>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</si>
  <si>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</si>
  <si>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</si>
  <si>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</si>
  <si>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</si>
  <si>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</si>
  <si>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</si>
  <si>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</si>
  <si>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</si>
  <si>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</si>
  <si>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</si>
  <si>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</si>
  <si>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</si>
  <si>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</si>
  <si>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</si>
  <si>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</si>
  <si>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</si>
  <si>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</si>
  <si>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</si>
  <si>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</si>
  <si>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</si>
  <si>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</si>
  <si>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</si>
  <si>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</si>
  <si>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</si>
  <si>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</si>
  <si>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</si>
  <si>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</si>
  <si>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</si>
  <si>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</si>
  <si>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</si>
  <si>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</si>
  <si>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</si>
  <si>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</si>
  <si>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</si>
  <si>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</si>
  <si>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</si>
  <si>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</si>
  <si>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</si>
  <si>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</si>
  <si>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</si>
  <si>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</si>
  <si>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</si>
  <si>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</si>
  <si>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</si>
  <si>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</si>
  <si>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</si>
  <si>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</si>
  <si>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</si>
  <si>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</si>
  <si>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</si>
  <si>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</si>
  <si>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</si>
  <si>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</si>
  <si>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</si>
  <si>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</si>
  <si>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</si>
  <si>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</si>
  <si>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</si>
  <si>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</si>
  <si>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</si>
  <si>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</si>
  <si>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</si>
  <si>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</si>
  <si>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</si>
  <si>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</si>
  <si>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</si>
  <si>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</si>
  <si>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</si>
  <si>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</si>
  <si>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</si>
  <si>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</si>
  <si>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</si>
  <si>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</si>
  <si>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</si>
  <si>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</si>
  <si>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</si>
  <si>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</si>
  <si>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</si>
  <si>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</si>
  <si>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</si>
  <si>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</si>
  <si>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</si>
  <si>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</si>
  <si>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</si>
  <si>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</si>
  <si>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</si>
  <si>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</si>
  <si>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</si>
  <si>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</si>
  <si>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</si>
  <si>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</si>
  <si>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</si>
  <si>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</si>
  <si>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</si>
  <si>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</si>
  <si>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</si>
  <si>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</si>
  <si>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</si>
  <si>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</si>
  <si>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</si>
  <si>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</si>
  <si>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</si>
  <si>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</si>
  <si>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</si>
  <si>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</si>
  <si>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</si>
  <si>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</si>
  <si>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</si>
  <si>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</si>
  <si>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</si>
  <si>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</si>
  <si>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</si>
  <si>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</si>
  <si>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</si>
  <si>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</si>
  <si>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</si>
  <si>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</si>
  <si>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</si>
  <si>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</si>
  <si>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</si>
  <si>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</si>
  <si>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</si>
  <si>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</si>
  <si>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</si>
  <si>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</si>
  <si>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</si>
  <si>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</si>
  <si>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</si>
  <si>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</si>
  <si>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Teljesítés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</si>
  <si>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</si>
  <si>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</si>
  <si>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</si>
  <si>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</si>
  <si>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</si>
  <si>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</si>
  <si>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</si>
  <si>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</si>
  <si>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</si>
  <si>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</si>
  <si>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</si>
  <si>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</si>
  <si>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</si>
  <si>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</si>
  <si>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</si>
  <si>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</si>
  <si>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</si>
  <si>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</si>
  <si>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</si>
  <si>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</si>
  <si>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</si>
  <si>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</si>
  <si>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</si>
  <si>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</si>
  <si>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</si>
  <si>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</si>
  <si>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</si>
  <si>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</si>
  <si>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</si>
  <si>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</si>
  <si>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</si>
  <si>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</si>
  <si>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</si>
  <si>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</si>
  <si>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</si>
  <si>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</si>
  <si>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</si>
  <si>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</si>
  <si>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</si>
  <si>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</si>
  <si>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</si>
  <si>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</si>
  <si>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</si>
  <si>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</si>
  <si>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</si>
  <si>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</si>
  <si>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</si>
  <si>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</si>
  <si>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</si>
  <si>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</si>
  <si>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</si>
  <si>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</si>
  <si>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</si>
  <si>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</si>
  <si>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</si>
  <si>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</si>
  <si>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</si>
  <si>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</si>
  <si>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</si>
  <si>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</si>
  <si>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</si>
  <si>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</si>
  <si>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</si>
  <si>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</si>
  <si>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</si>
  <si>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</si>
  <si>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</si>
  <si>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</si>
  <si>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</si>
  <si>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</si>
  <si>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</si>
  <si>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10.</t>
  </si>
  <si>
    <t>11.</t>
  </si>
  <si>
    <t>12.</t>
  </si>
  <si>
    <t>13.</t>
  </si>
  <si>
    <t>15.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</si>
  <si>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</si>
  <si>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</si>
  <si>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</si>
  <si>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</si>
  <si>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</si>
  <si>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</si>
  <si>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</si>
  <si>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</si>
  <si>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</si>
  <si>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</si>
  <si>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</si>
  <si>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</si>
  <si>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</si>
  <si>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</si>
  <si>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</si>
  <si>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</si>
  <si>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</si>
  <si>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</si>
  <si>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</si>
  <si>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</si>
  <si>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</si>
  <si>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</si>
  <si>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</si>
  <si>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</si>
  <si>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</si>
  <si>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>III.  Rászoruló gyermekek szünidei étkeztetése</t>
  </si>
  <si>
    <t xml:space="preserve">Közfoglalkoztatottak </t>
  </si>
  <si>
    <t>Mindösszesen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</si>
  <si>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</si>
  <si>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</si>
  <si>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</si>
  <si>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</si>
  <si>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</si>
  <si>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</si>
  <si>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</si>
  <si>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</si>
  <si>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</si>
  <si>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</si>
  <si>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</si>
  <si>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</si>
  <si>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</si>
  <si>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</si>
  <si>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</si>
  <si>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</si>
  <si>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</si>
  <si>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</si>
  <si>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</si>
  <si>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</si>
  <si>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</si>
  <si>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</si>
  <si>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</si>
  <si>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</si>
  <si>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</si>
  <si>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</si>
  <si>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</si>
  <si>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</si>
  <si>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</si>
  <si>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</si>
  <si>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</si>
  <si>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</si>
  <si>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</si>
  <si>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</si>
  <si>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</si>
  <si>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</si>
  <si>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</si>
  <si>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</si>
  <si>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</si>
  <si>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</si>
  <si>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</si>
  <si>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</si>
  <si>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</si>
  <si>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</si>
  <si>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</si>
  <si>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</si>
  <si>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</si>
  <si>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>Iparűzési adó - állandó jellegggel végzett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</si>
  <si>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</si>
  <si>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</si>
  <si>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</si>
  <si>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</si>
  <si>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</si>
  <si>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</si>
  <si>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</si>
  <si>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</si>
  <si>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</si>
  <si>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</si>
  <si>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</si>
  <si>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</si>
  <si>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</si>
  <si>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</si>
  <si>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</si>
  <si>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</si>
  <si>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</si>
  <si>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</si>
  <si>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</si>
  <si>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</si>
  <si>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</si>
  <si>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</si>
  <si>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</si>
  <si>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</si>
  <si>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Hulladékgazdálkodási társulás</t>
  </si>
  <si>
    <t>Kapuvári Vízitársulat</t>
  </si>
  <si>
    <t>Szünidei gyermekétkeztetés Gyvt. 21/C. §</t>
  </si>
  <si>
    <t>Közművelődési tevékenység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</si>
  <si>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</si>
  <si>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</si>
  <si>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</si>
  <si>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</si>
  <si>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</si>
  <si>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</si>
  <si>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</si>
  <si>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</si>
  <si>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</si>
  <si>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</si>
  <si>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</si>
  <si>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adatok Ft-ban</t>
  </si>
  <si>
    <t>Tornacsarnok felújítása VP6-7.4.1.1-16 pályázat</t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</si>
  <si>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</si>
  <si>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</si>
  <si>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</si>
  <si>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</si>
  <si>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</si>
  <si>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</si>
  <si>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</si>
  <si>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</si>
  <si>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</si>
  <si>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</si>
  <si>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</si>
  <si>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</si>
  <si>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</si>
  <si>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</si>
  <si>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</si>
  <si>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</si>
  <si>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</si>
  <si>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Lakásfenntartással, lakhatással összefüggő ellátások (szociális tűzifa)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</si>
  <si>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</si>
  <si>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</si>
  <si>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</si>
  <si>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</si>
  <si>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</si>
  <si>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</si>
  <si>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</si>
  <si>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</si>
  <si>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</si>
  <si>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</si>
  <si>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</si>
  <si>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Országos Mentőszolgálat Alapítvány</t>
  </si>
  <si>
    <t>Rábakecöl Községi Önkormányzat 2018. évi bevételi előirányzatai</t>
  </si>
  <si>
    <t>Rábakecöl  Községi Önkormányzat 2018. évi kiadási előirányzatai</t>
  </si>
  <si>
    <t>Rábakecöl Községi Önkormányzat 2018. évi kiadási előirányzatai</t>
  </si>
  <si>
    <t>2018. év</t>
  </si>
  <si>
    <t>Rábakecöl Községi Önkormányzat költségvetési szerveinek 2018. évi létszámkerete</t>
  </si>
  <si>
    <t>2018. január 1.</t>
  </si>
  <si>
    <t>2018. december 31.</t>
  </si>
  <si>
    <t>Beledi Szociális és Gyermekjóléti Társulás 2018. évi hozzájárulás</t>
  </si>
  <si>
    <t>A 2018. évi általános működés és ágazati feladatok támogatásának alakulása jogcímenként</t>
  </si>
  <si>
    <t>1312/2018. (VI. 08.) Korm.határozat a 2018. évi minimálbér és garantált bérminimum emelése, valamit a szociális hozzájárulási adó csökkentése</t>
  </si>
  <si>
    <t>1264/2018. (V. 29.) Korm. határozat
a polgármesteri béremelés különbözetének támogatása érdekében szükséges források biztosításáról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</si>
  <si>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</si>
  <si>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</si>
  <si>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</si>
  <si>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</si>
  <si>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</si>
  <si>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</si>
  <si>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Beledi Szociális és Gyermekjóléti Társulás 2018. évi hozzájárulás elszámolása</t>
  </si>
  <si>
    <t>2018. évi bérkompenzáció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</si>
  <si>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</si>
  <si>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</si>
  <si>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</si>
  <si>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</si>
  <si>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</si>
  <si>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</si>
  <si>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</si>
  <si>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</si>
  <si>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</si>
  <si>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</si>
  <si>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</si>
  <si>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</si>
  <si>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</si>
  <si>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</si>
  <si>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</si>
  <si>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IKSZT felújítása</t>
  </si>
  <si>
    <t>Vízelvezetés, ereszcsatorna javítás IKSZT</t>
  </si>
  <si>
    <t>Laptop beszerzése háziorvosi szolgálatra</t>
  </si>
  <si>
    <t>EFOP-1.5.2-16-2017-00023 eszközbeszerzések</t>
  </si>
  <si>
    <t>EFOP-1.5.2-16-2017-00023 IKSZT  átalakítása</t>
  </si>
  <si>
    <t>Tornaterem felújítása 2068/2017. (XII. 28.) Korm. határozat 1. a) szerint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</si>
  <si>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</si>
  <si>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</si>
  <si>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</si>
  <si>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</si>
  <si>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</si>
  <si>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</si>
  <si>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</si>
  <si>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</si>
  <si>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</si>
  <si>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</si>
  <si>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</si>
  <si>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</si>
  <si>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</si>
  <si>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</si>
  <si>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</si>
  <si>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2018.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</si>
  <si>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</si>
  <si>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</si>
  <si>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</si>
  <si>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</si>
  <si>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</si>
  <si>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</si>
  <si>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</si>
  <si>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</si>
  <si>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</si>
  <si>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</si>
  <si>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</si>
  <si>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</si>
  <si>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</si>
  <si>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</si>
  <si>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</si>
  <si>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</si>
  <si>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14.</t>
  </si>
  <si>
    <t>2018. előtti kifizetés</t>
  </si>
  <si>
    <t>2019.</t>
  </si>
  <si>
    <t>2020.</t>
  </si>
  <si>
    <t>2020. után</t>
  </si>
  <si>
    <t>EFOP-1.5.2-16-2017-00023 Beled és térsége humán szolgáltatásainak fejlesztése</t>
  </si>
  <si>
    <t>2017</t>
  </si>
  <si>
    <t>Projekt megvalósítás</t>
  </si>
  <si>
    <t xml:space="preserve">Támogatás 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</si>
  <si>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</si>
  <si>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</si>
  <si>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</si>
  <si>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</si>
  <si>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</si>
  <si>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 xml:space="preserve">17. számú melléklet </t>
  </si>
  <si>
    <t>Működési célú költségvetési támogatások és kiegészítő támogatások</t>
  </si>
  <si>
    <t>Beled Város Önkormányzata - EFOP céljuttatás</t>
  </si>
  <si>
    <t>módosított</t>
  </si>
  <si>
    <t>EFOP-1.5.2-16-2017-00023</t>
  </si>
  <si>
    <t xml:space="preserve">Európai Uniós támogatással megvalósuló  programok, projektek évi bevételei és kiadásai  </t>
  </si>
  <si>
    <t>Beled és térsége humán szolgáltatásainak fejlesztése (2018-2020)</t>
  </si>
  <si>
    <t>18. számú melléklet</t>
  </si>
  <si>
    <t>I.5.   2017. évről áthúzódó bérkompenzáció</t>
  </si>
  <si>
    <t xml:space="preserve">Kiegészítő szociális tüzelőanyag támogatás 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</si>
  <si>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"Tornaterem külső felújítására, energetikai fejlesztésére" önerő biztosítása a 32/2016. (III. 22.) önkormányzati határozat szerint. Támogatás összege: 29.123.524 Ft</t>
  </si>
  <si>
    <t>Elszámolásból származó bevételek</t>
  </si>
  <si>
    <t>VP6-7.2.1-7.4.1.2-16 pályázathoz mezőgazdasági gépbeszerzések</t>
  </si>
  <si>
    <t xml:space="preserve">KÖLTSÉGVETÉSI SZERVEK FELHALMOZÁSI KIADÁSAI </t>
  </si>
  <si>
    <t xml:space="preserve">BERUHÁZÁSOK (ÁFA-val) </t>
  </si>
  <si>
    <t>Ft-ban</t>
  </si>
  <si>
    <t>Cím</t>
  </si>
  <si>
    <t>Intézmény</t>
  </si>
  <si>
    <t>Felújítás/beruházás</t>
  </si>
  <si>
    <t>B/F</t>
  </si>
  <si>
    <t>Előirányzat Kötelező</t>
  </si>
  <si>
    <t>Beledi Általános Művelődési Központ</t>
  </si>
  <si>
    <t>laptop beszerzése élelmezésvezetőnek</t>
  </si>
  <si>
    <t>2 db monitor vásárlása könyvtárba</t>
  </si>
  <si>
    <t>hűtőszekrény, mikorhullámú sütő óvodába</t>
  </si>
  <si>
    <t>laptop beszerzése óvodába</t>
  </si>
  <si>
    <t>kisértékű informatikai eszköz beszerzése könyvtárba érdekeltségnövelő támogatásból (szünetmentes tápegység, monitor)</t>
  </si>
  <si>
    <t>Rábakecöli Vadgesztenye Óvoda</t>
  </si>
  <si>
    <t>hűtő vásárlása</t>
  </si>
  <si>
    <t>IV.3. Kulturális illetménypótlék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</si>
  <si>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115/2016. (XI. 25.) önkormányzati határozat szerint. Támogatás összege: 8.023.860 Ft</t>
  </si>
  <si>
    <t>VP6-7.2.1-7.4.1.2-16.</t>
  </si>
  <si>
    <t>1824287028 - Külterületi helyi közutak fejlesztése, önkormányzati utak kezeléséhez, állapotjavításához, karbantartásához szükséges erő- és munkagépek beszerzése</t>
  </si>
  <si>
    <t>Rábakecöli Vadgesztenye  Óvoda</t>
  </si>
  <si>
    <t xml:space="preserve">Rábakecöli Vadgesztenye  Óvoda </t>
  </si>
  <si>
    <t>Laptop beszerzése</t>
  </si>
  <si>
    <t>Laptop beszerzése könyvtárba</t>
  </si>
  <si>
    <t>Könyvtári infrastruktúra fejlesztés nyomtató beszerzése könyvtárba)</t>
  </si>
  <si>
    <t>defibrillátor beszerzése</t>
  </si>
  <si>
    <t>Lang sztereoteszt II beszerzése</t>
  </si>
  <si>
    <t>digitális zongora vásárlása</t>
  </si>
  <si>
    <t>Favázas szék beszerzése (képviselői felajánlás)</t>
  </si>
  <si>
    <t>Településfejlesztési projektek és támogatásuk</t>
  </si>
  <si>
    <t>Egyéb szociális ellátások (szociális tűzifa)</t>
  </si>
  <si>
    <t>Edve Község Önkormányzata</t>
  </si>
  <si>
    <t>Beled Város Önkormányzata - anyakönyvvezetési díj</t>
  </si>
  <si>
    <t>2018</t>
  </si>
  <si>
    <t>VP6-7.2.1-7.4.1.3-17 kódszámú " Helyi termékértékesítést szolgáló piacok infrastrukturális fejlesztése, közétkeztetés fejlesztése" című pályázati kiírásra konyha épületének felújítása. Támogatás összege: 10.532.459 Ft</t>
  </si>
  <si>
    <t>VP6-7.2.1-7.4.1.3-17</t>
  </si>
  <si>
    <t>1845666015 - Helyi termékértékesítést szolgáló piacok infrastrukturális fejlesztése, közétkeztetés fejlesztése (Megvalósítás: 2019. év)</t>
  </si>
  <si>
    <t>A  téli rezsicsökkentésben korábban nem részesült, a vezetékes gáz- vagy távfűtéstől eltérő fűtőanyagot felhasználó háztartások egyszeri támogatása</t>
  </si>
  <si>
    <t>Rendkívüli önkormányzati támogatás</t>
  </si>
  <si>
    <t>Telj- %</t>
  </si>
  <si>
    <t>teljeítés</t>
  </si>
  <si>
    <t>telj. %</t>
  </si>
  <si>
    <t>Komplex környezetvédelmi programok támogatása</t>
  </si>
  <si>
    <t>teljesítés</t>
  </si>
  <si>
    <t>kapott támogatás</t>
  </si>
  <si>
    <t>elszámolás szerint</t>
  </si>
  <si>
    <t>felhasznált támogatás</t>
  </si>
  <si>
    <t>támogatás kiutalás (+) / visszafizetés (-)</t>
  </si>
  <si>
    <t>következő évben jogszerűen felhasználható támogatás</t>
  </si>
  <si>
    <t>01</t>
  </si>
  <si>
    <t>02</t>
  </si>
  <si>
    <t>03</t>
  </si>
  <si>
    <t>04</t>
  </si>
  <si>
    <t>05</t>
  </si>
  <si>
    <t>06</t>
  </si>
  <si>
    <t>07</t>
  </si>
  <si>
    <t>15</t>
  </si>
  <si>
    <t>16</t>
  </si>
  <si>
    <t>17</t>
  </si>
  <si>
    <t>Előző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</si>
  <si>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</si>
  <si>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</si>
  <si>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</si>
  <si>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</si>
  <si>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</si>
  <si>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</si>
  <si>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</si>
  <si>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</si>
  <si>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</si>
  <si>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</si>
  <si>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</si>
  <si>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</si>
  <si>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</si>
  <si>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</si>
  <si>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</si>
  <si>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</si>
  <si>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</si>
  <si>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</si>
  <si>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</si>
  <si>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</si>
  <si>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</si>
  <si>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</si>
  <si>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</si>
  <si>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</si>
  <si>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</si>
  <si>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</si>
  <si>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 Költségvetési évben esedékes követelések (=D/I/1+…+D/I/8)</t>
  </si>
  <si>
    <t>D/III/1 Adott előlegek (=D/III/1a+…+D/III/1f)</t>
  </si>
  <si>
    <t>D/III/1c - ebből: készletekre adott előlegek</t>
  </si>
  <si>
    <t>D/III/4 Forgótőke elszámolása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</si>
  <si>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</si>
  <si>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</si>
  <si>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</si>
  <si>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</si>
  <si>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</si>
  <si>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</si>
  <si>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</si>
  <si>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</si>
  <si>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</si>
  <si>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</si>
  <si>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</si>
  <si>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</si>
  <si>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</si>
  <si>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</si>
  <si>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</si>
  <si>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</si>
  <si>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</si>
  <si>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</si>
  <si>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</si>
  <si>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</si>
  <si>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Ssz.</t>
  </si>
  <si>
    <t>11. számú melléklet</t>
  </si>
  <si>
    <t>Maradványkimutatás</t>
  </si>
  <si>
    <t>Konszolidált</t>
  </si>
  <si>
    <t>Tárgyidőszak</t>
  </si>
  <si>
    <t>D/I/4c - ebből: költségvetési évben esedékes követelések ellátási díjakra</t>
  </si>
  <si>
    <t>G/V Eszközök értékhelyesbítésének forrása</t>
  </si>
  <si>
    <t>I) KINCSTÁRI SZÁMLAVEZETÉSSEL KAPCSOLATOS ELSZÁMOLÁSOK</t>
  </si>
  <si>
    <t>12. számú melléklet</t>
  </si>
  <si>
    <t>Mérleg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</si>
  <si>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</si>
  <si>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</si>
  <si>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</si>
  <si>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</si>
  <si>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</si>
  <si>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</si>
  <si>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</si>
  <si>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</si>
  <si>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</si>
  <si>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</si>
  <si>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</si>
  <si>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</si>
  <si>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</si>
  <si>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</si>
  <si>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</si>
  <si>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</si>
  <si>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</si>
  <si>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</si>
  <si>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</si>
  <si>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</si>
  <si>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</si>
  <si>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</si>
  <si>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</si>
  <si>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</si>
  <si>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</si>
  <si>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</si>
  <si>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</si>
  <si>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</si>
  <si>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</si>
  <si>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</si>
  <si>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</si>
  <si>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16.</t>
  </si>
  <si>
    <t>3. Tenyészállatok (18+19+20+21)</t>
  </si>
  <si>
    <t>17.</t>
  </si>
  <si>
    <t>3.1. Forgalomképtelen tenyészállatok</t>
  </si>
  <si>
    <t>18.</t>
  </si>
  <si>
    <t>3.2. Nemzetgazdasági szempontból kiemelt jelentőségű tenyészállatok</t>
  </si>
  <si>
    <t>19.</t>
  </si>
  <si>
    <t>3.3. Korlátozottan forgalomképes tenyészállatok</t>
  </si>
  <si>
    <t>20.</t>
  </si>
  <si>
    <t>3.4. Üzleti tenyészállatok</t>
  </si>
  <si>
    <t>21.</t>
  </si>
  <si>
    <t>4. Beruházások, felújítások (23+24+25+26)</t>
  </si>
  <si>
    <t>22.</t>
  </si>
  <si>
    <t>4.1. Forgalomképtelen beruházások, felújítások</t>
  </si>
  <si>
    <t>23.</t>
  </si>
  <si>
    <t>4.2. Nemzetgazdasági szempontból kiemelt jelentőségű beruházások, felújítások</t>
  </si>
  <si>
    <t>24.</t>
  </si>
  <si>
    <t>4.3. Korlátozottan forgalomképes beruházások, felújítások</t>
  </si>
  <si>
    <t>25.</t>
  </si>
  <si>
    <t>4.4. Üzleti beruházások, felújítások</t>
  </si>
  <si>
    <t>26.</t>
  </si>
  <si>
    <t>5. Tárgyi eszközök értékhelyesbítése (28+29+30+31)</t>
  </si>
  <si>
    <t>27.</t>
  </si>
  <si>
    <t>5.1. Forgalomképtelen tárgyi eszközök értékhelyesbítése</t>
  </si>
  <si>
    <t>28.</t>
  </si>
  <si>
    <t>5.2. Nemzetgazdasági szempontból kiemelt jelentőségű tárgyi eszközök 
       értékhelyesbítése</t>
  </si>
  <si>
    <t>29.</t>
  </si>
  <si>
    <t>5.3. Korlátozottan forgalomképes tárgyi eszközök értékhelyesbítése</t>
  </si>
  <si>
    <t>30.</t>
  </si>
  <si>
    <t>5.4. Üzleti tárgyi eszközök értékhelyesbítése</t>
  </si>
  <si>
    <t>31.</t>
  </si>
  <si>
    <t>III. Befektetett pénzügyi eszközök (33+38+43)</t>
  </si>
  <si>
    <t>32.</t>
  </si>
  <si>
    <t>1. Tartós részesedések (34+35+36+37)</t>
  </si>
  <si>
    <t>33.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</si>
  <si>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</si>
  <si>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</si>
  <si>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</si>
  <si>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</si>
  <si>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</si>
  <si>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</si>
  <si>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</si>
  <si>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</si>
  <si>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</si>
  <si>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</si>
  <si>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</si>
  <si>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</si>
  <si>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</si>
  <si>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</si>
  <si>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</si>
  <si>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</si>
  <si>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</si>
  <si>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</si>
  <si>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</si>
  <si>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</si>
  <si>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</si>
  <si>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</si>
  <si>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</si>
  <si>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</si>
  <si>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</si>
  <si>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</si>
  <si>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</si>
  <si>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</si>
  <si>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</si>
  <si>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</si>
  <si>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</si>
  <si>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</si>
  <si>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</si>
  <si>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</si>
  <si>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</si>
  <si>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</si>
  <si>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</si>
  <si>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</si>
  <si>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</si>
  <si>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</si>
  <si>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</si>
  <si>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</si>
  <si>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</si>
  <si>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</si>
  <si>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</si>
  <si>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</si>
  <si>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</si>
  <si>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</si>
  <si>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</si>
  <si>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</si>
  <si>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</si>
  <si>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</si>
  <si>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</si>
  <si>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</si>
  <si>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</si>
  <si>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</si>
  <si>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</si>
  <si>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</si>
  <si>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</si>
  <si>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</si>
  <si>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</si>
  <si>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</si>
  <si>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</si>
  <si>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</si>
  <si>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</si>
  <si>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</si>
  <si>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</si>
  <si>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</si>
  <si>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</si>
  <si>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</si>
  <si>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</si>
  <si>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</si>
  <si>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</si>
  <si>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</si>
  <si>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</si>
  <si>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</si>
  <si>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</si>
  <si>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</si>
  <si>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</si>
  <si>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</si>
  <si>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</si>
  <si>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J) PASSZÍV IDŐBELI ELHATÁROLÁSOK</t>
  </si>
  <si>
    <t>FORRÁSOK ÖSSZESEN  (07+11+12+13)</t>
  </si>
  <si>
    <t>Rábakecöli Vadgesztenye Egységes Óvoda-Bölcsöde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</si>
  <si>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</si>
  <si>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</si>
  <si>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</si>
  <si>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</si>
  <si>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</si>
  <si>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</si>
  <si>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</si>
  <si>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</si>
  <si>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</si>
  <si>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</si>
  <si>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</si>
  <si>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</si>
  <si>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</si>
  <si>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</si>
  <si>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</si>
  <si>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</si>
  <si>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</si>
  <si>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</si>
  <si>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</si>
  <si>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</si>
  <si>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</si>
  <si>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</si>
  <si>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</si>
  <si>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 xml:space="preserve">* A fennmaradó támogatás kiutalására a 2018. év során nem került sor, a megvalósításhoz szükséges  összeg az önkormányzat által megelőlegezésre került. </t>
  </si>
  <si>
    <t>Eredeti, mód., teljesítés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</si>
  <si>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2018. év</t>
  </si>
  <si>
    <t>VAGYONKIMUTATÁS   az érték nélkül nyilvántartott eszközökről                                                                                                                                           2018. év</t>
  </si>
  <si>
    <t>VAGYONKIMUTATÁS             az érték nélkül nyilvántartott eszközökről                                                                                                                                           2018. év</t>
  </si>
  <si>
    <t>Gazdasági Társaság</t>
  </si>
  <si>
    <t>Részesedések állománya</t>
  </si>
  <si>
    <t>Pannon-Víz Zrt.</t>
  </si>
  <si>
    <t>Beled COOP Kereskedelmi és Szolgáltató Rt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</si>
  <si>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</si>
  <si>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</si>
  <si>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</si>
  <si>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</si>
  <si>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</si>
  <si>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</si>
  <si>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>19. melléklet</t>
  </si>
  <si>
    <t>Rábakecöl Községi Önkormányat</t>
  </si>
  <si>
    <t>adósságot keletkeztető ügyleteiből eredő fizetési kötelezettség bemutatása</t>
  </si>
  <si>
    <t xml:space="preserve">Forintban </t>
  </si>
  <si>
    <t>Bevételi jogcímek</t>
  </si>
  <si>
    <t>Értékesítési és forgalmi adók</t>
  </si>
  <si>
    <t>Egyéb áruhasználati és szolgáltatási adók</t>
  </si>
  <si>
    <t>Tulajdonosi bevételek</t>
  </si>
  <si>
    <t>Kezességvállalással kapcsolatos megtérülés</t>
  </si>
  <si>
    <t>SAJÁT BEVÉTELEK ÖSSZESEN</t>
  </si>
  <si>
    <t>Saját bevételek 50 %-a</t>
  </si>
  <si>
    <t>Adósságot keletkeztető ügyletek értéke</t>
  </si>
  <si>
    <t>Hitel felvételből származó tőketartozás</t>
  </si>
  <si>
    <t>Hitelfelvétel</t>
  </si>
  <si>
    <t>Adósságot keletkeztető ügyletek összértéke</t>
  </si>
  <si>
    <t>Tárgyévi fizetési kötelezettség</t>
  </si>
  <si>
    <t>Tőkefizetési kötelezettség</t>
  </si>
  <si>
    <t>Kamatfizetési kötelezettség</t>
  </si>
  <si>
    <t>Egyéb fizetési kötelezettség (kezelési költség stb.)</t>
  </si>
  <si>
    <t>Tárgyévi fizetési kötelezettség összesen</t>
  </si>
  <si>
    <t>Magyarország gazdasági stabilitásáról szóló 2011. évi CXCIV. Törvény 10. (5) és (6) bekezdése szerinti tárgyévi fizetési kötelezettség</t>
  </si>
  <si>
    <t>Fizetési kötelezettséggel csökkentett saját bevétel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</si>
  <si>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</si>
  <si>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Részesedések 2018.12.31.-i állománya</t>
  </si>
  <si>
    <t>Pénzkészlet 2018. január 1-jén
ebből:</t>
  </si>
  <si>
    <t>Záró pénzkészlet 2018. december 31-én
ebből:</t>
  </si>
  <si>
    <t>2018. év előtti  ügyletből származó érték</t>
  </si>
  <si>
    <t>2018. évi ügyletből származó érték</t>
  </si>
  <si>
    <t>10. számú melléklet</t>
  </si>
  <si>
    <t xml:space="preserve"> 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</si>
  <si>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</si>
  <si>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</si>
  <si>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</si>
  <si>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</si>
  <si>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</si>
  <si>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</si>
  <si>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</si>
  <si>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</si>
  <si>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</si>
  <si>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 xml:space="preserve">2018. év </t>
  </si>
  <si>
    <t>Tornaterem külső felújítása és energetikai fejlesztése (2018-2019) *</t>
  </si>
  <si>
    <t>6/b. számú melléklet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</si>
</sst>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  <numFmt numFmtId="175" formatCode="0.0%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  <numFmt numFmtId="181" formatCode="#,###__;\-#,###__"/>
    <numFmt numFmtId="182" formatCode="#,###\ _F_t;\-#,###\ _F_t"/>
    <numFmt numFmtId="183" formatCode="#,###,_F_t;\-#,###,_F_t"/>
    <numFmt numFmtId="184" formatCode="#,###.00"/>
    <numFmt numFmtId="185" formatCode="#,###__"/>
  </numFmts>
  <fonts count="14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4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i/>
      <sz val="10"/>
      <name val="Arial CE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Wingdings"/>
      <family val="0"/>
    </font>
    <font>
      <sz val="9"/>
      <name val="Times New Roman CE"/>
      <family val="0"/>
    </font>
    <font>
      <b/>
      <sz val="14"/>
      <name val="Times New Roman CE"/>
      <family val="1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5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theme="6" tint="-0.24997000396251678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28" fillId="25" borderId="0" applyNumberFormat="0" applyBorder="0" applyAlignment="0" applyProtection="0"/>
    <xf numFmtId="0" fontId="128" fillId="26" borderId="0" applyNumberFormat="0" applyBorder="0" applyAlignment="0" applyProtection="0"/>
    <xf numFmtId="0" fontId="128" fillId="27" borderId="0" applyNumberFormat="0" applyBorder="0" applyAlignment="0" applyProtection="0"/>
    <xf numFmtId="0" fontId="128" fillId="28" borderId="0" applyNumberFormat="0" applyBorder="0" applyAlignment="0" applyProtection="0"/>
    <xf numFmtId="0" fontId="128" fillId="29" borderId="0" applyNumberFormat="0" applyBorder="0" applyAlignment="0" applyProtection="0"/>
    <xf numFmtId="0" fontId="128" fillId="30" borderId="0" applyNumberFormat="0" applyBorder="0" applyAlignment="0" applyProtection="0"/>
    <xf numFmtId="0" fontId="128" fillId="31" borderId="0" applyNumberFormat="0" applyBorder="0" applyAlignment="0" applyProtection="0"/>
    <xf numFmtId="0" fontId="128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39" borderId="0" applyNumberFormat="0" applyBorder="0" applyAlignment="0" applyProtection="0"/>
    <xf numFmtId="0" fontId="130" fillId="40" borderId="1" applyNumberFormat="0" applyAlignment="0" applyProtection="0"/>
    <xf numFmtId="0" fontId="4" fillId="41" borderId="2" applyNumberFormat="0" applyAlignment="0" applyProtection="0"/>
    <xf numFmtId="0" fontId="5" fillId="42" borderId="3" applyNumberFormat="0" applyAlignment="0" applyProtection="0"/>
    <xf numFmtId="0" fontId="131" fillId="0" borderId="0" applyNumberFormat="0" applyFill="0" applyBorder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4" fillId="0" borderId="0" applyNumberFormat="0" applyFill="0" applyBorder="0" applyAlignment="0" applyProtection="0"/>
    <xf numFmtId="0" fontId="135" fillId="43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11" applyNumberFormat="0" applyFill="0" applyAlignment="0" applyProtection="0"/>
    <xf numFmtId="0" fontId="11" fillId="23" borderId="2" applyNumberFormat="0" applyAlignment="0" applyProtection="0"/>
    <xf numFmtId="0" fontId="0" fillId="44" borderId="12" applyNumberFormat="0" applyFont="0" applyAlignment="0" applyProtection="0"/>
    <xf numFmtId="0" fontId="138" fillId="45" borderId="0" applyNumberFormat="0" applyBorder="0" applyAlignment="0" applyProtection="0"/>
    <xf numFmtId="0" fontId="139" fillId="46" borderId="13" applyNumberFormat="0" applyAlignment="0" applyProtection="0"/>
    <xf numFmtId="0" fontId="14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70" fillId="0" borderId="0">
      <alignment/>
      <protection/>
    </xf>
    <xf numFmtId="0" fontId="0" fillId="12" borderId="15" applyNumberFormat="0" applyAlignment="0" applyProtection="0"/>
    <xf numFmtId="0" fontId="17" fillId="41" borderId="16" applyNumberFormat="0" applyAlignment="0" applyProtection="0"/>
    <xf numFmtId="0" fontId="14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3" fillId="47" borderId="0" applyNumberFormat="0" applyBorder="0" applyAlignment="0" applyProtection="0"/>
    <xf numFmtId="0" fontId="144" fillId="48" borderId="0" applyNumberFormat="0" applyBorder="0" applyAlignment="0" applyProtection="0"/>
    <xf numFmtId="0" fontId="145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54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9" fontId="2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41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/>
    </xf>
    <xf numFmtId="49" fontId="24" fillId="0" borderId="25" xfId="0" applyNumberFormat="1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left"/>
    </xf>
    <xf numFmtId="49" fontId="24" fillId="0" borderId="28" xfId="0" applyNumberFormat="1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Border="1" applyAlignment="1">
      <alignment horizontal="left"/>
    </xf>
    <xf numFmtId="49" fontId="24" fillId="0" borderId="31" xfId="0" applyNumberFormat="1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Border="1" applyAlignment="1">
      <alignment horizontal="left"/>
    </xf>
    <xf numFmtId="49" fontId="24" fillId="0" borderId="34" xfId="0" applyNumberFormat="1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left"/>
    </xf>
    <xf numFmtId="49" fontId="24" fillId="0" borderId="37" xfId="0" applyNumberFormat="1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Border="1" applyAlignment="1">
      <alignment horizontal="righ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Border="1" applyAlignment="1">
      <alignment horizontal="right" vertical="center"/>
    </xf>
    <xf numFmtId="49" fontId="0" fillId="0" borderId="40" xfId="0" applyNumberFormat="1" applyBorder="1" applyAlignment="1">
      <alignment horizontal="left"/>
    </xf>
    <xf numFmtId="0" fontId="24" fillId="0" borderId="41" xfId="0" applyFont="1" applyBorder="1" applyAlignment="1">
      <alignment horizontal="left" vertical="center" wrapText="1"/>
    </xf>
    <xf numFmtId="3" fontId="24" fillId="0" borderId="42" xfId="0" applyNumberFormat="1" applyFont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11" applyNumberFormat="1" applyFont="1" applyAlignment="1">
      <alignment horizontal="left" vertical="center"/>
      <protection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3" fontId="25" fillId="0" borderId="38" xfId="0" applyNumberFormat="1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84" applyFont="1" applyBorder="1" applyAlignment="1">
      <alignment vertical="center" wrapText="1"/>
    </xf>
    <xf numFmtId="0" fontId="24" fillId="0" borderId="35" xfId="84" applyFont="1" applyBorder="1" applyAlignment="1">
      <alignment vertical="center" wrapText="1"/>
    </xf>
    <xf numFmtId="0" fontId="24" fillId="0" borderId="28" xfId="0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3" fontId="32" fillId="0" borderId="38" xfId="0" applyNumberFormat="1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 vertical="center" wrapText="1"/>
    </xf>
    <xf numFmtId="0" fontId="29" fillId="0" borderId="0" xfId="111" applyFont="1" applyAlignment="1">
      <alignment horizontal="center"/>
      <protection/>
    </xf>
    <xf numFmtId="3" fontId="25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164" fontId="27" fillId="0" borderId="50" xfId="111" applyNumberFormat="1" applyFont="1" applyBorder="1" applyAlignment="1">
      <alignment horizontal="left" vertical="center"/>
      <protection/>
    </xf>
    <xf numFmtId="0" fontId="16" fillId="0" borderId="0" xfId="111">
      <alignment/>
      <protection/>
    </xf>
    <xf numFmtId="3" fontId="33" fillId="0" borderId="0" xfId="111" applyNumberFormat="1" applyFont="1">
      <alignment/>
      <protection/>
    </xf>
    <xf numFmtId="164" fontId="33" fillId="0" borderId="0" xfId="111" applyNumberFormat="1" applyFont="1">
      <alignment/>
      <protection/>
    </xf>
    <xf numFmtId="10" fontId="24" fillId="0" borderId="0" xfId="0" applyNumberFormat="1" applyFont="1" applyAlignment="1">
      <alignment vertical="center"/>
    </xf>
    <xf numFmtId="0" fontId="34" fillId="0" borderId="23" xfId="111" applyFont="1" applyBorder="1" applyAlignment="1">
      <alignment horizontal="left" vertical="center" wrapText="1" indent="1"/>
      <protection/>
    </xf>
    <xf numFmtId="164" fontId="35" fillId="0" borderId="38" xfId="111" applyNumberFormat="1" applyFont="1" applyBorder="1" applyAlignment="1">
      <alignment horizontal="right" vertical="center" wrapText="1"/>
      <protection/>
    </xf>
    <xf numFmtId="0" fontId="36" fillId="0" borderId="0" xfId="111" applyFont="1">
      <alignment/>
      <protection/>
    </xf>
    <xf numFmtId="0" fontId="29" fillId="0" borderId="0" xfId="111" applyFont="1" applyAlignment="1">
      <alignment horizontal="center" wrapText="1"/>
      <protection/>
    </xf>
    <xf numFmtId="164" fontId="35" fillId="0" borderId="51" xfId="111" applyNumberFormat="1" applyFont="1" applyBorder="1" applyAlignment="1">
      <alignment horizontal="right" vertical="center" wrapText="1"/>
      <protection/>
    </xf>
    <xf numFmtId="164" fontId="35" fillId="0" borderId="52" xfId="111" applyNumberFormat="1" applyFont="1" applyBorder="1" applyAlignment="1">
      <alignment horizontal="right" vertical="center" wrapText="1"/>
      <protection/>
    </xf>
    <xf numFmtId="164" fontId="35" fillId="0" borderId="53" xfId="111" applyNumberFormat="1" applyFont="1" applyBorder="1" applyAlignment="1">
      <alignment horizontal="right" vertical="center" wrapText="1"/>
      <protection/>
    </xf>
    <xf numFmtId="3" fontId="35" fillId="0" borderId="52" xfId="111" applyNumberFormat="1" applyFont="1" applyBorder="1" applyAlignment="1">
      <alignment horizontal="right" vertical="center" wrapText="1"/>
      <protection/>
    </xf>
    <xf numFmtId="3" fontId="35" fillId="0" borderId="54" xfId="111" applyNumberFormat="1" applyFont="1" applyBorder="1" applyAlignment="1">
      <alignment horizontal="right" vertical="center" wrapText="1"/>
      <protection/>
    </xf>
    <xf numFmtId="0" fontId="35" fillId="0" borderId="55" xfId="111" applyFont="1" applyBorder="1" applyAlignment="1">
      <alignment horizontal="center"/>
      <protection/>
    </xf>
    <xf numFmtId="3" fontId="35" fillId="0" borderId="51" xfId="111" applyNumberFormat="1" applyFont="1" applyBorder="1">
      <alignment/>
      <protection/>
    </xf>
    <xf numFmtId="3" fontId="37" fillId="0" borderId="56" xfId="111" applyNumberFormat="1" applyFont="1" applyBorder="1">
      <alignment/>
      <protection/>
    </xf>
    <xf numFmtId="3" fontId="37" fillId="0" borderId="52" xfId="111" applyNumberFormat="1" applyFont="1" applyBorder="1">
      <alignment/>
      <protection/>
    </xf>
    <xf numFmtId="164" fontId="37" fillId="0" borderId="56" xfId="111" applyNumberFormat="1" applyFont="1" applyBorder="1">
      <alignment/>
      <protection/>
    </xf>
    <xf numFmtId="164" fontId="37" fillId="0" borderId="52" xfId="111" applyNumberFormat="1" applyFont="1" applyBorder="1">
      <alignment/>
      <protection/>
    </xf>
    <xf numFmtId="3" fontId="37" fillId="0" borderId="57" xfId="111" applyNumberFormat="1" applyFont="1" applyBorder="1">
      <alignment/>
      <protection/>
    </xf>
    <xf numFmtId="3" fontId="37" fillId="0" borderId="54" xfId="111" applyNumberFormat="1" applyFont="1" applyBorder="1">
      <alignment/>
      <protection/>
    </xf>
    <xf numFmtId="0" fontId="14" fillId="0" borderId="0" xfId="107" applyAlignment="1">
      <alignment vertical="center"/>
      <protection/>
    </xf>
    <xf numFmtId="3" fontId="14" fillId="0" borderId="0" xfId="107" applyNumberFormat="1" applyAlignment="1">
      <alignment vertical="center"/>
      <protection/>
    </xf>
    <xf numFmtId="49" fontId="25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3" fontId="25" fillId="0" borderId="58" xfId="0" applyNumberFormat="1" applyFont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16" fillId="0" borderId="0" xfId="0" applyNumberFormat="1" applyFont="1" applyAlignment="1">
      <alignment horizontal="left" vertical="center" wrapText="1"/>
    </xf>
    <xf numFmtId="164" fontId="16" fillId="0" borderId="0" xfId="0" applyNumberFormat="1" applyFont="1" applyAlignment="1">
      <alignment vertical="center" wrapText="1"/>
    </xf>
    <xf numFmtId="164" fontId="46" fillId="0" borderId="0" xfId="0" applyNumberFormat="1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right" vertical="top"/>
      <protection locked="0"/>
    </xf>
    <xf numFmtId="0" fontId="49" fillId="0" borderId="0" xfId="0" applyFont="1" applyAlignment="1" applyProtection="1">
      <alignment horizontal="right" vertical="top"/>
      <protection locked="0"/>
    </xf>
    <xf numFmtId="0" fontId="2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6" fillId="0" borderId="59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164" fontId="46" fillId="0" borderId="62" xfId="0" applyNumberFormat="1" applyFont="1" applyBorder="1" applyAlignment="1">
      <alignment horizontal="center" vertical="center" wrapText="1"/>
    </xf>
    <xf numFmtId="164" fontId="46" fillId="0" borderId="63" xfId="0" applyNumberFormat="1" applyFont="1" applyBorder="1" applyAlignment="1">
      <alignment horizontal="center" vertical="center" wrapText="1"/>
    </xf>
    <xf numFmtId="164" fontId="46" fillId="0" borderId="64" xfId="0" applyNumberFormat="1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left" vertical="center" wrapText="1" indent="1"/>
    </xf>
    <xf numFmtId="164" fontId="34" fillId="0" borderId="23" xfId="0" applyNumberFormat="1" applyFont="1" applyBorder="1" applyAlignment="1">
      <alignment horizontal="right" vertical="center" wrapText="1" indent="1"/>
    </xf>
    <xf numFmtId="164" fontId="34" fillId="0" borderId="38" xfId="0" applyNumberFormat="1" applyFont="1" applyBorder="1" applyAlignment="1">
      <alignment horizontal="right" vertical="center" wrapText="1" indent="1"/>
    </xf>
    <xf numFmtId="164" fontId="34" fillId="0" borderId="22" xfId="0" applyNumberFormat="1" applyFont="1" applyBorder="1" applyAlignment="1">
      <alignment horizontal="right" vertical="center" wrapText="1" indent="1"/>
    </xf>
    <xf numFmtId="0" fontId="38" fillId="0" borderId="0" xfId="0" applyFont="1" applyAlignment="1">
      <alignment vertical="center" wrapText="1"/>
    </xf>
    <xf numFmtId="0" fontId="34" fillId="0" borderId="65" xfId="0" applyFont="1" applyBorder="1" applyAlignment="1">
      <alignment horizontal="center" vertical="center" wrapText="1"/>
    </xf>
    <xf numFmtId="49" fontId="33" fillId="0" borderId="52" xfId="0" applyNumberFormat="1" applyFont="1" applyBorder="1" applyAlignment="1">
      <alignment horizontal="center" vertical="center" wrapText="1"/>
    </xf>
    <xf numFmtId="0" fontId="33" fillId="0" borderId="66" xfId="111" applyFont="1" applyBorder="1" applyAlignment="1">
      <alignment horizontal="left" vertical="center" wrapText="1" indent="1"/>
      <protection/>
    </xf>
    <xf numFmtId="164" fontId="33" fillId="0" borderId="65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Border="1" applyAlignment="1" applyProtection="1">
      <alignment horizontal="right" vertical="center" wrapText="1" indent="1"/>
      <protection locked="0"/>
    </xf>
    <xf numFmtId="0" fontId="37" fillId="0" borderId="0" xfId="0" applyFont="1" applyAlignment="1">
      <alignment vertical="center" wrapText="1"/>
    </xf>
    <xf numFmtId="0" fontId="33" fillId="0" borderId="67" xfId="111" applyFont="1" applyBorder="1" applyAlignment="1">
      <alignment horizontal="left" vertical="center" wrapText="1" indent="1"/>
      <protection/>
    </xf>
    <xf numFmtId="0" fontId="34" fillId="0" borderId="38" xfId="111" applyFont="1" applyBorder="1" applyAlignment="1">
      <alignment horizontal="left" vertical="center" wrapText="1" indent="1"/>
      <protection/>
    </xf>
    <xf numFmtId="0" fontId="34" fillId="0" borderId="61" xfId="111" applyFont="1" applyBorder="1" applyAlignment="1">
      <alignment horizontal="left" vertical="center" wrapText="1" indent="1"/>
      <protection/>
    </xf>
    <xf numFmtId="0" fontId="34" fillId="0" borderId="55" xfId="0" applyFont="1" applyBorder="1" applyAlignment="1">
      <alignment horizontal="center" vertical="center" wrapText="1"/>
    </xf>
    <xf numFmtId="49" fontId="33" fillId="0" borderId="51" xfId="0" applyNumberFormat="1" applyFont="1" applyBorder="1" applyAlignment="1">
      <alignment horizontal="center" vertical="center" wrapText="1"/>
    </xf>
    <xf numFmtId="0" fontId="33" fillId="0" borderId="68" xfId="111" applyFont="1" applyBorder="1" applyAlignment="1">
      <alignment horizontal="left" vertical="center" wrapText="1" indent="1"/>
      <protection/>
    </xf>
    <xf numFmtId="164" fontId="33" fillId="0" borderId="55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Border="1" applyAlignment="1" applyProtection="1">
      <alignment horizontal="right" vertical="center" wrapText="1" indent="1"/>
      <protection locked="0"/>
    </xf>
    <xf numFmtId="0" fontId="34" fillId="0" borderId="58" xfId="0" applyFont="1" applyBorder="1" applyAlignment="1">
      <alignment horizontal="center" vertical="center" wrapText="1"/>
    </xf>
    <xf numFmtId="49" fontId="33" fillId="0" borderId="44" xfId="0" applyNumberFormat="1" applyFont="1" applyBorder="1" applyAlignment="1">
      <alignment horizontal="center" vertical="center" wrapText="1"/>
    </xf>
    <xf numFmtId="0" fontId="33" fillId="0" borderId="70" xfId="111" applyFont="1" applyBorder="1" applyAlignment="1">
      <alignment horizontal="left" vertical="center" wrapText="1" indent="1"/>
      <protection/>
    </xf>
    <xf numFmtId="164" fontId="33" fillId="0" borderId="58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Border="1" applyAlignment="1" applyProtection="1">
      <alignment horizontal="right" vertical="center" wrapText="1" indent="1"/>
      <protection locked="0"/>
    </xf>
    <xf numFmtId="49" fontId="34" fillId="0" borderId="38" xfId="111" applyNumberFormat="1" applyFont="1" applyBorder="1" applyAlignment="1">
      <alignment horizontal="left" vertical="center" wrapText="1" indent="1"/>
      <protection/>
    </xf>
    <xf numFmtId="0" fontId="54" fillId="0" borderId="60" xfId="0" applyFont="1" applyBorder="1" applyAlignment="1">
      <alignment horizontal="center" vertical="center" wrapText="1"/>
    </xf>
    <xf numFmtId="0" fontId="34" fillId="0" borderId="59" xfId="111" applyFont="1" applyBorder="1" applyAlignment="1">
      <alignment horizontal="left" vertical="center" wrapText="1" indent="1"/>
      <protection/>
    </xf>
    <xf numFmtId="164" fontId="34" fillId="0" borderId="60" xfId="0" applyNumberFormat="1" applyFont="1" applyBorder="1" applyAlignment="1">
      <alignment horizontal="right" vertical="center" wrapText="1" indent="1"/>
    </xf>
    <xf numFmtId="164" fontId="34" fillId="0" borderId="49" xfId="0" applyNumberFormat="1" applyFont="1" applyBorder="1" applyAlignment="1">
      <alignment horizontal="right" vertical="center" wrapText="1" indent="1"/>
    </xf>
    <xf numFmtId="49" fontId="33" fillId="0" borderId="51" xfId="111" applyNumberFormat="1" applyFont="1" applyBorder="1" applyAlignment="1">
      <alignment horizontal="left" vertical="center" wrapText="1" indent="1"/>
      <protection/>
    </xf>
    <xf numFmtId="164" fontId="33" fillId="0" borderId="72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Border="1" applyAlignment="1" applyProtection="1">
      <alignment horizontal="right" vertical="center" wrapText="1" indent="1"/>
      <protection locked="0"/>
    </xf>
    <xf numFmtId="0" fontId="34" fillId="0" borderId="74" xfId="0" applyFont="1" applyBorder="1" applyAlignment="1">
      <alignment horizontal="center" vertical="center" wrapText="1"/>
    </xf>
    <xf numFmtId="49" fontId="33" fillId="0" borderId="63" xfId="111" applyNumberFormat="1" applyFont="1" applyBorder="1" applyAlignment="1">
      <alignment horizontal="left" vertical="center" wrapText="1" indent="1"/>
      <protection/>
    </xf>
    <xf numFmtId="164" fontId="33" fillId="0" borderId="74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Border="1" applyAlignment="1" applyProtection="1">
      <alignment horizontal="right" vertical="center" wrapText="1" indent="1"/>
      <protection locked="0"/>
    </xf>
    <xf numFmtId="0" fontId="37" fillId="0" borderId="76" xfId="0" applyFont="1" applyBorder="1" applyAlignment="1">
      <alignment vertical="center" wrapText="1"/>
    </xf>
    <xf numFmtId="49" fontId="33" fillId="0" borderId="54" xfId="111" applyNumberFormat="1" applyFont="1" applyBorder="1" applyAlignment="1">
      <alignment horizontal="left" vertical="center" wrapText="1" indent="1"/>
      <protection/>
    </xf>
    <xf numFmtId="0" fontId="33" fillId="0" borderId="77" xfId="111" applyFont="1" applyBorder="1" applyAlignment="1">
      <alignment horizontal="left" vertical="center" wrapText="1" indent="1"/>
      <protection/>
    </xf>
    <xf numFmtId="164" fontId="33" fillId="0" borderId="76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Border="1" applyAlignment="1" applyProtection="1">
      <alignment horizontal="right" vertical="center" wrapText="1" indent="1"/>
      <protection locked="0"/>
    </xf>
    <xf numFmtId="0" fontId="54" fillId="0" borderId="23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wrapText="1"/>
    </xf>
    <xf numFmtId="0" fontId="34" fillId="0" borderId="20" xfId="111" applyFont="1" applyBorder="1" applyAlignment="1">
      <alignment horizontal="left" vertical="center" wrapText="1" indent="1"/>
      <protection/>
    </xf>
    <xf numFmtId="0" fontId="49" fillId="0" borderId="78" xfId="0" applyFont="1" applyBorder="1" applyAlignment="1">
      <alignment horizontal="center" wrapText="1"/>
    </xf>
    <xf numFmtId="0" fontId="47" fillId="0" borderId="20" xfId="0" applyFont="1" applyBorder="1" applyAlignment="1">
      <alignment horizontal="left" wrapText="1" indent="1"/>
    </xf>
    <xf numFmtId="0" fontId="3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"/>
    </xf>
    <xf numFmtId="164" fontId="34" fillId="0" borderId="0" xfId="0" applyNumberFormat="1" applyFont="1" applyAlignment="1">
      <alignment horizontal="right" vertical="center" wrapText="1" indent="1"/>
    </xf>
    <xf numFmtId="0" fontId="56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 inden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49" fontId="33" fillId="0" borderId="44" xfId="111" applyNumberFormat="1" applyFont="1" applyBorder="1" applyAlignment="1">
      <alignment horizontal="left" vertical="center" wrapText="1" indent="1"/>
      <protection/>
    </xf>
    <xf numFmtId="49" fontId="33" fillId="0" borderId="52" xfId="111" applyNumberFormat="1" applyFont="1" applyBorder="1" applyAlignment="1">
      <alignment horizontal="left" vertical="center" wrapText="1" indent="1"/>
      <protection/>
    </xf>
    <xf numFmtId="0" fontId="33" fillId="0" borderId="38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left" vertical="center" wrapText="1" indent="1"/>
    </xf>
    <xf numFmtId="0" fontId="0" fillId="0" borderId="74" xfId="0" applyBorder="1" applyAlignment="1">
      <alignment horizontal="right" vertical="center" wrapText="1" indent="1"/>
    </xf>
    <xf numFmtId="0" fontId="0" fillId="0" borderId="63" xfId="0" applyBorder="1" applyAlignment="1">
      <alignment horizontal="right" vertical="center" wrapText="1" indent="1"/>
    </xf>
    <xf numFmtId="0" fontId="0" fillId="0" borderId="75" xfId="0" applyBorder="1" applyAlignment="1">
      <alignment horizontal="right" vertical="center" wrapText="1" indent="1"/>
    </xf>
    <xf numFmtId="0" fontId="51" fillId="0" borderId="23" xfId="0" applyFont="1" applyBorder="1" applyAlignment="1">
      <alignment horizontal="left" vertical="center"/>
    </xf>
    <xf numFmtId="0" fontId="57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3" fontId="51" fillId="0" borderId="23" xfId="0" applyNumberFormat="1" applyFont="1" applyBorder="1" applyAlignment="1" applyProtection="1">
      <alignment horizontal="right" vertical="center" wrapText="1" indent="1"/>
      <protection locked="0"/>
    </xf>
    <xf numFmtId="3" fontId="51" fillId="0" borderId="38" xfId="0" applyNumberFormat="1" applyFont="1" applyBorder="1" applyAlignment="1" applyProtection="1">
      <alignment horizontal="right" vertical="center" wrapText="1" indent="1"/>
      <protection locked="0"/>
    </xf>
    <xf numFmtId="3" fontId="51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15" fillId="0" borderId="0" xfId="109" applyAlignment="1">
      <alignment horizontal="left" vertical="center" wrapText="1"/>
      <protection/>
    </xf>
    <xf numFmtId="0" fontId="59" fillId="0" borderId="0" xfId="109" applyFont="1" applyAlignment="1">
      <alignment horizontal="center" vertical="center"/>
      <protection/>
    </xf>
    <xf numFmtId="0" fontId="61" fillId="0" borderId="0" xfId="109" applyFont="1" applyAlignment="1">
      <alignment horizontal="center" vertical="center"/>
      <protection/>
    </xf>
    <xf numFmtId="0" fontId="62" fillId="0" borderId="54" xfId="109" applyFont="1" applyBorder="1" applyAlignment="1">
      <alignment horizontal="center" vertical="center" wrapText="1"/>
      <protection/>
    </xf>
    <xf numFmtId="0" fontId="62" fillId="0" borderId="42" xfId="109" applyFont="1" applyBorder="1" applyAlignment="1">
      <alignment horizontal="center" vertical="center" wrapText="1"/>
      <protection/>
    </xf>
    <xf numFmtId="0" fontId="62" fillId="0" borderId="76" xfId="109" applyFont="1" applyBorder="1" applyAlignment="1">
      <alignment horizontal="center" vertical="center" wrapText="1"/>
      <protection/>
    </xf>
    <xf numFmtId="0" fontId="59" fillId="0" borderId="76" xfId="109" applyFont="1" applyBorder="1" applyAlignment="1">
      <alignment horizontal="center" vertical="center"/>
      <protection/>
    </xf>
    <xf numFmtId="0" fontId="59" fillId="0" borderId="42" xfId="109" applyFont="1" applyBorder="1" applyAlignment="1">
      <alignment horizontal="center" vertical="center"/>
      <protection/>
    </xf>
    <xf numFmtId="0" fontId="64" fillId="0" borderId="65" xfId="109" applyFont="1" applyBorder="1" applyAlignment="1">
      <alignment horizontal="left" vertical="center" wrapText="1"/>
      <protection/>
    </xf>
    <xf numFmtId="2" fontId="65" fillId="0" borderId="52" xfId="109" applyNumberFormat="1" applyFont="1" applyBorder="1" applyAlignment="1">
      <alignment horizontal="center" vertical="center" wrapText="1"/>
      <protection/>
    </xf>
    <xf numFmtId="2" fontId="65" fillId="0" borderId="44" xfId="109" applyNumberFormat="1" applyFont="1" applyBorder="1" applyAlignment="1">
      <alignment horizontal="center" vertical="center" wrapText="1"/>
      <protection/>
    </xf>
    <xf numFmtId="1" fontId="65" fillId="0" borderId="39" xfId="109" applyNumberFormat="1" applyFont="1" applyBorder="1" applyAlignment="1">
      <alignment horizontal="center" vertical="center" wrapText="1"/>
      <protection/>
    </xf>
    <xf numFmtId="2" fontId="65" fillId="0" borderId="65" xfId="109" applyNumberFormat="1" applyFont="1" applyBorder="1" applyAlignment="1">
      <alignment horizontal="center" vertical="center" wrapText="1"/>
      <protection/>
    </xf>
    <xf numFmtId="1" fontId="65" fillId="0" borderId="69" xfId="109" applyNumberFormat="1" applyFont="1" applyBorder="1" applyAlignment="1">
      <alignment horizontal="center" vertical="center" wrapText="1"/>
      <protection/>
    </xf>
    <xf numFmtId="10" fontId="59" fillId="0" borderId="73" xfId="109" applyNumberFormat="1" applyFont="1" applyBorder="1" applyAlignment="1">
      <alignment horizontal="center" vertical="center"/>
      <protection/>
    </xf>
    <xf numFmtId="10" fontId="59" fillId="0" borderId="39" xfId="109" applyNumberFormat="1" applyFont="1" applyBorder="1" applyAlignment="1">
      <alignment horizontal="center" vertical="center"/>
      <protection/>
    </xf>
    <xf numFmtId="0" fontId="64" fillId="0" borderId="30" xfId="0" applyFont="1" applyBorder="1" applyAlignment="1">
      <alignment vertical="center" wrapText="1"/>
    </xf>
    <xf numFmtId="2" fontId="65" fillId="0" borderId="54" xfId="109" applyNumberFormat="1" applyFont="1" applyBorder="1" applyAlignment="1">
      <alignment horizontal="center" vertical="center" wrapText="1"/>
      <protection/>
    </xf>
    <xf numFmtId="10" fontId="59" fillId="0" borderId="79" xfId="109" applyNumberFormat="1" applyFont="1" applyBorder="1" applyAlignment="1">
      <alignment horizontal="center" vertical="center"/>
      <protection/>
    </xf>
    <xf numFmtId="0" fontId="45" fillId="0" borderId="58" xfId="109" applyFont="1" applyBorder="1" applyAlignment="1">
      <alignment horizontal="left" vertical="center" wrapText="1"/>
      <protection/>
    </xf>
    <xf numFmtId="2" fontId="66" fillId="0" borderId="53" xfId="109" applyNumberFormat="1" applyFont="1" applyBorder="1" applyAlignment="1">
      <alignment horizontal="center" vertical="center"/>
      <protection/>
    </xf>
    <xf numFmtId="10" fontId="59" fillId="0" borderId="22" xfId="109" applyNumberFormat="1" applyFont="1" applyBorder="1" applyAlignment="1">
      <alignment horizontal="center" vertical="center"/>
      <protection/>
    </xf>
    <xf numFmtId="10" fontId="59" fillId="0" borderId="0" xfId="109" applyNumberFormat="1" applyFont="1" applyAlignment="1">
      <alignment horizontal="center" vertical="center"/>
      <protection/>
    </xf>
    <xf numFmtId="1" fontId="66" fillId="0" borderId="19" xfId="109" applyNumberFormat="1" applyFont="1" applyBorder="1" applyAlignment="1">
      <alignment horizontal="center" vertical="center" wrapText="1"/>
      <protection/>
    </xf>
    <xf numFmtId="1" fontId="66" fillId="0" borderId="20" xfId="109" applyNumberFormat="1" applyFont="1" applyBorder="1" applyAlignment="1">
      <alignment horizontal="center" vertical="center" wrapText="1"/>
      <protection/>
    </xf>
    <xf numFmtId="1" fontId="66" fillId="0" borderId="80" xfId="109" applyNumberFormat="1" applyFont="1" applyBorder="1" applyAlignment="1">
      <alignment horizontal="center" vertical="center" wrapText="1"/>
      <protection/>
    </xf>
    <xf numFmtId="0" fontId="14" fillId="0" borderId="0" xfId="107">
      <alignment/>
      <protection/>
    </xf>
    <xf numFmtId="3" fontId="14" fillId="0" borderId="0" xfId="107" applyNumberFormat="1">
      <alignment/>
      <protection/>
    </xf>
    <xf numFmtId="166" fontId="68" fillId="0" borderId="43" xfId="110" applyNumberFormat="1" applyFont="1" applyBorder="1" applyAlignment="1">
      <alignment horizontal="center" vertical="center" wrapText="1"/>
      <protection/>
    </xf>
    <xf numFmtId="3" fontId="69" fillId="0" borderId="21" xfId="110" applyNumberFormat="1" applyFont="1" applyBorder="1" applyAlignment="1">
      <alignment horizontal="right" vertical="center" wrapText="1"/>
      <protection/>
    </xf>
    <xf numFmtId="0" fontId="69" fillId="0" borderId="21" xfId="110" applyFont="1" applyBorder="1" applyAlignment="1">
      <alignment horizontal="left"/>
      <protection/>
    </xf>
    <xf numFmtId="0" fontId="73" fillId="0" borderId="0" xfId="107" applyFont="1" applyAlignment="1">
      <alignment vertical="center"/>
      <protection/>
    </xf>
    <xf numFmtId="0" fontId="74" fillId="13" borderId="36" xfId="107" applyFont="1" applyFill="1" applyBorder="1" applyAlignment="1">
      <alignment horizontal="center" vertical="center" wrapText="1"/>
      <protection/>
    </xf>
    <xf numFmtId="0" fontId="74" fillId="13" borderId="63" xfId="107" applyFont="1" applyFill="1" applyBorder="1" applyAlignment="1">
      <alignment horizontal="center" vertical="center" wrapText="1"/>
      <protection/>
    </xf>
    <xf numFmtId="3" fontId="74" fillId="13" borderId="81" xfId="107" applyNumberFormat="1" applyFont="1" applyFill="1" applyBorder="1" applyAlignment="1">
      <alignment horizontal="center" vertical="center" wrapText="1"/>
      <protection/>
    </xf>
    <xf numFmtId="3" fontId="74" fillId="13" borderId="82" xfId="107" applyNumberFormat="1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vertical="center" wrapText="1"/>
    </xf>
    <xf numFmtId="0" fontId="69" fillId="0" borderId="52" xfId="0" applyFont="1" applyBorder="1" applyAlignment="1">
      <alignment horizontal="center" vertical="center" wrapText="1"/>
    </xf>
    <xf numFmtId="3" fontId="75" fillId="0" borderId="52" xfId="107" applyNumberFormat="1" applyFont="1" applyBorder="1" applyAlignment="1">
      <alignment horizontal="right" vertical="center" wrapText="1"/>
      <protection/>
    </xf>
    <xf numFmtId="10" fontId="75" fillId="0" borderId="44" xfId="107" applyNumberFormat="1" applyFont="1" applyBorder="1" applyAlignment="1">
      <alignment horizontal="right" vertical="center" wrapText="1"/>
      <protection/>
    </xf>
    <xf numFmtId="10" fontId="75" fillId="0" borderId="52" xfId="107" applyNumberFormat="1" applyFont="1" applyBorder="1" applyAlignment="1">
      <alignment horizontal="right" vertical="center" wrapText="1"/>
      <protection/>
    </xf>
    <xf numFmtId="3" fontId="75" fillId="0" borderId="52" xfId="107" applyNumberFormat="1" applyFont="1" applyBorder="1" applyAlignment="1">
      <alignment vertical="center"/>
      <protection/>
    </xf>
    <xf numFmtId="3" fontId="74" fillId="13" borderId="83" xfId="107" applyNumberFormat="1" applyFont="1" applyFill="1" applyBorder="1" applyAlignment="1">
      <alignment horizontal="center" vertical="center" wrapText="1"/>
      <protection/>
    </xf>
    <xf numFmtId="3" fontId="74" fillId="13" borderId="84" xfId="107" applyNumberFormat="1" applyFont="1" applyFill="1" applyBorder="1" applyAlignment="1">
      <alignment horizontal="center" vertical="center" wrapText="1"/>
      <protection/>
    </xf>
    <xf numFmtId="10" fontId="45" fillId="13" borderId="84" xfId="107" applyNumberFormat="1" applyFont="1" applyFill="1" applyBorder="1" applyAlignment="1">
      <alignment horizontal="right" vertical="center" wrapText="1"/>
      <protection/>
    </xf>
    <xf numFmtId="3" fontId="74" fillId="0" borderId="0" xfId="107" applyNumberFormat="1" applyFont="1" applyAlignment="1">
      <alignment horizontal="center" vertical="center" wrapText="1"/>
      <protection/>
    </xf>
    <xf numFmtId="3" fontId="45" fillId="0" borderId="0" xfId="107" applyNumberFormat="1" applyFont="1" applyAlignment="1">
      <alignment horizontal="right" vertical="center" wrapText="1"/>
      <protection/>
    </xf>
    <xf numFmtId="0" fontId="74" fillId="13" borderId="85" xfId="107" applyFont="1" applyFill="1" applyBorder="1" applyAlignment="1">
      <alignment horizontal="center" vertical="center" wrapText="1"/>
      <protection/>
    </xf>
    <xf numFmtId="0" fontId="74" fillId="13" borderId="82" xfId="107" applyFont="1" applyFill="1" applyBorder="1" applyAlignment="1">
      <alignment horizontal="center" vertical="center" wrapText="1"/>
      <protection/>
    </xf>
    <xf numFmtId="0" fontId="69" fillId="0" borderId="33" xfId="0" applyFont="1" applyBorder="1" applyAlignment="1">
      <alignment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86" xfId="0" applyFont="1" applyBorder="1" applyAlignment="1">
      <alignment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40" xfId="0" applyFont="1" applyBorder="1" applyAlignment="1">
      <alignment vertical="center" wrapText="1"/>
    </xf>
    <xf numFmtId="0" fontId="69" fillId="0" borderId="63" xfId="0" applyFont="1" applyBorder="1" applyAlignment="1">
      <alignment horizontal="center" vertical="center" wrapText="1"/>
    </xf>
    <xf numFmtId="0" fontId="72" fillId="0" borderId="0" xfId="107" applyFont="1" applyAlignment="1">
      <alignment vertical="center"/>
      <protection/>
    </xf>
    <xf numFmtId="0" fontId="14" fillId="0" borderId="0" xfId="107" applyAlignment="1">
      <alignment wrapText="1"/>
      <protection/>
    </xf>
    <xf numFmtId="0" fontId="72" fillId="49" borderId="52" xfId="107" applyFont="1" applyFill="1" applyBorder="1" applyAlignment="1">
      <alignment horizontal="center" vertical="center"/>
      <protection/>
    </xf>
    <xf numFmtId="0" fontId="72" fillId="49" borderId="72" xfId="107" applyFont="1" applyFill="1" applyBorder="1" applyAlignment="1">
      <alignment horizontal="center" vertical="center" wrapText="1"/>
      <protection/>
    </xf>
    <xf numFmtId="0" fontId="72" fillId="49" borderId="44" xfId="107" applyFont="1" applyFill="1" applyBorder="1" applyAlignment="1">
      <alignment horizontal="center" vertical="center"/>
      <protection/>
    </xf>
    <xf numFmtId="0" fontId="79" fillId="0" borderId="65" xfId="107" applyFont="1" applyBorder="1" applyAlignment="1">
      <alignment wrapText="1"/>
      <protection/>
    </xf>
    <xf numFmtId="3" fontId="80" fillId="0" borderId="52" xfId="107" applyNumberFormat="1" applyFont="1" applyBorder="1" applyAlignment="1">
      <alignment horizontal="right"/>
      <protection/>
    </xf>
    <xf numFmtId="0" fontId="80" fillId="0" borderId="52" xfId="107" applyFont="1" applyBorder="1" applyAlignment="1">
      <alignment horizontal="right"/>
      <protection/>
    </xf>
    <xf numFmtId="3" fontId="80" fillId="0" borderId="39" xfId="107" applyNumberFormat="1" applyFont="1" applyBorder="1" applyAlignment="1">
      <alignment horizontal="right"/>
      <protection/>
    </xf>
    <xf numFmtId="0" fontId="79" fillId="0" borderId="62" xfId="107" applyFont="1" applyBorder="1" applyAlignment="1">
      <alignment wrapText="1"/>
      <protection/>
    </xf>
    <xf numFmtId="0" fontId="79" fillId="0" borderId="0" xfId="107" applyFont="1" applyAlignment="1">
      <alignment wrapText="1"/>
      <protection/>
    </xf>
    <xf numFmtId="0" fontId="79" fillId="0" borderId="0" xfId="107" applyFont="1">
      <alignment/>
      <protection/>
    </xf>
    <xf numFmtId="3" fontId="79" fillId="0" borderId="0" xfId="107" applyNumberFormat="1" applyFont="1">
      <alignment/>
      <protection/>
    </xf>
    <xf numFmtId="3" fontId="80" fillId="0" borderId="46" xfId="107" applyNumberFormat="1" applyFont="1" applyBorder="1" applyAlignment="1">
      <alignment horizontal="right"/>
      <protection/>
    </xf>
    <xf numFmtId="0" fontId="42" fillId="0" borderId="0" xfId="107" applyFont="1">
      <alignment/>
      <protection/>
    </xf>
    <xf numFmtId="0" fontId="14" fillId="0" borderId="0" xfId="107" applyAlignment="1">
      <alignment horizontal="center" vertical="center"/>
      <protection/>
    </xf>
    <xf numFmtId="0" fontId="72" fillId="0" borderId="0" xfId="107" applyFont="1" applyAlignment="1">
      <alignment horizontal="center" vertical="center"/>
      <protection/>
    </xf>
    <xf numFmtId="0" fontId="14" fillId="0" borderId="50" xfId="107" applyBorder="1" applyAlignment="1">
      <alignment vertical="center"/>
      <protection/>
    </xf>
    <xf numFmtId="3" fontId="72" fillId="0" borderId="0" xfId="107" applyNumberFormat="1" applyFont="1" applyAlignment="1">
      <alignment horizontal="center" vertical="center"/>
      <protection/>
    </xf>
    <xf numFmtId="0" fontId="82" fillId="41" borderId="23" xfId="107" applyFont="1" applyFill="1" applyBorder="1" applyAlignment="1">
      <alignment horizontal="center" vertical="center"/>
      <protection/>
    </xf>
    <xf numFmtId="0" fontId="82" fillId="41" borderId="78" xfId="107" applyFont="1" applyFill="1" applyBorder="1" applyAlignment="1">
      <alignment horizontal="center" vertical="center"/>
      <protection/>
    </xf>
    <xf numFmtId="0" fontId="82" fillId="41" borderId="61" xfId="107" applyFont="1" applyFill="1" applyBorder="1" applyAlignment="1">
      <alignment horizontal="center" vertical="center"/>
      <protection/>
    </xf>
    <xf numFmtId="0" fontId="42" fillId="0" borderId="0" xfId="107" applyFont="1" applyAlignment="1">
      <alignment vertical="center"/>
      <protection/>
    </xf>
    <xf numFmtId="0" fontId="82" fillId="41" borderId="74" xfId="107" applyFont="1" applyFill="1" applyBorder="1" applyAlignment="1">
      <alignment horizontal="center" vertical="center"/>
      <protection/>
    </xf>
    <xf numFmtId="0" fontId="82" fillId="41" borderId="87" xfId="107" applyFont="1" applyFill="1" applyBorder="1" applyAlignment="1">
      <alignment horizontal="center" vertical="center"/>
      <protection/>
    </xf>
    <xf numFmtId="0" fontId="82" fillId="41" borderId="63" xfId="107" applyFont="1" applyFill="1" applyBorder="1" applyAlignment="1">
      <alignment horizontal="center" vertical="center"/>
      <protection/>
    </xf>
    <xf numFmtId="0" fontId="82" fillId="41" borderId="88" xfId="107" applyFont="1" applyFill="1" applyBorder="1" applyAlignment="1">
      <alignment horizontal="center" vertical="center"/>
      <protection/>
    </xf>
    <xf numFmtId="0" fontId="14" fillId="0" borderId="65" xfId="107" applyBorder="1" applyAlignment="1">
      <alignment horizontal="center" vertical="center"/>
      <protection/>
    </xf>
    <xf numFmtId="0" fontId="14" fillId="0" borderId="56" xfId="107" applyBorder="1" applyAlignment="1">
      <alignment horizontal="center" vertical="center"/>
      <protection/>
    </xf>
    <xf numFmtId="0" fontId="78" fillId="0" borderId="52" xfId="0" applyFont="1" applyBorder="1" applyAlignment="1">
      <alignment vertical="center" wrapText="1"/>
    </xf>
    <xf numFmtId="0" fontId="78" fillId="0" borderId="67" xfId="0" applyFont="1" applyBorder="1" applyAlignment="1">
      <alignment horizontal="center" vertical="center"/>
    </xf>
    <xf numFmtId="3" fontId="79" fillId="0" borderId="39" xfId="107" applyNumberFormat="1" applyFont="1" applyBorder="1" applyAlignment="1">
      <alignment vertical="center"/>
      <protection/>
    </xf>
    <xf numFmtId="3" fontId="79" fillId="0" borderId="52" xfId="107" applyNumberFormat="1" applyFont="1" applyBorder="1" applyAlignment="1">
      <alignment vertical="center"/>
      <protection/>
    </xf>
    <xf numFmtId="10" fontId="79" fillId="0" borderId="39" xfId="107" applyNumberFormat="1" applyFont="1" applyBorder="1" applyAlignment="1">
      <alignment vertical="center"/>
      <protection/>
    </xf>
    <xf numFmtId="3" fontId="79" fillId="0" borderId="39" xfId="0" applyNumberFormat="1" applyFont="1" applyBorder="1" applyAlignment="1">
      <alignment horizontal="right" vertical="center"/>
    </xf>
    <xf numFmtId="0" fontId="78" fillId="0" borderId="67" xfId="107" applyFont="1" applyBorder="1" applyAlignment="1">
      <alignment horizontal="center" vertical="center"/>
      <protection/>
    </xf>
    <xf numFmtId="3" fontId="79" fillId="0" borderId="39" xfId="107" applyNumberFormat="1" applyFont="1" applyBorder="1" applyAlignment="1">
      <alignment horizontal="right" vertical="center"/>
      <protection/>
    </xf>
    <xf numFmtId="0" fontId="75" fillId="0" borderId="52" xfId="107" applyFont="1" applyBorder="1" applyAlignment="1">
      <alignment vertical="center"/>
      <protection/>
    </xf>
    <xf numFmtId="0" fontId="14" fillId="0" borderId="87" xfId="107" applyBorder="1" applyAlignment="1">
      <alignment horizontal="center" vertical="center"/>
      <protection/>
    </xf>
    <xf numFmtId="0" fontId="82" fillId="0" borderId="61" xfId="107" applyFont="1" applyBorder="1" applyAlignment="1">
      <alignment horizontal="center" vertical="center"/>
      <protection/>
    </xf>
    <xf numFmtId="3" fontId="72" fillId="0" borderId="22" xfId="107" applyNumberFormat="1" applyFont="1" applyBorder="1" applyAlignment="1">
      <alignment horizontal="right" vertical="center"/>
      <protection/>
    </xf>
    <xf numFmtId="0" fontId="82" fillId="0" borderId="0" xfId="107" applyFont="1" applyAlignment="1">
      <alignment horizontal="center" vertical="center"/>
      <protection/>
    </xf>
    <xf numFmtId="3" fontId="72" fillId="0" borderId="0" xfId="107" applyNumberFormat="1" applyFont="1" applyAlignment="1">
      <alignment horizontal="right" vertical="center"/>
      <protection/>
    </xf>
    <xf numFmtId="3" fontId="14" fillId="0" borderId="0" xfId="107" applyNumberFormat="1" applyAlignment="1">
      <alignment horizontal="right" vertical="center"/>
      <protection/>
    </xf>
    <xf numFmtId="0" fontId="82" fillId="41" borderId="60" xfId="107" applyFont="1" applyFill="1" applyBorder="1" applyAlignment="1">
      <alignment horizontal="center" vertical="center"/>
      <protection/>
    </xf>
    <xf numFmtId="0" fontId="82" fillId="41" borderId="89" xfId="107" applyFont="1" applyFill="1" applyBorder="1" applyAlignment="1">
      <alignment horizontal="center" vertical="center"/>
      <protection/>
    </xf>
    <xf numFmtId="0" fontId="82" fillId="41" borderId="43" xfId="107" applyFont="1" applyFill="1" applyBorder="1" applyAlignment="1">
      <alignment horizontal="center" vertical="center"/>
      <protection/>
    </xf>
    <xf numFmtId="0" fontId="14" fillId="0" borderId="55" xfId="107" applyBorder="1" applyAlignment="1">
      <alignment horizontal="center" vertical="center"/>
      <protection/>
    </xf>
    <xf numFmtId="0" fontId="14" fillId="0" borderId="90" xfId="107" applyBorder="1" applyAlignment="1">
      <alignment horizontal="center" vertical="center"/>
      <protection/>
    </xf>
    <xf numFmtId="0" fontId="14" fillId="0" borderId="72" xfId="107" applyBorder="1" applyAlignment="1">
      <alignment horizontal="center" vertical="center"/>
      <protection/>
    </xf>
    <xf numFmtId="0" fontId="14" fillId="0" borderId="91" xfId="107" applyBorder="1" applyAlignment="1">
      <alignment horizontal="center" vertical="center"/>
      <protection/>
    </xf>
    <xf numFmtId="0" fontId="78" fillId="0" borderId="34" xfId="0" applyFont="1" applyBorder="1" applyAlignment="1">
      <alignment horizontal="center" vertical="center"/>
    </xf>
    <xf numFmtId="0" fontId="78" fillId="0" borderId="92" xfId="0" applyFont="1" applyBorder="1" applyAlignment="1">
      <alignment horizontal="center" vertical="center"/>
    </xf>
    <xf numFmtId="0" fontId="78" fillId="0" borderId="93" xfId="0" applyFont="1" applyBorder="1" applyAlignment="1">
      <alignment vertical="center"/>
    </xf>
    <xf numFmtId="0" fontId="1" fillId="0" borderId="0" xfId="105">
      <alignment/>
      <protection/>
    </xf>
    <xf numFmtId="0" fontId="1" fillId="0" borderId="0" xfId="105" applyAlignment="1">
      <alignment wrapText="1"/>
      <protection/>
    </xf>
    <xf numFmtId="0" fontId="47" fillId="0" borderId="19" xfId="105" applyFont="1" applyBorder="1" applyAlignment="1">
      <alignment horizontal="center" vertical="center" wrapText="1"/>
      <protection/>
    </xf>
    <xf numFmtId="0" fontId="47" fillId="0" borderId="38" xfId="105" applyFont="1" applyBorder="1" applyAlignment="1">
      <alignment horizontal="center" vertical="center" wrapText="1"/>
      <protection/>
    </xf>
    <xf numFmtId="0" fontId="19" fillId="0" borderId="65" xfId="105" applyFont="1" applyBorder="1">
      <alignment/>
      <protection/>
    </xf>
    <xf numFmtId="3" fontId="19" fillId="0" borderId="44" xfId="105" applyNumberFormat="1" applyFont="1" applyBorder="1" applyAlignment="1">
      <alignment horizontal="right"/>
      <protection/>
    </xf>
    <xf numFmtId="3" fontId="19" fillId="0" borderId="73" xfId="105" applyNumberFormat="1" applyFont="1" applyBorder="1" applyAlignment="1">
      <alignment horizontal="right"/>
      <protection/>
    </xf>
    <xf numFmtId="0" fontId="56" fillId="0" borderId="0" xfId="105" applyFont="1" applyAlignment="1">
      <alignment vertical="center"/>
      <protection/>
    </xf>
    <xf numFmtId="0" fontId="1" fillId="0" borderId="65" xfId="105" applyBorder="1">
      <alignment/>
      <protection/>
    </xf>
    <xf numFmtId="3" fontId="1" fillId="0" borderId="52" xfId="105" applyNumberFormat="1" applyBorder="1" applyAlignment="1">
      <alignment horizontal="right"/>
      <protection/>
    </xf>
    <xf numFmtId="3" fontId="19" fillId="0" borderId="52" xfId="105" applyNumberFormat="1" applyFont="1" applyBorder="1" applyAlignment="1">
      <alignment horizontal="right"/>
      <protection/>
    </xf>
    <xf numFmtId="0" fontId="19" fillId="0" borderId="27" xfId="105" applyFont="1" applyBorder="1">
      <alignment/>
      <protection/>
    </xf>
    <xf numFmtId="0" fontId="19" fillId="0" borderId="36" xfId="105" applyFont="1" applyBorder="1">
      <alignment/>
      <protection/>
    </xf>
    <xf numFmtId="0" fontId="19" fillId="50" borderId="19" xfId="105" applyFont="1" applyFill="1" applyBorder="1" applyAlignment="1">
      <alignment vertical="center"/>
      <protection/>
    </xf>
    <xf numFmtId="3" fontId="19" fillId="50" borderId="38" xfId="105" applyNumberFormat="1" applyFont="1" applyFill="1" applyBorder="1" applyAlignment="1">
      <alignment horizontal="right" vertical="center"/>
      <protection/>
    </xf>
    <xf numFmtId="0" fontId="1" fillId="0" borderId="0" xfId="105" applyAlignment="1">
      <alignment vertical="center"/>
      <protection/>
    </xf>
    <xf numFmtId="0" fontId="19" fillId="0" borderId="33" xfId="105" applyFont="1" applyBorder="1">
      <alignment/>
      <protection/>
    </xf>
    <xf numFmtId="3" fontId="19" fillId="50" borderId="38" xfId="105" applyNumberFormat="1" applyFont="1" applyFill="1" applyBorder="1" applyAlignment="1">
      <alignment vertical="center"/>
      <protection/>
    </xf>
    <xf numFmtId="0" fontId="19" fillId="50" borderId="19" xfId="105" applyFont="1" applyFill="1" applyBorder="1">
      <alignment/>
      <protection/>
    </xf>
    <xf numFmtId="3" fontId="19" fillId="50" borderId="38" xfId="105" applyNumberFormat="1" applyFont="1" applyFill="1" applyBorder="1">
      <alignment/>
      <protection/>
    </xf>
    <xf numFmtId="0" fontId="1" fillId="0" borderId="72" xfId="105" applyBorder="1">
      <alignment/>
      <protection/>
    </xf>
    <xf numFmtId="3" fontId="1" fillId="0" borderId="44" xfId="105" applyNumberFormat="1" applyBorder="1">
      <alignment/>
      <protection/>
    </xf>
    <xf numFmtId="0" fontId="1" fillId="0" borderId="40" xfId="105" applyBorder="1">
      <alignment/>
      <protection/>
    </xf>
    <xf numFmtId="3" fontId="1" fillId="0" borderId="46" xfId="105" applyNumberFormat="1" applyBorder="1">
      <alignment/>
      <protection/>
    </xf>
    <xf numFmtId="0" fontId="19" fillId="50" borderId="23" xfId="105" applyFont="1" applyFill="1" applyBorder="1">
      <alignment/>
      <protection/>
    </xf>
    <xf numFmtId="0" fontId="19" fillId="50" borderId="72" xfId="105" applyFont="1" applyFill="1" applyBorder="1">
      <alignment/>
      <protection/>
    </xf>
    <xf numFmtId="3" fontId="19" fillId="50" borderId="44" xfId="105" applyNumberFormat="1" applyFont="1" applyFill="1" applyBorder="1">
      <alignment/>
      <protection/>
    </xf>
    <xf numFmtId="0" fontId="19" fillId="0" borderId="0" xfId="105" applyFont="1">
      <alignment/>
      <protection/>
    </xf>
    <xf numFmtId="3" fontId="19" fillId="0" borderId="52" xfId="105" applyNumberFormat="1" applyFont="1" applyBorder="1">
      <alignment/>
      <protection/>
    </xf>
    <xf numFmtId="3" fontId="19" fillId="0" borderId="46" xfId="105" applyNumberFormat="1" applyFont="1" applyBorder="1">
      <alignment/>
      <protection/>
    </xf>
    <xf numFmtId="0" fontId="84" fillId="0" borderId="30" xfId="105" applyFont="1" applyBorder="1" applyAlignment="1">
      <alignment vertical="center"/>
      <protection/>
    </xf>
    <xf numFmtId="3" fontId="84" fillId="0" borderId="54" xfId="105" applyNumberFormat="1" applyFont="1" applyBorder="1" applyAlignment="1">
      <alignment vertical="center"/>
      <protection/>
    </xf>
    <xf numFmtId="0" fontId="1" fillId="0" borderId="76" xfId="105" applyBorder="1">
      <alignment/>
      <protection/>
    </xf>
    <xf numFmtId="3" fontId="1" fillId="0" borderId="54" xfId="105" applyNumberFormat="1" applyBorder="1">
      <alignment/>
      <protection/>
    </xf>
    <xf numFmtId="0" fontId="63" fillId="0" borderId="0" xfId="109" applyFont="1" applyAlignment="1">
      <alignment horizontal="left" vertical="center"/>
      <protection/>
    </xf>
    <xf numFmtId="1" fontId="66" fillId="0" borderId="0" xfId="109" applyNumberFormat="1" applyFont="1" applyAlignment="1">
      <alignment horizontal="center" vertical="center" wrapText="1"/>
      <protection/>
    </xf>
    <xf numFmtId="0" fontId="45" fillId="0" borderId="0" xfId="109" applyFont="1" applyAlignment="1">
      <alignment horizontal="left" vertical="center" wrapText="1"/>
      <protection/>
    </xf>
    <xf numFmtId="1" fontId="66" fillId="0" borderId="0" xfId="109" applyNumberFormat="1" applyFont="1" applyAlignment="1">
      <alignment horizontal="center" vertical="center"/>
      <protection/>
    </xf>
    <xf numFmtId="2" fontId="66" fillId="0" borderId="0" xfId="109" applyNumberFormat="1" applyFont="1" applyAlignment="1">
      <alignment horizontal="center" vertical="center"/>
      <protection/>
    </xf>
    <xf numFmtId="0" fontId="63" fillId="0" borderId="55" xfId="109" applyFont="1" applyBorder="1" applyAlignment="1">
      <alignment horizontal="left" vertical="center"/>
      <protection/>
    </xf>
    <xf numFmtId="0" fontId="63" fillId="0" borderId="51" xfId="109" applyFont="1" applyBorder="1" applyAlignment="1">
      <alignment horizontal="left" vertical="center"/>
      <protection/>
    </xf>
    <xf numFmtId="1" fontId="66" fillId="0" borderId="69" xfId="109" applyNumberFormat="1" applyFont="1" applyBorder="1" applyAlignment="1">
      <alignment horizontal="center" vertical="center" wrapText="1"/>
      <protection/>
    </xf>
    <xf numFmtId="0" fontId="63" fillId="0" borderId="52" xfId="109" applyFont="1" applyBorder="1" applyAlignment="1">
      <alignment horizontal="left" vertical="center"/>
      <protection/>
    </xf>
    <xf numFmtId="0" fontId="63" fillId="0" borderId="76" xfId="109" applyFont="1" applyBorder="1" applyAlignment="1">
      <alignment horizontal="left" vertical="center"/>
      <protection/>
    </xf>
    <xf numFmtId="0" fontId="63" fillId="0" borderId="54" xfId="109" applyFont="1" applyBorder="1" applyAlignment="1">
      <alignment horizontal="left" vertical="center"/>
      <protection/>
    </xf>
    <xf numFmtId="0" fontId="64" fillId="0" borderId="65" xfId="109" applyFont="1" applyBorder="1" applyAlignment="1">
      <alignment horizontal="left" vertical="center"/>
      <protection/>
    </xf>
    <xf numFmtId="0" fontId="59" fillId="0" borderId="0" xfId="109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3" fontId="25" fillId="0" borderId="20" xfId="0" applyNumberFormat="1" applyFont="1" applyBorder="1" applyAlignment="1">
      <alignment horizontal="center" vertical="center" wrapText="1"/>
    </xf>
    <xf numFmtId="3" fontId="25" fillId="0" borderId="78" xfId="0" applyNumberFormat="1" applyFont="1" applyBorder="1" applyAlignment="1">
      <alignment horizontal="center" vertical="center" wrapText="1"/>
    </xf>
    <xf numFmtId="0" fontId="88" fillId="0" borderId="36" xfId="107" applyFont="1" applyBorder="1" applyAlignment="1">
      <alignment vertical="center" wrapText="1"/>
      <protection/>
    </xf>
    <xf numFmtId="0" fontId="86" fillId="0" borderId="19" xfId="107" applyFont="1" applyBorder="1" applyAlignment="1">
      <alignment vertical="center"/>
      <protection/>
    </xf>
    <xf numFmtId="0" fontId="85" fillId="0" borderId="28" xfId="107" applyFont="1" applyBorder="1" applyAlignment="1">
      <alignment vertical="center" wrapText="1"/>
      <protection/>
    </xf>
    <xf numFmtId="0" fontId="85" fillId="0" borderId="34" xfId="107" applyFont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3" fontId="91" fillId="13" borderId="84" xfId="107" applyNumberFormat="1" applyFont="1" applyFill="1" applyBorder="1" applyAlignment="1">
      <alignment horizontal="right" vertical="center" wrapText="1"/>
      <protection/>
    </xf>
    <xf numFmtId="10" fontId="75" fillId="0" borderId="46" xfId="107" applyNumberFormat="1" applyFont="1" applyBorder="1" applyAlignment="1">
      <alignment horizontal="right" vertical="center" wrapText="1"/>
      <protection/>
    </xf>
    <xf numFmtId="10" fontId="75" fillId="0" borderId="63" xfId="107" applyNumberFormat="1" applyFont="1" applyBorder="1" applyAlignment="1">
      <alignment horizontal="right" vertical="center" wrapText="1"/>
      <protection/>
    </xf>
    <xf numFmtId="3" fontId="74" fillId="13" borderId="63" xfId="107" applyNumberFormat="1" applyFont="1" applyFill="1" applyBorder="1" applyAlignment="1">
      <alignment horizontal="center" vertical="center" wrapText="1"/>
      <protection/>
    </xf>
    <xf numFmtId="3" fontId="74" fillId="13" borderId="44" xfId="107" applyNumberFormat="1" applyFont="1" applyFill="1" applyBorder="1" applyAlignment="1">
      <alignment horizontal="center" vertical="center" wrapText="1"/>
      <protection/>
    </xf>
    <xf numFmtId="0" fontId="74" fillId="13" borderId="33" xfId="107" applyFont="1" applyFill="1" applyBorder="1" applyAlignment="1">
      <alignment horizontal="center" vertical="center" wrapText="1"/>
      <protection/>
    </xf>
    <xf numFmtId="0" fontId="74" fillId="13" borderId="44" xfId="107" applyFont="1" applyFill="1" applyBorder="1" applyAlignment="1">
      <alignment horizontal="center" vertical="center" wrapText="1"/>
      <protection/>
    </xf>
    <xf numFmtId="0" fontId="14" fillId="0" borderId="39" xfId="107" applyBorder="1">
      <alignment/>
      <protection/>
    </xf>
    <xf numFmtId="3" fontId="80" fillId="0" borderId="79" xfId="107" applyNumberFormat="1" applyFont="1" applyBorder="1" applyAlignment="1">
      <alignment horizontal="right"/>
      <protection/>
    </xf>
    <xf numFmtId="0" fontId="14" fillId="0" borderId="75" xfId="107" applyBorder="1">
      <alignment/>
      <protection/>
    </xf>
    <xf numFmtId="0" fontId="72" fillId="51" borderId="76" xfId="107" applyFont="1" applyFill="1" applyBorder="1" applyAlignment="1">
      <alignment wrapText="1"/>
      <protection/>
    </xf>
    <xf numFmtId="3" fontId="81" fillId="51" borderId="54" xfId="107" applyNumberFormat="1" applyFont="1" applyFill="1" applyBorder="1" applyAlignment="1">
      <alignment horizontal="right"/>
      <protection/>
    </xf>
    <xf numFmtId="0" fontId="14" fillId="51" borderId="42" xfId="107" applyFill="1" applyBorder="1">
      <alignment/>
      <protection/>
    </xf>
    <xf numFmtId="0" fontId="72" fillId="51" borderId="76" xfId="107" applyFont="1" applyFill="1" applyBorder="1" applyAlignment="1">
      <alignment vertical="center" wrapText="1"/>
      <protection/>
    </xf>
    <xf numFmtId="3" fontId="81" fillId="51" borderId="54" xfId="74" applyNumberFormat="1" applyFont="1" applyFill="1" applyBorder="1" applyAlignment="1">
      <alignment horizontal="right" vertical="center"/>
    </xf>
    <xf numFmtId="3" fontId="81" fillId="51" borderId="42" xfId="74" applyNumberFormat="1" applyFont="1" applyFill="1" applyBorder="1" applyAlignment="1">
      <alignment horizontal="right" vertical="center"/>
    </xf>
    <xf numFmtId="0" fontId="93" fillId="41" borderId="38" xfId="107" applyFont="1" applyFill="1" applyBorder="1" applyAlignment="1">
      <alignment horizontal="center" vertical="center"/>
      <protection/>
    </xf>
    <xf numFmtId="3" fontId="94" fillId="0" borderId="39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left" vertical="center" wrapText="1"/>
    </xf>
    <xf numFmtId="49" fontId="25" fillId="0" borderId="40" xfId="0" applyNumberFormat="1" applyFont="1" applyBorder="1" applyAlignment="1">
      <alignment horizontal="left" vertical="center" wrapText="1"/>
    </xf>
    <xf numFmtId="0" fontId="29" fillId="0" borderId="78" xfId="111" applyFont="1" applyBorder="1" applyAlignment="1">
      <alignment horizontal="left" vertical="center" wrapText="1"/>
      <protection/>
    </xf>
    <xf numFmtId="164" fontId="29" fillId="0" borderId="38" xfId="111" applyNumberFormat="1" applyFont="1" applyBorder="1" applyAlignment="1">
      <alignment horizontal="right" vertical="center" wrapText="1"/>
      <protection/>
    </xf>
    <xf numFmtId="3" fontId="16" fillId="0" borderId="0" xfId="111" applyNumberFormat="1">
      <alignment/>
      <protection/>
    </xf>
    <xf numFmtId="164" fontId="16" fillId="0" borderId="0" xfId="111" applyNumberFormat="1">
      <alignment/>
      <protection/>
    </xf>
    <xf numFmtId="164" fontId="48" fillId="0" borderId="0" xfId="111" applyNumberFormat="1" applyFont="1" applyAlignment="1">
      <alignment horizontal="left" vertical="center"/>
      <protection/>
    </xf>
    <xf numFmtId="0" fontId="16" fillId="0" borderId="90" xfId="111" applyBorder="1" applyAlignment="1">
      <alignment horizontal="left" vertical="center" wrapText="1"/>
      <protection/>
    </xf>
    <xf numFmtId="164" fontId="29" fillId="0" borderId="51" xfId="111" applyNumberFormat="1" applyFont="1" applyBorder="1" applyAlignment="1">
      <alignment horizontal="right" vertical="center" wrapText="1"/>
      <protection/>
    </xf>
    <xf numFmtId="0" fontId="16" fillId="0" borderId="56" xfId="111" applyBorder="1" applyAlignment="1">
      <alignment horizontal="left" vertical="center" wrapText="1"/>
      <protection/>
    </xf>
    <xf numFmtId="164" fontId="29" fillId="0" borderId="52" xfId="111" applyNumberFormat="1" applyFont="1" applyBorder="1" applyAlignment="1">
      <alignment horizontal="right" vertical="center" wrapText="1"/>
      <protection/>
    </xf>
    <xf numFmtId="0" fontId="16" fillId="0" borderId="94" xfId="111" applyBorder="1" applyAlignment="1">
      <alignment horizontal="left" vertical="center" wrapText="1"/>
      <protection/>
    </xf>
    <xf numFmtId="164" fontId="29" fillId="0" borderId="53" xfId="111" applyNumberFormat="1" applyFont="1" applyBorder="1" applyAlignment="1">
      <alignment horizontal="right" vertical="center" wrapText="1"/>
      <protection/>
    </xf>
    <xf numFmtId="49" fontId="16" fillId="0" borderId="0" xfId="111" applyNumberFormat="1" applyAlignment="1">
      <alignment horizontal="left" vertical="center" wrapText="1" indent="1"/>
      <protection/>
    </xf>
    <xf numFmtId="0" fontId="16" fillId="0" borderId="0" xfId="111" applyAlignment="1">
      <alignment horizontal="left" indent="5"/>
      <protection/>
    </xf>
    <xf numFmtId="3" fontId="16" fillId="0" borderId="0" xfId="111" applyNumberFormat="1" applyAlignment="1">
      <alignment horizontal="right" vertical="center" wrapText="1"/>
      <protection/>
    </xf>
    <xf numFmtId="0" fontId="24" fillId="0" borderId="0" xfId="0" applyFont="1" applyAlignment="1">
      <alignment/>
    </xf>
    <xf numFmtId="164" fontId="48" fillId="0" borderId="50" xfId="111" applyNumberFormat="1" applyFont="1" applyBorder="1" applyAlignment="1">
      <alignment horizontal="left" vertical="center"/>
      <protection/>
    </xf>
    <xf numFmtId="3" fontId="29" fillId="0" borderId="51" xfId="111" applyNumberFormat="1" applyFont="1" applyBorder="1" applyAlignment="1">
      <alignment horizontal="right" vertical="center" wrapText="1"/>
      <protection/>
    </xf>
    <xf numFmtId="3" fontId="29" fillId="0" borderId="52" xfId="111" applyNumberFormat="1" applyFont="1" applyBorder="1" applyAlignment="1">
      <alignment horizontal="right" vertical="center" wrapText="1"/>
      <protection/>
    </xf>
    <xf numFmtId="0" fontId="16" fillId="0" borderId="57" xfId="111" applyBorder="1" applyAlignment="1">
      <alignment horizontal="left" vertical="center" wrapText="1"/>
      <protection/>
    </xf>
    <xf numFmtId="3" fontId="29" fillId="0" borderId="54" xfId="111" applyNumberFormat="1" applyFont="1" applyBorder="1" applyAlignment="1">
      <alignment horizontal="right" vertical="center" wrapText="1"/>
      <protection/>
    </xf>
    <xf numFmtId="0" fontId="48" fillId="0" borderId="0" xfId="111" applyFont="1" applyAlignment="1">
      <alignment horizontal="left"/>
      <protection/>
    </xf>
    <xf numFmtId="0" fontId="29" fillId="0" borderId="51" xfId="111" applyFont="1" applyBorder="1" applyAlignment="1">
      <alignment horizontal="left"/>
      <protection/>
    </xf>
    <xf numFmtId="3" fontId="29" fillId="0" borderId="51" xfId="111" applyNumberFormat="1" applyFont="1" applyBorder="1">
      <alignment/>
      <protection/>
    </xf>
    <xf numFmtId="3" fontId="14" fillId="0" borderId="69" xfId="107" applyNumberFormat="1" applyBorder="1" applyAlignment="1">
      <alignment vertical="center"/>
      <protection/>
    </xf>
    <xf numFmtId="3" fontId="30" fillId="0" borderId="0" xfId="0" applyNumberFormat="1" applyFont="1" applyAlignment="1">
      <alignment vertical="center"/>
    </xf>
    <xf numFmtId="49" fontId="25" fillId="0" borderId="24" xfId="0" applyNumberFormat="1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26" fillId="0" borderId="22" xfId="0" applyFont="1" applyBorder="1" applyAlignment="1">
      <alignment/>
    </xf>
    <xf numFmtId="3" fontId="79" fillId="0" borderId="95" xfId="107" applyNumberFormat="1" applyFont="1" applyBorder="1" applyAlignment="1">
      <alignment vertical="center"/>
      <protection/>
    </xf>
    <xf numFmtId="0" fontId="34" fillId="0" borderId="96" xfId="111" applyFont="1" applyBorder="1" applyAlignment="1">
      <alignment horizontal="left" vertical="center" wrapText="1" indent="1"/>
      <protection/>
    </xf>
    <xf numFmtId="49" fontId="34" fillId="0" borderId="97" xfId="111" applyNumberFormat="1" applyFont="1" applyBorder="1" applyAlignment="1">
      <alignment horizontal="left" vertical="center" wrapText="1" indent="1"/>
      <protection/>
    </xf>
    <xf numFmtId="49" fontId="34" fillId="0" borderId="98" xfId="111" applyNumberFormat="1" applyFont="1" applyBorder="1" applyAlignment="1">
      <alignment horizontal="left" vertical="center" wrapText="1" indent="1"/>
      <protection/>
    </xf>
    <xf numFmtId="49" fontId="38" fillId="0" borderId="97" xfId="111" applyNumberFormat="1" applyFont="1" applyBorder="1" applyAlignment="1">
      <alignment horizontal="left" vertical="center" wrapText="1"/>
      <protection/>
    </xf>
    <xf numFmtId="3" fontId="37" fillId="0" borderId="99" xfId="111" applyNumberFormat="1" applyFont="1" applyBorder="1">
      <alignment/>
      <protection/>
    </xf>
    <xf numFmtId="49" fontId="37" fillId="0" borderId="97" xfId="111" applyNumberFormat="1" applyFont="1" applyBorder="1" applyAlignment="1">
      <alignment horizontal="left"/>
      <protection/>
    </xf>
    <xf numFmtId="49" fontId="37" fillId="0" borderId="97" xfId="111" applyNumberFormat="1" applyFont="1" applyBorder="1" applyAlignment="1">
      <alignment horizontal="left" vertical="center" wrapText="1"/>
      <protection/>
    </xf>
    <xf numFmtId="164" fontId="37" fillId="0" borderId="99" xfId="111" applyNumberFormat="1" applyFont="1" applyBorder="1">
      <alignment/>
      <protection/>
    </xf>
    <xf numFmtId="49" fontId="38" fillId="0" borderId="98" xfId="111" applyNumberFormat="1" applyFont="1" applyBorder="1" applyAlignment="1">
      <alignment horizontal="left"/>
      <protection/>
    </xf>
    <xf numFmtId="3" fontId="37" fillId="0" borderId="100" xfId="111" applyNumberFormat="1" applyFont="1" applyBorder="1">
      <alignment/>
      <protection/>
    </xf>
    <xf numFmtId="164" fontId="29" fillId="0" borderId="54" xfId="111" applyNumberFormat="1" applyFont="1" applyBorder="1" applyAlignment="1">
      <alignment horizontal="right" vertical="center" wrapText="1"/>
      <protection/>
    </xf>
    <xf numFmtId="164" fontId="16" fillId="0" borderId="51" xfId="111" applyNumberFormat="1" applyFont="1" applyBorder="1" applyAlignment="1">
      <alignment horizontal="right" vertical="center" wrapText="1"/>
      <protection/>
    </xf>
    <xf numFmtId="164" fontId="16" fillId="0" borderId="52" xfId="111" applyNumberFormat="1" applyFont="1" applyBorder="1" applyAlignment="1">
      <alignment horizontal="right" vertical="center" wrapText="1"/>
      <protection/>
    </xf>
    <xf numFmtId="0" fontId="34" fillId="0" borderId="76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left" vertical="center" wrapText="1" indent="1"/>
    </xf>
    <xf numFmtId="164" fontId="34" fillId="0" borderId="55" xfId="0" applyNumberFormat="1" applyFont="1" applyBorder="1" applyAlignment="1">
      <alignment horizontal="right" vertical="center" wrapText="1" indent="1"/>
    </xf>
    <xf numFmtId="164" fontId="34" fillId="0" borderId="51" xfId="0" applyNumberFormat="1" applyFont="1" applyBorder="1" applyAlignment="1">
      <alignment horizontal="right" vertical="center" wrapText="1" indent="1"/>
    </xf>
    <xf numFmtId="0" fontId="33" fillId="0" borderId="67" xfId="0" applyFont="1" applyBorder="1" applyAlignment="1">
      <alignment horizontal="left" vertical="center" wrapText="1" indent="1"/>
    </xf>
    <xf numFmtId="164" fontId="34" fillId="0" borderId="65" xfId="0" applyNumberFormat="1" applyFont="1" applyBorder="1" applyAlignment="1">
      <alignment horizontal="right" vertical="center" wrapText="1" indent="1"/>
    </xf>
    <xf numFmtId="164" fontId="34" fillId="0" borderId="52" xfId="0" applyNumberFormat="1" applyFont="1" applyBorder="1" applyAlignment="1">
      <alignment horizontal="right" vertical="center" wrapText="1" indent="1"/>
    </xf>
    <xf numFmtId="0" fontId="33" fillId="0" borderId="77" xfId="0" applyFont="1" applyBorder="1" applyAlignment="1">
      <alignment horizontal="left" vertical="center" wrapText="1" indent="1"/>
    </xf>
    <xf numFmtId="164" fontId="34" fillId="0" borderId="76" xfId="0" applyNumberFormat="1" applyFont="1" applyBorder="1" applyAlignment="1">
      <alignment horizontal="right" vertical="center" wrapText="1" indent="1"/>
    </xf>
    <xf numFmtId="164" fontId="34" fillId="0" borderId="54" xfId="0" applyNumberFormat="1" applyFont="1" applyBorder="1" applyAlignment="1">
      <alignment horizontal="right" vertical="center" wrapText="1" indent="1"/>
    </xf>
    <xf numFmtId="0" fontId="0" fillId="0" borderId="43" xfId="0" applyBorder="1" applyAlignment="1">
      <alignment horizontal="center" vertical="center" wrapText="1"/>
    </xf>
    <xf numFmtId="0" fontId="72" fillId="0" borderId="0" xfId="107" applyFont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Border="1" applyAlignment="1">
      <alignment horizontal="right" vertical="center" wrapText="1" indent="1"/>
    </xf>
    <xf numFmtId="0" fontId="46" fillId="0" borderId="64" xfId="0" applyFont="1" applyBorder="1" applyAlignment="1">
      <alignment horizontal="center" vertical="center" wrapText="1"/>
    </xf>
    <xf numFmtId="3" fontId="68" fillId="0" borderId="21" xfId="11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95" fillId="0" borderId="62" xfId="107" applyFont="1" applyBorder="1" applyAlignment="1">
      <alignment wrapText="1"/>
      <protection/>
    </xf>
    <xf numFmtId="3" fontId="96" fillId="0" borderId="52" xfId="107" applyNumberFormat="1" applyFont="1" applyBorder="1" applyAlignment="1">
      <alignment horizontal="right"/>
      <protection/>
    </xf>
    <xf numFmtId="0" fontId="79" fillId="0" borderId="62" xfId="107" applyFont="1" applyBorder="1" applyAlignment="1">
      <alignment wrapText="1"/>
      <protection/>
    </xf>
    <xf numFmtId="0" fontId="72" fillId="49" borderId="65" xfId="107" applyFont="1" applyFill="1" applyBorder="1" applyAlignment="1">
      <alignment horizontal="center" vertical="center" wrapText="1"/>
      <protection/>
    </xf>
    <xf numFmtId="0" fontId="72" fillId="49" borderId="52" xfId="107" applyFont="1" applyFill="1" applyBorder="1" applyAlignment="1">
      <alignment horizontal="center" vertical="center" wrapText="1"/>
      <protection/>
    </xf>
    <xf numFmtId="0" fontId="14" fillId="0" borderId="74" xfId="107" applyBorder="1">
      <alignment/>
      <protection/>
    </xf>
    <xf numFmtId="3" fontId="79" fillId="0" borderId="73" xfId="107" applyNumberFormat="1" applyFont="1" applyBorder="1" applyAlignment="1">
      <alignment vertical="center"/>
      <protection/>
    </xf>
    <xf numFmtId="3" fontId="82" fillId="41" borderId="69" xfId="107" applyNumberFormat="1" applyFont="1" applyFill="1" applyBorder="1" applyAlignment="1">
      <alignment horizontal="center" vertical="center"/>
      <protection/>
    </xf>
    <xf numFmtId="0" fontId="56" fillId="0" borderId="21" xfId="105" applyFont="1" applyBorder="1" applyAlignment="1">
      <alignment vertical="center"/>
      <protection/>
    </xf>
    <xf numFmtId="0" fontId="56" fillId="0" borderId="65" xfId="105" applyFont="1" applyBorder="1" applyAlignment="1">
      <alignment vertical="center"/>
      <protection/>
    </xf>
    <xf numFmtId="3" fontId="25" fillId="41" borderId="22" xfId="0" applyNumberFormat="1" applyFont="1" applyFill="1" applyBorder="1" applyAlignment="1">
      <alignment horizontal="right" vertical="center" wrapText="1"/>
    </xf>
    <xf numFmtId="3" fontId="24" fillId="41" borderId="64" xfId="0" applyNumberFormat="1" applyFont="1" applyFill="1" applyBorder="1" applyAlignment="1">
      <alignment horizontal="right" vertical="center" wrapText="1"/>
    </xf>
    <xf numFmtId="3" fontId="24" fillId="41" borderId="39" xfId="0" applyNumberFormat="1" applyFont="1" applyFill="1" applyBorder="1" applyAlignment="1">
      <alignment horizontal="right" vertical="center" wrapText="1"/>
    </xf>
    <xf numFmtId="3" fontId="24" fillId="41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Border="1" applyAlignment="1">
      <alignment horizontal="right" vertical="center"/>
    </xf>
    <xf numFmtId="3" fontId="25" fillId="0" borderId="39" xfId="0" applyNumberFormat="1" applyFont="1" applyBorder="1" applyAlignment="1">
      <alignment horizontal="right" vertical="center"/>
    </xf>
    <xf numFmtId="3" fontId="24" fillId="0" borderId="73" xfId="0" applyNumberFormat="1" applyFont="1" applyBorder="1" applyAlignment="1">
      <alignment horizontal="right" vertical="center"/>
    </xf>
    <xf numFmtId="3" fontId="24" fillId="0" borderId="39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0" borderId="73" xfId="0" applyNumberFormat="1" applyFont="1" applyBorder="1" applyAlignment="1">
      <alignment vertical="center"/>
    </xf>
    <xf numFmtId="3" fontId="24" fillId="0" borderId="79" xfId="0" applyNumberFormat="1" applyFont="1" applyBorder="1" applyAlignment="1">
      <alignment vertical="center"/>
    </xf>
    <xf numFmtId="3" fontId="25" fillId="0" borderId="73" xfId="0" applyNumberFormat="1" applyFont="1" applyBorder="1" applyAlignment="1">
      <alignment vertical="center"/>
    </xf>
    <xf numFmtId="3" fontId="24" fillId="41" borderId="42" xfId="0" applyNumberFormat="1" applyFont="1" applyFill="1" applyBorder="1" applyAlignment="1">
      <alignment horizontal="right" vertical="center" wrapText="1"/>
    </xf>
    <xf numFmtId="0" fontId="26" fillId="0" borderId="102" xfId="0" applyFont="1" applyBorder="1" applyAlignment="1">
      <alignment/>
    </xf>
    <xf numFmtId="3" fontId="30" fillId="0" borderId="22" xfId="0" applyNumberFormat="1" applyFont="1" applyBorder="1" applyAlignment="1">
      <alignment vertical="center"/>
    </xf>
    <xf numFmtId="3" fontId="94" fillId="0" borderId="73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horizontal="right" vertical="center"/>
    </xf>
    <xf numFmtId="3" fontId="94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94" fillId="0" borderId="69" xfId="0" applyNumberFormat="1" applyFont="1" applyBorder="1" applyAlignment="1">
      <alignment vertical="center"/>
    </xf>
    <xf numFmtId="3" fontId="94" fillId="0" borderId="39" xfId="0" applyNumberFormat="1" applyFont="1" applyBorder="1" applyAlignment="1">
      <alignment vertical="center"/>
    </xf>
    <xf numFmtId="3" fontId="94" fillId="0" borderId="42" xfId="0" applyNumberFormat="1" applyFont="1" applyBorder="1" applyAlignment="1">
      <alignment vertical="center"/>
    </xf>
    <xf numFmtId="0" fontId="0" fillId="0" borderId="80" xfId="0" applyBorder="1" applyAlignment="1">
      <alignment wrapText="1"/>
    </xf>
    <xf numFmtId="3" fontId="30" fillId="41" borderId="22" xfId="0" applyNumberFormat="1" applyFont="1" applyFill="1" applyBorder="1" applyAlignment="1">
      <alignment horizontal="right" vertical="center" wrapText="1"/>
    </xf>
    <xf numFmtId="3" fontId="94" fillId="41" borderId="69" xfId="0" applyNumberFormat="1" applyFont="1" applyFill="1" applyBorder="1" applyAlignment="1">
      <alignment horizontal="right" vertical="center" wrapText="1"/>
    </xf>
    <xf numFmtId="3" fontId="94" fillId="41" borderId="39" xfId="0" applyNumberFormat="1" applyFont="1" applyFill="1" applyBorder="1" applyAlignment="1">
      <alignment horizontal="right" vertical="center" wrapText="1"/>
    </xf>
    <xf numFmtId="3" fontId="94" fillId="41" borderId="73" xfId="0" applyNumberFormat="1" applyFont="1" applyFill="1" applyBorder="1" applyAlignment="1">
      <alignment horizontal="right" vertical="center" wrapText="1"/>
    </xf>
    <xf numFmtId="3" fontId="94" fillId="0" borderId="75" xfId="0" applyNumberFormat="1" applyFont="1" applyBorder="1" applyAlignment="1">
      <alignment horizontal="right" vertical="center"/>
    </xf>
    <xf numFmtId="3" fontId="94" fillId="0" borderId="73" xfId="0" applyNumberFormat="1" applyFont="1" applyBorder="1" applyAlignment="1">
      <alignment horizontal="right" vertical="center"/>
    </xf>
    <xf numFmtId="3" fontId="30" fillId="0" borderId="73" xfId="0" applyNumberFormat="1" applyFont="1" applyBorder="1" applyAlignment="1">
      <alignment vertical="center"/>
    </xf>
    <xf numFmtId="3" fontId="94" fillId="41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Border="1" applyAlignment="1">
      <alignment horizontal="right" vertical="center"/>
    </xf>
    <xf numFmtId="3" fontId="30" fillId="0" borderId="103" xfId="0" applyNumberFormat="1" applyFont="1" applyBorder="1" applyAlignment="1">
      <alignment horizontal="right" vertical="center"/>
    </xf>
    <xf numFmtId="3" fontId="30" fillId="0" borderId="71" xfId="0" applyNumberFormat="1" applyFont="1" applyBorder="1" applyAlignment="1">
      <alignment horizontal="right" vertical="center"/>
    </xf>
    <xf numFmtId="3" fontId="94" fillId="0" borderId="79" xfId="0" applyNumberFormat="1" applyFont="1" applyBorder="1" applyAlignment="1">
      <alignment horizontal="right" vertical="center"/>
    </xf>
    <xf numFmtId="3" fontId="30" fillId="0" borderId="73" xfId="0" applyNumberFormat="1" applyFont="1" applyBorder="1" applyAlignment="1">
      <alignment horizontal="right" vertical="center"/>
    </xf>
    <xf numFmtId="3" fontId="30" fillId="0" borderId="79" xfId="0" applyNumberFormat="1" applyFont="1" applyBorder="1" applyAlignment="1">
      <alignment vertical="center"/>
    </xf>
    <xf numFmtId="0" fontId="24" fillId="0" borderId="33" xfId="0" applyFont="1" applyBorder="1" applyAlignment="1">
      <alignment vertical="center" wrapText="1"/>
    </xf>
    <xf numFmtId="0" fontId="24" fillId="0" borderId="33" xfId="84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10" fontId="21" fillId="0" borderId="94" xfId="0" applyNumberFormat="1" applyFont="1" applyBorder="1" applyAlignment="1">
      <alignment vertical="center"/>
    </xf>
    <xf numFmtId="3" fontId="25" fillId="0" borderId="104" xfId="0" applyNumberFormat="1" applyFont="1" applyBorder="1" applyAlignment="1">
      <alignment vertical="center"/>
    </xf>
    <xf numFmtId="3" fontId="24" fillId="0" borderId="105" xfId="0" applyNumberFormat="1" applyFont="1" applyBorder="1" applyAlignment="1">
      <alignment vertical="center"/>
    </xf>
    <xf numFmtId="3" fontId="24" fillId="0" borderId="106" xfId="0" applyNumberFormat="1" applyFont="1" applyBorder="1" applyAlignment="1">
      <alignment vertical="center"/>
    </xf>
    <xf numFmtId="3" fontId="24" fillId="0" borderId="107" xfId="0" applyNumberFormat="1" applyFont="1" applyBorder="1" applyAlignment="1">
      <alignment vertical="center"/>
    </xf>
    <xf numFmtId="3" fontId="24" fillId="0" borderId="108" xfId="0" applyNumberFormat="1" applyFont="1" applyBorder="1" applyAlignment="1">
      <alignment vertical="center"/>
    </xf>
    <xf numFmtId="3" fontId="32" fillId="0" borderId="104" xfId="0" applyNumberFormat="1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3" fontId="25" fillId="0" borderId="104" xfId="0" applyNumberFormat="1" applyFont="1" applyBorder="1" applyAlignment="1">
      <alignment horizontal="right" vertical="center"/>
    </xf>
    <xf numFmtId="3" fontId="24" fillId="0" borderId="109" xfId="0" applyNumberFormat="1" applyFont="1" applyBorder="1" applyAlignment="1">
      <alignment vertical="center"/>
    </xf>
    <xf numFmtId="3" fontId="25" fillId="0" borderId="110" xfId="0" applyNumberFormat="1" applyFont="1" applyBorder="1" applyAlignment="1">
      <alignment vertical="center"/>
    </xf>
    <xf numFmtId="3" fontId="24" fillId="0" borderId="111" xfId="0" applyNumberFormat="1" applyFont="1" applyBorder="1" applyAlignment="1">
      <alignment vertical="center"/>
    </xf>
    <xf numFmtId="3" fontId="24" fillId="0" borderId="112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vertical="center"/>
    </xf>
    <xf numFmtId="3" fontId="21" fillId="0" borderId="114" xfId="0" applyNumberFormat="1" applyFont="1" applyBorder="1" applyAlignment="1">
      <alignment vertical="center"/>
    </xf>
    <xf numFmtId="3" fontId="21" fillId="0" borderId="115" xfId="0" applyNumberFormat="1" applyFont="1" applyBorder="1" applyAlignment="1">
      <alignment vertical="center"/>
    </xf>
    <xf numFmtId="0" fontId="21" fillId="0" borderId="115" xfId="0" applyFont="1" applyBorder="1" applyAlignment="1">
      <alignment vertical="center"/>
    </xf>
    <xf numFmtId="3" fontId="21" fillId="0" borderId="116" xfId="0" applyNumberFormat="1" applyFont="1" applyBorder="1" applyAlignment="1">
      <alignment vertical="center"/>
    </xf>
    <xf numFmtId="3" fontId="23" fillId="0" borderId="104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vertical="center"/>
    </xf>
    <xf numFmtId="3" fontId="23" fillId="0" borderId="115" xfId="0" applyNumberFormat="1" applyFont="1" applyBorder="1" applyAlignment="1">
      <alignment vertical="center"/>
    </xf>
    <xf numFmtId="3" fontId="23" fillId="0" borderId="116" xfId="0" applyNumberFormat="1" applyFont="1" applyBorder="1" applyAlignment="1">
      <alignment vertical="center"/>
    </xf>
    <xf numFmtId="3" fontId="23" fillId="0" borderId="110" xfId="0" applyNumberFormat="1" applyFont="1" applyBorder="1" applyAlignment="1">
      <alignment vertical="center"/>
    </xf>
    <xf numFmtId="3" fontId="24" fillId="0" borderId="117" xfId="0" applyNumberFormat="1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10" fontId="25" fillId="0" borderId="118" xfId="0" applyNumberFormat="1" applyFont="1" applyBorder="1" applyAlignment="1">
      <alignment horizontal="center" vertical="center" wrapText="1"/>
    </xf>
    <xf numFmtId="3" fontId="25" fillId="41" borderId="20" xfId="0" applyNumberFormat="1" applyFont="1" applyFill="1" applyBorder="1" applyAlignment="1">
      <alignment horizontal="right" vertical="center" wrapText="1"/>
    </xf>
    <xf numFmtId="0" fontId="24" fillId="0" borderId="80" xfId="0" applyFont="1" applyBorder="1" applyAlignment="1">
      <alignment horizontal="center" vertical="center" wrapText="1"/>
    </xf>
    <xf numFmtId="3" fontId="80" fillId="52" borderId="46" xfId="107" applyNumberFormat="1" applyFont="1" applyFill="1" applyBorder="1" applyAlignment="1">
      <alignment horizontal="right"/>
      <protection/>
    </xf>
    <xf numFmtId="3" fontId="82" fillId="41" borderId="20" xfId="107" applyNumberFormat="1" applyFont="1" applyFill="1" applyBorder="1" applyAlignment="1">
      <alignment horizontal="center" vertical="center"/>
      <protection/>
    </xf>
    <xf numFmtId="2" fontId="42" fillId="0" borderId="0" xfId="107" applyNumberFormat="1" applyFont="1" applyAlignment="1">
      <alignment horizontal="right" vertical="center"/>
      <protection/>
    </xf>
    <xf numFmtId="0" fontId="19" fillId="0" borderId="119" xfId="106" applyFont="1" applyBorder="1">
      <alignment/>
      <protection/>
    </xf>
    <xf numFmtId="3" fontId="1" fillId="0" borderId="0" xfId="105" applyNumberFormat="1">
      <alignment/>
      <protection/>
    </xf>
    <xf numFmtId="0" fontId="19" fillId="0" borderId="19" xfId="105" applyFont="1" applyBorder="1">
      <alignment/>
      <protection/>
    </xf>
    <xf numFmtId="3" fontId="19" fillId="0" borderId="38" xfId="105" applyNumberFormat="1" applyFont="1" applyBorder="1">
      <alignment/>
      <protection/>
    </xf>
    <xf numFmtId="3" fontId="24" fillId="0" borderId="120" xfId="0" applyNumberFormat="1" applyFont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94" fillId="0" borderId="91" xfId="0" applyNumberFormat="1" applyFont="1" applyBorder="1" applyAlignment="1">
      <alignment vertical="center"/>
    </xf>
    <xf numFmtId="3" fontId="30" fillId="0" borderId="78" xfId="0" applyNumberFormat="1" applyFont="1" applyBorder="1" applyAlignment="1">
      <alignment horizontal="right" vertical="center"/>
    </xf>
    <xf numFmtId="3" fontId="94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41" borderId="80" xfId="0" applyNumberFormat="1" applyFont="1" applyFill="1" applyBorder="1" applyAlignment="1">
      <alignment horizontal="right" vertical="center" wrapText="1"/>
    </xf>
    <xf numFmtId="3" fontId="30" fillId="41" borderId="80" xfId="0" applyNumberFormat="1" applyFont="1" applyFill="1" applyBorder="1" applyAlignment="1">
      <alignment horizontal="right" vertical="center" wrapText="1"/>
    </xf>
    <xf numFmtId="3" fontId="94" fillId="41" borderId="121" xfId="0" applyNumberFormat="1" applyFont="1" applyFill="1" applyBorder="1" applyAlignment="1">
      <alignment horizontal="right" vertical="center" wrapText="1"/>
    </xf>
    <xf numFmtId="3" fontId="94" fillId="41" borderId="122" xfId="0" applyNumberFormat="1" applyFont="1" applyFill="1" applyBorder="1" applyAlignment="1">
      <alignment horizontal="right" vertical="center" wrapText="1"/>
    </xf>
    <xf numFmtId="3" fontId="94" fillId="41" borderId="123" xfId="0" applyNumberFormat="1" applyFont="1" applyFill="1" applyBorder="1" applyAlignment="1">
      <alignment horizontal="right" vertical="center" wrapText="1"/>
    </xf>
    <xf numFmtId="3" fontId="94" fillId="41" borderId="124" xfId="0" applyNumberFormat="1" applyFont="1" applyFill="1" applyBorder="1" applyAlignment="1">
      <alignment horizontal="right" vertical="center" wrapText="1"/>
    </xf>
    <xf numFmtId="3" fontId="94" fillId="0" borderId="122" xfId="0" applyNumberFormat="1" applyFont="1" applyBorder="1" applyAlignment="1">
      <alignment horizontal="right" vertical="center"/>
    </xf>
    <xf numFmtId="3" fontId="94" fillId="0" borderId="125" xfId="0" applyNumberFormat="1" applyFont="1" applyBorder="1" applyAlignment="1">
      <alignment horizontal="right" vertical="center"/>
    </xf>
    <xf numFmtId="3" fontId="30" fillId="0" borderId="80" xfId="0" applyNumberFormat="1" applyFont="1" applyBorder="1" applyAlignment="1">
      <alignment horizontal="right" vertical="center"/>
    </xf>
    <xf numFmtId="3" fontId="30" fillId="0" borderId="126" xfId="0" applyNumberFormat="1" applyFont="1" applyBorder="1" applyAlignment="1">
      <alignment horizontal="right" vertical="center"/>
    </xf>
    <xf numFmtId="3" fontId="30" fillId="0" borderId="127" xfId="0" applyNumberFormat="1" applyFont="1" applyBorder="1" applyAlignment="1">
      <alignment horizontal="right" vertical="center"/>
    </xf>
    <xf numFmtId="3" fontId="30" fillId="0" borderId="128" xfId="0" applyNumberFormat="1" applyFont="1" applyBorder="1" applyAlignment="1">
      <alignment horizontal="right" vertical="center"/>
    </xf>
    <xf numFmtId="3" fontId="94" fillId="0" borderId="124" xfId="0" applyNumberFormat="1" applyFont="1" applyBorder="1" applyAlignment="1">
      <alignment horizontal="right" vertical="center"/>
    </xf>
    <xf numFmtId="3" fontId="94" fillId="0" borderId="129" xfId="0" applyNumberFormat="1" applyFont="1" applyBorder="1" applyAlignment="1">
      <alignment horizontal="right" vertical="center"/>
    </xf>
    <xf numFmtId="3" fontId="30" fillId="0" borderId="124" xfId="0" applyNumberFormat="1" applyFont="1" applyBorder="1" applyAlignment="1">
      <alignment horizontal="right" vertical="center"/>
    </xf>
    <xf numFmtId="3" fontId="30" fillId="0" borderId="129" xfId="0" applyNumberFormat="1" applyFont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3" fontId="30" fillId="0" borderId="124" xfId="0" applyNumberFormat="1" applyFont="1" applyBorder="1" applyAlignment="1">
      <alignment vertical="center"/>
    </xf>
    <xf numFmtId="3" fontId="94" fillId="0" borderId="129" xfId="0" applyNumberFormat="1" applyFont="1" applyBorder="1" applyAlignment="1">
      <alignment vertical="center"/>
    </xf>
    <xf numFmtId="3" fontId="94" fillId="0" borderId="122" xfId="0" applyNumberFormat="1" applyFont="1" applyBorder="1" applyAlignment="1">
      <alignment vertical="center"/>
    </xf>
    <xf numFmtId="164" fontId="34" fillId="0" borderId="80" xfId="0" applyNumberFormat="1" applyFont="1" applyBorder="1" applyAlignment="1">
      <alignment horizontal="center" vertical="center" wrapText="1"/>
    </xf>
    <xf numFmtId="0" fontId="72" fillId="49" borderId="56" xfId="107" applyFont="1" applyFill="1" applyBorder="1" applyAlignment="1">
      <alignment horizontal="center" vertical="center"/>
      <protection/>
    </xf>
    <xf numFmtId="0" fontId="76" fillId="0" borderId="0" xfId="107" applyFont="1" applyAlignment="1">
      <alignment horizontal="right"/>
      <protection/>
    </xf>
    <xf numFmtId="3" fontId="43" fillId="0" borderId="0" xfId="107" applyNumberFormat="1" applyFont="1" applyAlignment="1">
      <alignment horizontal="right" vertical="center"/>
      <protection/>
    </xf>
    <xf numFmtId="0" fontId="72" fillId="49" borderId="56" xfId="107" applyFont="1" applyFill="1" applyBorder="1" applyAlignment="1">
      <alignment horizontal="center" vertical="center" wrapText="1"/>
      <protection/>
    </xf>
    <xf numFmtId="3" fontId="24" fillId="41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Border="1" applyAlignment="1">
      <alignment horizontal="right" vertical="center"/>
    </xf>
    <xf numFmtId="3" fontId="30" fillId="0" borderId="125" xfId="0" applyNumberFormat="1" applyFont="1" applyBorder="1" applyAlignment="1">
      <alignment horizontal="right" vertical="center"/>
    </xf>
    <xf numFmtId="0" fontId="69" fillId="0" borderId="19" xfId="110" applyFont="1" applyBorder="1" applyAlignment="1">
      <alignment horizontal="left"/>
      <protection/>
    </xf>
    <xf numFmtId="3" fontId="69" fillId="0" borderId="48" xfId="110" applyNumberFormat="1" applyFont="1" applyBorder="1" applyAlignment="1">
      <alignment horizontal="right" vertical="center" wrapText="1"/>
      <protection/>
    </xf>
    <xf numFmtId="3" fontId="96" fillId="0" borderId="52" xfId="107" applyNumberFormat="1" applyFont="1" applyBorder="1" applyAlignment="1">
      <alignment horizontal="right"/>
      <protection/>
    </xf>
    <xf numFmtId="0" fontId="1" fillId="0" borderId="40" xfId="105" applyFont="1" applyBorder="1">
      <alignment/>
      <protection/>
    </xf>
    <xf numFmtId="0" fontId="78" fillId="0" borderId="91" xfId="0" applyFont="1" applyBorder="1" applyAlignment="1">
      <alignment vertical="center" wrapText="1"/>
    </xf>
    <xf numFmtId="3" fontId="82" fillId="41" borderId="21" xfId="107" applyNumberFormat="1" applyFont="1" applyFill="1" applyBorder="1" applyAlignment="1">
      <alignment horizontal="center" vertical="center"/>
      <protection/>
    </xf>
    <xf numFmtId="3" fontId="72" fillId="0" borderId="21" xfId="107" applyNumberFormat="1" applyFont="1" applyBorder="1" applyAlignment="1">
      <alignment horizontal="right" vertical="center"/>
      <protection/>
    </xf>
    <xf numFmtId="2" fontId="65" fillId="0" borderId="42" xfId="109" applyNumberFormat="1" applyFont="1" applyBorder="1" applyAlignment="1">
      <alignment horizontal="center" vertical="center" wrapText="1"/>
      <protection/>
    </xf>
    <xf numFmtId="2" fontId="66" fillId="0" borderId="22" xfId="109" applyNumberFormat="1" applyFont="1" applyBorder="1" applyAlignment="1">
      <alignment horizontal="center" vertical="center"/>
      <protection/>
    </xf>
    <xf numFmtId="1" fontId="65" fillId="0" borderId="42" xfId="109" applyNumberFormat="1" applyFont="1" applyBorder="1" applyAlignment="1">
      <alignment horizontal="center" vertical="center" wrapText="1"/>
      <protection/>
    </xf>
    <xf numFmtId="0" fontId="63" fillId="0" borderId="38" xfId="109" applyFont="1" applyBorder="1" applyAlignment="1">
      <alignment horizontal="left" vertical="center"/>
      <protection/>
    </xf>
    <xf numFmtId="1" fontId="66" fillId="0" borderId="22" xfId="109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right"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71" fillId="0" borderId="0" xfId="107" applyFont="1" applyAlignment="1">
      <alignment horizontal="center" vertical="center" wrapText="1"/>
      <protection/>
    </xf>
    <xf numFmtId="0" fontId="70" fillId="0" borderId="0" xfId="107" applyFont="1" applyAlignment="1">
      <alignment horizontal="center" vertical="center"/>
      <protection/>
    </xf>
    <xf numFmtId="0" fontId="72" fillId="49" borderId="90" xfId="107" applyFont="1" applyFill="1" applyBorder="1" applyAlignment="1">
      <alignment horizontal="center" vertical="center"/>
      <protection/>
    </xf>
    <xf numFmtId="0" fontId="72" fillId="0" borderId="0" xfId="107" applyFont="1" applyAlignment="1">
      <alignment horizontal="left"/>
      <protection/>
    </xf>
    <xf numFmtId="0" fontId="78" fillId="0" borderId="0" xfId="107" applyFont="1" applyAlignment="1">
      <alignment horizontal="center"/>
      <protection/>
    </xf>
    <xf numFmtId="0" fontId="77" fillId="0" borderId="0" xfId="107" applyFont="1" applyAlignment="1">
      <alignment horizontal="center"/>
      <protection/>
    </xf>
    <xf numFmtId="0" fontId="78" fillId="0" borderId="0" xfId="107" applyFont="1" applyAlignment="1">
      <alignment horizontal="center" wrapText="1"/>
      <protection/>
    </xf>
    <xf numFmtId="2" fontId="65" fillId="0" borderId="39" xfId="109" applyNumberFormat="1" applyFont="1" applyBorder="1" applyAlignment="1">
      <alignment horizontal="center" vertical="center" wrapText="1"/>
      <protection/>
    </xf>
    <xf numFmtId="4" fontId="51" fillId="0" borderId="22" xfId="0" applyNumberFormat="1" applyFont="1" applyBorder="1" applyAlignment="1" applyProtection="1">
      <alignment horizontal="right" vertical="center" wrapText="1" indent="1"/>
      <protection locked="0"/>
    </xf>
    <xf numFmtId="3" fontId="24" fillId="41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right" vertical="center"/>
    </xf>
    <xf numFmtId="0" fontId="41" fillId="0" borderId="0" xfId="107" applyFont="1" applyAlignment="1">
      <alignment horizontal="center" vertical="center"/>
      <protection/>
    </xf>
    <xf numFmtId="0" fontId="42" fillId="0" borderId="19" xfId="107" applyFont="1" applyBorder="1" applyAlignment="1">
      <alignment horizontal="center" vertical="center"/>
      <protection/>
    </xf>
    <xf numFmtId="0" fontId="42" fillId="0" borderId="22" xfId="107" applyFont="1" applyBorder="1" applyAlignment="1">
      <alignment horizontal="center" vertical="center"/>
      <protection/>
    </xf>
    <xf numFmtId="0" fontId="42" fillId="0" borderId="21" xfId="107" applyFont="1" applyBorder="1" applyAlignment="1">
      <alignment horizontal="center" vertical="center"/>
      <protection/>
    </xf>
    <xf numFmtId="0" fontId="85" fillId="0" borderId="33" xfId="107" applyFont="1" applyBorder="1" applyAlignment="1">
      <alignment vertical="center" wrapText="1"/>
      <protection/>
    </xf>
    <xf numFmtId="3" fontId="14" fillId="0" borderId="73" xfId="107" applyNumberFormat="1" applyBorder="1" applyAlignment="1">
      <alignment vertical="center"/>
      <protection/>
    </xf>
    <xf numFmtId="3" fontId="14" fillId="0" borderId="130" xfId="107" applyNumberFormat="1" applyBorder="1" applyAlignment="1">
      <alignment vertical="center"/>
      <protection/>
    </xf>
    <xf numFmtId="0" fontId="85" fillId="0" borderId="27" xfId="107" applyFont="1" applyBorder="1" applyAlignment="1">
      <alignment vertical="center" wrapText="1"/>
      <protection/>
    </xf>
    <xf numFmtId="3" fontId="14" fillId="0" borderId="39" xfId="107" applyNumberFormat="1" applyBorder="1" applyAlignment="1">
      <alignment vertical="center"/>
      <protection/>
    </xf>
    <xf numFmtId="3" fontId="14" fillId="0" borderId="103" xfId="107" applyNumberFormat="1" applyBorder="1" applyAlignment="1">
      <alignment vertical="center"/>
      <protection/>
    </xf>
    <xf numFmtId="0" fontId="85" fillId="0" borderId="36" xfId="107" applyFont="1" applyBorder="1" applyAlignment="1">
      <alignment vertical="center" wrapText="1"/>
      <protection/>
    </xf>
    <xf numFmtId="0" fontId="85" fillId="0" borderId="37" xfId="107" applyFont="1" applyBorder="1" applyAlignment="1">
      <alignment vertical="center" wrapText="1"/>
      <protection/>
    </xf>
    <xf numFmtId="0" fontId="85" fillId="0" borderId="30" xfId="107" applyFont="1" applyBorder="1" applyAlignment="1">
      <alignment vertical="center" wrapText="1"/>
      <protection/>
    </xf>
    <xf numFmtId="0" fontId="85" fillId="0" borderId="31" xfId="107" applyFont="1" applyBorder="1" applyAlignment="1">
      <alignment vertical="center" wrapText="1"/>
      <protection/>
    </xf>
    <xf numFmtId="0" fontId="86" fillId="0" borderId="131" xfId="107" applyFont="1" applyBorder="1" applyAlignment="1">
      <alignment vertical="center" wrapText="1"/>
      <protection/>
    </xf>
    <xf numFmtId="3" fontId="14" fillId="0" borderId="79" xfId="107" applyNumberFormat="1" applyBorder="1" applyAlignment="1">
      <alignment vertical="center"/>
      <protection/>
    </xf>
    <xf numFmtId="0" fontId="86" fillId="0" borderId="50" xfId="107" applyFont="1" applyBorder="1" applyAlignment="1">
      <alignment vertical="center" wrapText="1"/>
      <protection/>
    </xf>
    <xf numFmtId="3" fontId="42" fillId="0" borderId="132" xfId="107" applyNumberFormat="1" applyFont="1" applyBorder="1" applyAlignment="1">
      <alignment vertical="center"/>
      <protection/>
    </xf>
    <xf numFmtId="0" fontId="85" fillId="0" borderId="33" xfId="107" applyFont="1" applyBorder="1" applyAlignment="1">
      <alignment vertical="center"/>
      <protection/>
    </xf>
    <xf numFmtId="3" fontId="14" fillId="0" borderId="42" xfId="107" applyNumberFormat="1" applyFont="1" applyBorder="1" applyAlignment="1">
      <alignment vertical="center"/>
      <protection/>
    </xf>
    <xf numFmtId="3" fontId="14" fillId="0" borderId="133" xfId="107" applyNumberFormat="1" applyBorder="1" applyAlignment="1">
      <alignment vertical="center"/>
      <protection/>
    </xf>
    <xf numFmtId="3" fontId="42" fillId="0" borderId="75" xfId="107" applyNumberFormat="1" applyFont="1" applyBorder="1" applyAlignment="1">
      <alignment vertical="center"/>
      <protection/>
    </xf>
    <xf numFmtId="0" fontId="86" fillId="0" borderId="20" xfId="107" applyFont="1" applyBorder="1" applyAlignment="1">
      <alignment vertical="center" wrapText="1"/>
      <protection/>
    </xf>
    <xf numFmtId="0" fontId="87" fillId="0" borderId="19" xfId="107" applyFont="1" applyBorder="1" applyAlignment="1">
      <alignment horizontal="center" vertical="center"/>
      <protection/>
    </xf>
    <xf numFmtId="3" fontId="43" fillId="0" borderId="22" xfId="107" applyNumberFormat="1" applyFont="1" applyBorder="1" applyAlignment="1">
      <alignment vertical="center"/>
      <protection/>
    </xf>
    <xf numFmtId="0" fontId="87" fillId="0" borderId="20" xfId="107" applyFont="1" applyBorder="1" applyAlignment="1">
      <alignment horizontal="center" vertical="center" wrapText="1"/>
      <protection/>
    </xf>
    <xf numFmtId="3" fontId="42" fillId="0" borderId="102" xfId="107" applyNumberFormat="1" applyFont="1" applyBorder="1" applyAlignment="1">
      <alignment vertical="center"/>
      <protection/>
    </xf>
    <xf numFmtId="0" fontId="87" fillId="0" borderId="50" xfId="107" applyFont="1" applyBorder="1" applyAlignment="1">
      <alignment horizontal="center" vertical="center"/>
      <protection/>
    </xf>
    <xf numFmtId="3" fontId="43" fillId="0" borderId="42" xfId="107" applyNumberFormat="1" applyFont="1" applyBorder="1" applyAlignment="1">
      <alignment vertical="center"/>
      <protection/>
    </xf>
    <xf numFmtId="0" fontId="87" fillId="0" borderId="50" xfId="107" applyFont="1" applyBorder="1" applyAlignment="1">
      <alignment horizontal="center" vertical="center" wrapText="1"/>
      <protection/>
    </xf>
    <xf numFmtId="3" fontId="14" fillId="0" borderId="102" xfId="107" applyNumberFormat="1" applyBorder="1" applyAlignment="1">
      <alignment vertical="center"/>
      <protection/>
    </xf>
    <xf numFmtId="3" fontId="14" fillId="0" borderId="134" xfId="107" applyNumberFormat="1" applyBorder="1" applyAlignment="1">
      <alignment vertical="center"/>
      <protection/>
    </xf>
    <xf numFmtId="0" fontId="85" fillId="0" borderId="25" xfId="107" applyFont="1" applyBorder="1" applyAlignment="1">
      <alignment vertical="center" wrapText="1"/>
      <protection/>
    </xf>
    <xf numFmtId="0" fontId="86" fillId="0" borderId="19" xfId="107" applyFont="1" applyBorder="1" applyAlignment="1">
      <alignment vertical="center" wrapText="1"/>
      <protection/>
    </xf>
    <xf numFmtId="0" fontId="86" fillId="0" borderId="20" xfId="107" applyFont="1" applyBorder="1" applyAlignment="1">
      <alignment vertical="center"/>
      <protection/>
    </xf>
    <xf numFmtId="3" fontId="42" fillId="0" borderId="22" xfId="107" applyNumberFormat="1" applyFont="1" applyBorder="1" applyAlignment="1">
      <alignment vertical="center"/>
      <protection/>
    </xf>
    <xf numFmtId="0" fontId="85" fillId="0" borderId="36" xfId="107" applyFont="1" applyBorder="1" applyAlignment="1">
      <alignment vertical="center"/>
      <protection/>
    </xf>
    <xf numFmtId="3" fontId="43" fillId="0" borderId="79" xfId="107" applyNumberFormat="1" applyFont="1" applyBorder="1" applyAlignment="1">
      <alignment vertical="center"/>
      <protection/>
    </xf>
    <xf numFmtId="0" fontId="85" fillId="0" borderId="37" xfId="107" applyFont="1" applyBorder="1" applyAlignment="1">
      <alignment vertical="center"/>
      <protection/>
    </xf>
    <xf numFmtId="3" fontId="14" fillId="0" borderId="22" xfId="107" applyNumberFormat="1" applyBorder="1" applyAlignment="1">
      <alignment vertical="center"/>
      <protection/>
    </xf>
    <xf numFmtId="0" fontId="89" fillId="0" borderId="131" xfId="0" applyFont="1" applyBorder="1" applyAlignment="1">
      <alignment horizontal="center" vertical="center" wrapText="1"/>
    </xf>
    <xf numFmtId="0" fontId="89" fillId="0" borderId="50" xfId="0" applyFont="1" applyBorder="1" applyAlignment="1">
      <alignment horizontal="center" vertical="center" wrapText="1"/>
    </xf>
    <xf numFmtId="0" fontId="90" fillId="0" borderId="131" xfId="107" applyFont="1" applyBorder="1" applyAlignment="1">
      <alignment horizontal="left" vertical="center"/>
      <protection/>
    </xf>
    <xf numFmtId="3" fontId="44" fillId="0" borderId="71" xfId="107" applyNumberFormat="1" applyFont="1" applyBorder="1" applyAlignment="1">
      <alignment vertical="center"/>
      <protection/>
    </xf>
    <xf numFmtId="0" fontId="90" fillId="0" borderId="50" xfId="107" applyFont="1" applyBorder="1" applyAlignment="1">
      <alignment horizontal="left" vertical="center"/>
      <protection/>
    </xf>
    <xf numFmtId="3" fontId="14" fillId="0" borderId="71" xfId="107" applyNumberFormat="1" applyBorder="1" applyAlignment="1">
      <alignment vertical="center"/>
      <protection/>
    </xf>
    <xf numFmtId="0" fontId="90" fillId="0" borderId="0" xfId="107" applyFont="1" applyAlignment="1">
      <alignment horizontal="left" vertical="center"/>
      <protection/>
    </xf>
    <xf numFmtId="3" fontId="44" fillId="0" borderId="0" xfId="107" applyNumberFormat="1" applyFont="1" applyAlignment="1">
      <alignment vertical="center"/>
      <protection/>
    </xf>
    <xf numFmtId="3" fontId="42" fillId="0" borderId="0" xfId="107" applyNumberFormat="1" applyFont="1" applyAlignment="1">
      <alignment vertical="center"/>
      <protection/>
    </xf>
    <xf numFmtId="3" fontId="25" fillId="41" borderId="75" xfId="0" applyNumberFormat="1" applyFont="1" applyFill="1" applyBorder="1" applyAlignment="1">
      <alignment horizontal="right" vertical="center" wrapText="1"/>
    </xf>
    <xf numFmtId="3" fontId="25" fillId="41" borderId="0" xfId="0" applyNumberFormat="1" applyFont="1" applyFill="1" applyAlignment="1">
      <alignment horizontal="right" vertical="center" wrapText="1"/>
    </xf>
    <xf numFmtId="3" fontId="82" fillId="41" borderId="0" xfId="107" applyNumberFormat="1" applyFont="1" applyFill="1" applyAlignment="1">
      <alignment horizontal="center" vertical="center"/>
      <protection/>
    </xf>
    <xf numFmtId="0" fontId="42" fillId="0" borderId="80" xfId="107" applyFont="1" applyBorder="1" applyAlignment="1">
      <alignment horizontal="center" vertical="center"/>
      <protection/>
    </xf>
    <xf numFmtId="3" fontId="74" fillId="13" borderId="0" xfId="107" applyNumberFormat="1" applyFont="1" applyFill="1" applyAlignment="1">
      <alignment horizontal="center" vertical="center" wrapText="1"/>
      <protection/>
    </xf>
    <xf numFmtId="10" fontId="75" fillId="0" borderId="0" xfId="107" applyNumberFormat="1" applyFont="1" applyAlignment="1">
      <alignment horizontal="right" vertical="center" wrapText="1"/>
      <protection/>
    </xf>
    <xf numFmtId="10" fontId="45" fillId="13" borderId="0" xfId="107" applyNumberFormat="1" applyFont="1" applyFill="1" applyAlignment="1">
      <alignment horizontal="right" vertical="center" wrapText="1"/>
      <protection/>
    </xf>
    <xf numFmtId="0" fontId="72" fillId="49" borderId="39" xfId="107" applyFont="1" applyFill="1" applyBorder="1" applyAlignment="1">
      <alignment horizontal="center" vertical="center"/>
      <protection/>
    </xf>
    <xf numFmtId="0" fontId="14" fillId="0" borderId="63" xfId="107" applyBorder="1">
      <alignment/>
      <protection/>
    </xf>
    <xf numFmtId="0" fontId="14" fillId="0" borderId="52" xfId="107" applyBorder="1">
      <alignment/>
      <protection/>
    </xf>
    <xf numFmtId="0" fontId="14" fillId="51" borderId="54" xfId="107" applyFill="1" applyBorder="1">
      <alignment/>
      <protection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3" fontId="25" fillId="41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3" fontId="30" fillId="41" borderId="23" xfId="0" applyNumberFormat="1" applyFont="1" applyFill="1" applyBorder="1" applyAlignment="1">
      <alignment horizontal="right" vertical="center" wrapText="1"/>
    </xf>
    <xf numFmtId="3" fontId="94" fillId="41" borderId="55" xfId="0" applyNumberFormat="1" applyFont="1" applyFill="1" applyBorder="1" applyAlignment="1">
      <alignment horizontal="right" vertical="center" wrapText="1"/>
    </xf>
    <xf numFmtId="3" fontId="94" fillId="41" borderId="65" xfId="0" applyNumberFormat="1" applyFont="1" applyFill="1" applyBorder="1" applyAlignment="1">
      <alignment horizontal="right" vertical="center" wrapText="1"/>
    </xf>
    <xf numFmtId="3" fontId="94" fillId="41" borderId="76" xfId="0" applyNumberFormat="1" applyFont="1" applyFill="1" applyBorder="1" applyAlignment="1">
      <alignment horizontal="right" vertical="center" wrapText="1"/>
    </xf>
    <xf numFmtId="3" fontId="94" fillId="41" borderId="72" xfId="0" applyNumberFormat="1" applyFont="1" applyFill="1" applyBorder="1" applyAlignment="1">
      <alignment horizontal="right" vertical="center" wrapText="1"/>
    </xf>
    <xf numFmtId="3" fontId="94" fillId="0" borderId="65" xfId="0" applyNumberFormat="1" applyFont="1" applyBorder="1" applyAlignment="1">
      <alignment horizontal="right" vertical="center"/>
    </xf>
    <xf numFmtId="3" fontId="94" fillId="0" borderId="74" xfId="0" applyNumberFormat="1" applyFont="1" applyBorder="1" applyAlignment="1">
      <alignment horizontal="right" vertical="center"/>
    </xf>
    <xf numFmtId="3" fontId="30" fillId="0" borderId="23" xfId="0" applyNumberFormat="1" applyFont="1" applyBorder="1" applyAlignment="1">
      <alignment horizontal="right" vertical="center"/>
    </xf>
    <xf numFmtId="3" fontId="30" fillId="0" borderId="60" xfId="0" applyNumberFormat="1" applyFont="1" applyBorder="1" applyAlignment="1">
      <alignment horizontal="right" vertical="center"/>
    </xf>
    <xf numFmtId="3" fontId="30" fillId="0" borderId="135" xfId="0" applyNumberFormat="1" applyFont="1" applyBorder="1" applyAlignment="1">
      <alignment horizontal="right" vertical="center"/>
    </xf>
    <xf numFmtId="3" fontId="30" fillId="0" borderId="58" xfId="0" applyNumberFormat="1" applyFont="1" applyBorder="1" applyAlignment="1">
      <alignment horizontal="right" vertical="center"/>
    </xf>
    <xf numFmtId="3" fontId="94" fillId="0" borderId="72" xfId="0" applyNumberFormat="1" applyFont="1" applyBorder="1" applyAlignment="1">
      <alignment horizontal="right" vertical="center"/>
    </xf>
    <xf numFmtId="3" fontId="94" fillId="0" borderId="62" xfId="0" applyNumberFormat="1" applyFont="1" applyBorder="1" applyAlignment="1">
      <alignment horizontal="right" vertical="center"/>
    </xf>
    <xf numFmtId="3" fontId="30" fillId="0" borderId="72" xfId="0" applyNumberFormat="1" applyFont="1" applyBorder="1" applyAlignment="1">
      <alignment horizontal="right" vertical="center"/>
    </xf>
    <xf numFmtId="3" fontId="30" fillId="0" borderId="62" xfId="0" applyNumberFormat="1" applyFont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2" xfId="0" applyNumberFormat="1" applyFont="1" applyBorder="1" applyAlignment="1">
      <alignment vertical="center"/>
    </xf>
    <xf numFmtId="3" fontId="94" fillId="0" borderId="62" xfId="0" applyNumberFormat="1" applyFont="1" applyBorder="1" applyAlignment="1">
      <alignment vertical="center"/>
    </xf>
    <xf numFmtId="3" fontId="94" fillId="0" borderId="65" xfId="0" applyNumberFormat="1" applyFont="1" applyBorder="1" applyAlignment="1">
      <alignment vertical="center"/>
    </xf>
    <xf numFmtId="3" fontId="30" fillId="0" borderId="74" xfId="0" applyNumberFormat="1" applyFont="1" applyBorder="1" applyAlignment="1">
      <alignment horizontal="right" vertical="center"/>
    </xf>
    <xf numFmtId="3" fontId="25" fillId="0" borderId="61" xfId="0" applyNumberFormat="1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/>
    </xf>
    <xf numFmtId="3" fontId="30" fillId="0" borderId="38" xfId="0" applyNumberFormat="1" applyFont="1" applyBorder="1" applyAlignment="1">
      <alignment vertical="center"/>
    </xf>
    <xf numFmtId="3" fontId="94" fillId="0" borderId="44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 horizontal="right" vertical="center"/>
    </xf>
    <xf numFmtId="3" fontId="94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94" fillId="0" borderId="51" xfId="0" applyNumberFormat="1" applyFont="1" applyBorder="1" applyAlignment="1">
      <alignment vertical="center"/>
    </xf>
    <xf numFmtId="3" fontId="94" fillId="0" borderId="52" xfId="0" applyNumberFormat="1" applyFont="1" applyBorder="1" applyAlignment="1">
      <alignment vertical="center"/>
    </xf>
    <xf numFmtId="3" fontId="94" fillId="0" borderId="54" xfId="0" applyNumberFormat="1" applyFont="1" applyBorder="1" applyAlignment="1">
      <alignment vertical="center"/>
    </xf>
    <xf numFmtId="3" fontId="30" fillId="0" borderId="76" xfId="0" applyNumberFormat="1" applyFont="1" applyBorder="1" applyAlignment="1">
      <alignment vertical="center"/>
    </xf>
    <xf numFmtId="3" fontId="30" fillId="0" borderId="42" xfId="0" applyNumberFormat="1" applyFont="1" applyBorder="1" applyAlignment="1">
      <alignment vertical="center"/>
    </xf>
    <xf numFmtId="3" fontId="30" fillId="0" borderId="61" xfId="0" applyNumberFormat="1" applyFont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0" fillId="0" borderId="63" xfId="107" applyNumberFormat="1" applyFont="1" applyBorder="1" applyAlignment="1">
      <alignment horizontal="right"/>
      <protection/>
    </xf>
    <xf numFmtId="0" fontId="72" fillId="49" borderId="44" xfId="107" applyFont="1" applyFill="1" applyBorder="1" applyAlignment="1">
      <alignment horizontal="center" vertical="center" wrapText="1"/>
      <protection/>
    </xf>
    <xf numFmtId="0" fontId="72" fillId="49" borderId="52" xfId="107" applyFont="1" applyFill="1" applyBorder="1" applyAlignment="1">
      <alignment vertical="center" wrapText="1"/>
      <protection/>
    </xf>
    <xf numFmtId="0" fontId="19" fillId="0" borderId="36" xfId="105" applyFont="1" applyBorder="1" applyAlignment="1">
      <alignment wrapText="1"/>
      <protection/>
    </xf>
    <xf numFmtId="3" fontId="19" fillId="0" borderId="54" xfId="105" applyNumberFormat="1" applyFont="1" applyBorder="1" applyAlignment="1">
      <alignment horizontal="right"/>
      <protection/>
    </xf>
    <xf numFmtId="0" fontId="72" fillId="49" borderId="37" xfId="107" applyFont="1" applyFill="1" applyBorder="1" applyAlignment="1">
      <alignment horizontal="center" vertical="center" wrapText="1"/>
      <protection/>
    </xf>
    <xf numFmtId="3" fontId="80" fillId="0" borderId="88" xfId="107" applyNumberFormat="1" applyFont="1" applyBorder="1" applyAlignment="1">
      <alignment horizontal="right"/>
      <protection/>
    </xf>
    <xf numFmtId="0" fontId="14" fillId="0" borderId="125" xfId="107" applyBorder="1">
      <alignment/>
      <protection/>
    </xf>
    <xf numFmtId="0" fontId="75" fillId="0" borderId="63" xfId="107" applyFont="1" applyBorder="1" applyAlignment="1">
      <alignment vertical="center" wrapText="1"/>
      <protection/>
    </xf>
    <xf numFmtId="3" fontId="19" fillId="0" borderId="46" xfId="105" applyNumberFormat="1" applyFont="1" applyBorder="1" applyAlignment="1">
      <alignment horizontal="right"/>
      <protection/>
    </xf>
    <xf numFmtId="3" fontId="101" fillId="0" borderId="52" xfId="105" applyNumberFormat="1" applyFont="1" applyBorder="1" applyAlignment="1">
      <alignment horizontal="right"/>
      <protection/>
    </xf>
    <xf numFmtId="164" fontId="57" fillId="0" borderId="0" xfId="99" applyNumberFormat="1" applyAlignment="1">
      <alignment vertical="center" wrapText="1"/>
      <protection/>
    </xf>
    <xf numFmtId="164" fontId="57" fillId="0" borderId="0" xfId="99" applyNumberFormat="1" applyAlignment="1">
      <alignment horizontal="center" vertical="center" wrapText="1"/>
      <protection/>
    </xf>
    <xf numFmtId="164" fontId="52" fillId="0" borderId="0" xfId="99" applyNumberFormat="1" applyFont="1" applyAlignment="1">
      <alignment horizontal="right"/>
      <protection/>
    </xf>
    <xf numFmtId="164" fontId="35" fillId="0" borderId="0" xfId="99" applyNumberFormat="1" applyFont="1" applyAlignment="1">
      <alignment vertical="center"/>
      <protection/>
    </xf>
    <xf numFmtId="164" fontId="46" fillId="0" borderId="136" xfId="99" applyNumberFormat="1" applyFont="1" applyBorder="1" applyAlignment="1">
      <alignment horizontal="center" vertical="center"/>
      <protection/>
    </xf>
    <xf numFmtId="164" fontId="46" fillId="0" borderId="137" xfId="99" applyNumberFormat="1" applyFont="1" applyBorder="1" applyAlignment="1">
      <alignment horizontal="center" vertical="center" wrapText="1"/>
      <protection/>
    </xf>
    <xf numFmtId="164" fontId="35" fillId="0" borderId="0" xfId="99" applyNumberFormat="1" applyFont="1" applyAlignment="1">
      <alignment horizontal="center" vertical="center"/>
      <protection/>
    </xf>
    <xf numFmtId="164" fontId="34" fillId="0" borderId="138" xfId="99" applyNumberFormat="1" applyFont="1" applyBorder="1" applyAlignment="1">
      <alignment horizontal="center" vertical="center" wrapText="1"/>
      <protection/>
    </xf>
    <xf numFmtId="164" fontId="34" fillId="0" borderId="139" xfId="99" applyNumberFormat="1" applyFont="1" applyBorder="1" applyAlignment="1">
      <alignment horizontal="center" vertical="center" wrapText="1"/>
      <protection/>
    </xf>
    <xf numFmtId="164" fontId="34" fillId="0" borderId="140" xfId="99" applyNumberFormat="1" applyFont="1" applyBorder="1" applyAlignment="1">
      <alignment horizontal="center" vertical="center" wrapText="1"/>
      <protection/>
    </xf>
    <xf numFmtId="164" fontId="34" fillId="0" borderId="113" xfId="99" applyNumberFormat="1" applyFont="1" applyBorder="1" applyAlignment="1">
      <alignment horizontal="center" vertical="center" wrapText="1"/>
      <protection/>
    </xf>
    <xf numFmtId="164" fontId="34" fillId="0" borderId="141" xfId="99" applyNumberFormat="1" applyFont="1" applyBorder="1" applyAlignment="1">
      <alignment horizontal="center" vertical="center" wrapText="1"/>
      <protection/>
    </xf>
    <xf numFmtId="164" fontId="35" fillId="0" borderId="0" xfId="99" applyNumberFormat="1" applyFont="1" applyAlignment="1">
      <alignment horizontal="center" vertical="center" wrapText="1"/>
      <protection/>
    </xf>
    <xf numFmtId="164" fontId="34" fillId="0" borderId="139" xfId="99" applyNumberFormat="1" applyFont="1" applyBorder="1" applyAlignment="1">
      <alignment horizontal="left" vertical="center" wrapText="1" indent="1"/>
      <protection/>
    </xf>
    <xf numFmtId="49" fontId="102" fillId="0" borderId="142" xfId="99" applyNumberFormat="1" applyFont="1" applyBorder="1" applyAlignment="1" applyProtection="1">
      <alignment horizontal="center" vertical="center" wrapText="1"/>
      <protection locked="0"/>
    </xf>
    <xf numFmtId="164" fontId="102" fillId="0" borderId="139" xfId="99" applyNumberFormat="1" applyFont="1" applyBorder="1" applyAlignment="1">
      <alignment vertical="center" wrapText="1"/>
      <protection/>
    </xf>
    <xf numFmtId="164" fontId="102" fillId="0" borderId="143" xfId="99" applyNumberFormat="1" applyFont="1" applyBorder="1" applyAlignment="1">
      <alignment vertical="center" wrapText="1"/>
      <protection/>
    </xf>
    <xf numFmtId="164" fontId="102" fillId="0" borderId="142" xfId="99" applyNumberFormat="1" applyFont="1" applyBorder="1" applyAlignment="1">
      <alignment vertical="center" wrapText="1"/>
      <protection/>
    </xf>
    <xf numFmtId="164" fontId="102" fillId="0" borderId="113" xfId="99" applyNumberFormat="1" applyFont="1" applyBorder="1" applyAlignment="1">
      <alignment vertical="center" wrapText="1"/>
      <protection/>
    </xf>
    <xf numFmtId="164" fontId="33" fillId="0" borderId="139" xfId="99" applyNumberFormat="1" applyFont="1" applyBorder="1" applyAlignment="1">
      <alignment vertical="center" wrapText="1"/>
      <protection/>
    </xf>
    <xf numFmtId="164" fontId="33" fillId="0" borderId="144" xfId="99" applyNumberFormat="1" applyFont="1" applyBorder="1" applyAlignment="1" applyProtection="1">
      <alignment horizontal="left" vertical="center" wrapText="1" indent="1"/>
      <protection locked="0"/>
    </xf>
    <xf numFmtId="49" fontId="102" fillId="0" borderId="99" xfId="99" applyNumberFormat="1" applyFont="1" applyBorder="1" applyAlignment="1" applyProtection="1">
      <alignment horizontal="center" vertical="center" wrapText="1"/>
      <protection locked="0"/>
    </xf>
    <xf numFmtId="164" fontId="102" fillId="0" borderId="144" xfId="99" applyNumberFormat="1" applyFont="1" applyBorder="1" applyAlignment="1" applyProtection="1">
      <alignment vertical="center" wrapText="1"/>
      <protection locked="0"/>
    </xf>
    <xf numFmtId="164" fontId="102" fillId="0" borderId="97" xfId="99" applyNumberFormat="1" applyFont="1" applyBorder="1" applyAlignment="1" applyProtection="1">
      <alignment vertical="center" wrapText="1"/>
      <protection locked="0"/>
    </xf>
    <xf numFmtId="164" fontId="102" fillId="0" borderId="99" xfId="99" applyNumberFormat="1" applyFont="1" applyBorder="1" applyAlignment="1" applyProtection="1">
      <alignment vertical="center" wrapText="1"/>
      <protection locked="0"/>
    </xf>
    <xf numFmtId="164" fontId="102" fillId="0" borderId="115" xfId="99" applyNumberFormat="1" applyFont="1" applyBorder="1" applyAlignment="1" applyProtection="1">
      <alignment vertical="center" wrapText="1"/>
      <protection locked="0"/>
    </xf>
    <xf numFmtId="164" fontId="33" fillId="0" borderId="144" xfId="99" applyNumberFormat="1" applyFont="1" applyBorder="1" applyAlignment="1">
      <alignment vertical="center" wrapText="1"/>
      <protection/>
    </xf>
    <xf numFmtId="164" fontId="34" fillId="0" borderId="141" xfId="99" applyNumberFormat="1" applyFont="1" applyBorder="1" applyAlignment="1">
      <alignment horizontal="left" vertical="center" wrapText="1" indent="1"/>
      <protection/>
    </xf>
    <xf numFmtId="164" fontId="33" fillId="0" borderId="141" xfId="99" applyNumberFormat="1" applyFont="1" applyBorder="1" applyAlignment="1">
      <alignment horizontal="left" vertical="center" wrapText="1" indent="1"/>
      <protection/>
    </xf>
    <xf numFmtId="49" fontId="102" fillId="0" borderId="145" xfId="99" applyNumberFormat="1" applyFont="1" applyBorder="1" applyAlignment="1" applyProtection="1">
      <alignment horizontal="center" vertical="center" wrapText="1"/>
      <protection locked="0"/>
    </xf>
    <xf numFmtId="164" fontId="102" fillId="0" borderId="141" xfId="99" applyNumberFormat="1" applyFont="1" applyBorder="1" applyAlignment="1">
      <alignment vertical="center" wrapText="1"/>
      <protection/>
    </xf>
    <xf numFmtId="164" fontId="102" fillId="0" borderId="145" xfId="99" applyNumberFormat="1" applyFont="1" applyBorder="1" applyAlignment="1">
      <alignment vertical="center" wrapText="1"/>
      <protection/>
    </xf>
    <xf numFmtId="164" fontId="102" fillId="0" borderId="108" xfId="99" applyNumberFormat="1" applyFont="1" applyBorder="1" applyAlignment="1">
      <alignment vertical="center" wrapText="1"/>
      <protection/>
    </xf>
    <xf numFmtId="164" fontId="33" fillId="0" borderId="141" xfId="99" applyNumberFormat="1" applyFont="1" applyBorder="1" applyAlignment="1">
      <alignment vertical="center" wrapText="1"/>
      <protection/>
    </xf>
    <xf numFmtId="164" fontId="33" fillId="0" borderId="146" xfId="99" applyNumberFormat="1" applyFont="1" applyBorder="1" applyAlignment="1" applyProtection="1">
      <alignment horizontal="left" vertical="center" wrapText="1" indent="1"/>
      <protection locked="0"/>
    </xf>
    <xf numFmtId="164" fontId="34" fillId="0" borderId="139" xfId="99" applyNumberFormat="1" applyFont="1" applyBorder="1" applyAlignment="1">
      <alignment horizontal="left" vertical="center" wrapText="1" indent="1"/>
      <protection/>
    </xf>
    <xf numFmtId="164" fontId="33" fillId="0" borderId="147" xfId="99" applyNumberFormat="1" applyFont="1" applyBorder="1" applyAlignment="1" applyProtection="1">
      <alignment horizontal="left" vertical="center" wrapText="1" indent="1"/>
      <protection locked="0"/>
    </xf>
    <xf numFmtId="49" fontId="102" fillId="0" borderId="96" xfId="99" applyNumberFormat="1" applyFont="1" applyBorder="1" applyAlignment="1" applyProtection="1">
      <alignment horizontal="center" vertical="center" wrapText="1"/>
      <protection locked="0"/>
    </xf>
    <xf numFmtId="164" fontId="102" fillId="0" borderId="148" xfId="99" applyNumberFormat="1" applyFont="1" applyBorder="1" applyAlignment="1">
      <alignment vertical="center" wrapText="1"/>
      <protection/>
    </xf>
    <xf numFmtId="49" fontId="102" fillId="0" borderId="149" xfId="99" applyNumberFormat="1" applyFont="1" applyBorder="1" applyAlignment="1" applyProtection="1">
      <alignment horizontal="center" vertical="center" wrapText="1"/>
      <protection locked="0"/>
    </xf>
    <xf numFmtId="164" fontId="102" fillId="0" borderId="150" xfId="99" applyNumberFormat="1" applyFont="1" applyBorder="1" applyAlignment="1" applyProtection="1">
      <alignment vertical="center" wrapText="1"/>
      <protection locked="0"/>
    </xf>
    <xf numFmtId="164" fontId="102" fillId="0" borderId="98" xfId="99" applyNumberFormat="1" applyFont="1" applyBorder="1" applyAlignment="1" applyProtection="1">
      <alignment vertical="center" wrapText="1"/>
      <protection locked="0"/>
    </xf>
    <xf numFmtId="164" fontId="102" fillId="0" borderId="100" xfId="99" applyNumberFormat="1" applyFont="1" applyBorder="1" applyAlignment="1" applyProtection="1">
      <alignment vertical="center" wrapText="1"/>
      <protection locked="0"/>
    </xf>
    <xf numFmtId="164" fontId="102" fillId="0" borderId="137" xfId="99" applyNumberFormat="1" applyFont="1" applyBorder="1" applyAlignment="1" applyProtection="1">
      <alignment vertical="center" wrapText="1"/>
      <protection locked="0"/>
    </xf>
    <xf numFmtId="164" fontId="33" fillId="0" borderId="150" xfId="99" applyNumberFormat="1" applyFont="1" applyBorder="1" applyAlignment="1">
      <alignment vertical="center" wrapText="1"/>
      <protection/>
    </xf>
    <xf numFmtId="164" fontId="102" fillId="53" borderId="140" xfId="99" applyNumberFormat="1" applyFont="1" applyFill="1" applyBorder="1" applyAlignment="1">
      <alignment horizontal="left" vertical="center" wrapText="1" indent="2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3" fontId="0" fillId="0" borderId="100" xfId="95" applyNumberFormat="1" applyBorder="1">
      <alignment/>
      <protection/>
    </xf>
    <xf numFmtId="0" fontId="0" fillId="0" borderId="100" xfId="95" applyBorder="1">
      <alignment/>
      <protection/>
    </xf>
    <xf numFmtId="0" fontId="0" fillId="0" borderId="100" xfId="95" applyBorder="1" applyAlignment="1">
      <alignment vertical="center" wrapText="1"/>
      <protection/>
    </xf>
    <xf numFmtId="3" fontId="0" fillId="0" borderId="151" xfId="95" applyNumberFormat="1" applyBorder="1" applyAlignment="1">
      <alignment horizontal="right" vertical="center"/>
      <protection/>
    </xf>
    <xf numFmtId="3" fontId="0" fillId="0" borderId="152" xfId="95" applyNumberFormat="1" applyBorder="1" applyAlignment="1">
      <alignment horizontal="right" vertical="center"/>
      <protection/>
    </xf>
    <xf numFmtId="3" fontId="0" fillId="0" borderId="153" xfId="95" applyNumberFormat="1" applyBorder="1" applyAlignment="1">
      <alignment horizontal="right" vertical="center"/>
      <protection/>
    </xf>
    <xf numFmtId="0" fontId="0" fillId="0" borderId="153" xfId="95" applyBorder="1" applyAlignment="1">
      <alignment horizontal="left" vertical="center"/>
      <protection/>
    </xf>
    <xf numFmtId="0" fontId="0" fillId="0" borderId="153" xfId="95" applyBorder="1" applyAlignment="1">
      <alignment horizontal="left" vertical="center" wrapText="1"/>
      <protection/>
    </xf>
    <xf numFmtId="0" fontId="26" fillId="0" borderId="96" xfId="95" applyFont="1" applyBorder="1" applyAlignment="1">
      <alignment horizontal="center" vertical="center"/>
      <protection/>
    </xf>
    <xf numFmtId="0" fontId="0" fillId="0" borderId="100" xfId="95" applyBorder="1" applyAlignment="1">
      <alignment wrapText="1"/>
      <protection/>
    </xf>
    <xf numFmtId="0" fontId="0" fillId="0" borderId="152" xfId="95" applyBorder="1">
      <alignment/>
      <protection/>
    </xf>
    <xf numFmtId="3" fontId="0" fillId="0" borderId="152" xfId="95" applyNumberFormat="1" applyBorder="1">
      <alignment/>
      <protection/>
    </xf>
    <xf numFmtId="0" fontId="0" fillId="0" borderId="152" xfId="95" applyBorder="1" applyAlignment="1">
      <alignment vertical="center" wrapText="1"/>
      <protection/>
    </xf>
    <xf numFmtId="0" fontId="0" fillId="0" borderId="145" xfId="95" applyBorder="1" applyAlignment="1">
      <alignment vertical="center"/>
      <protection/>
    </xf>
    <xf numFmtId="3" fontId="0" fillId="0" borderId="145" xfId="95" applyNumberFormat="1" applyBorder="1" applyAlignment="1">
      <alignment vertical="center" wrapText="1"/>
      <protection/>
    </xf>
    <xf numFmtId="0" fontId="0" fillId="0" borderId="145" xfId="95" applyBorder="1" applyAlignment="1">
      <alignment vertical="center" wrapText="1"/>
      <protection/>
    </xf>
    <xf numFmtId="0" fontId="0" fillId="0" borderId="153" xfId="95" applyBorder="1" applyAlignment="1">
      <alignment vertical="center"/>
      <protection/>
    </xf>
    <xf numFmtId="3" fontId="0" fillId="0" borderId="153" xfId="95" applyNumberFormat="1" applyBorder="1" applyAlignment="1">
      <alignment vertical="center" wrapText="1"/>
      <protection/>
    </xf>
    <xf numFmtId="0" fontId="0" fillId="0" borderId="153" xfId="95" applyBorder="1" applyAlignment="1">
      <alignment vertical="center" wrapText="1"/>
      <protection/>
    </xf>
    <xf numFmtId="0" fontId="0" fillId="0" borderId="0" xfId="95" applyAlignment="1">
      <alignment vertical="center" wrapText="1"/>
      <protection/>
    </xf>
    <xf numFmtId="0" fontId="0" fillId="0" borderId="0" xfId="95" applyAlignment="1">
      <alignment horizontal="left" vertical="center" wrapText="1"/>
      <protection/>
    </xf>
    <xf numFmtId="3" fontId="0" fillId="0" borderId="151" xfId="95" applyNumberFormat="1" applyBorder="1">
      <alignment/>
      <protection/>
    </xf>
    <xf numFmtId="0" fontId="0" fillId="0" borderId="151" xfId="95" applyBorder="1">
      <alignment/>
      <protection/>
    </xf>
    <xf numFmtId="0" fontId="0" fillId="0" borderId="151" xfId="95" applyBorder="1" applyAlignment="1">
      <alignment wrapText="1"/>
      <protection/>
    </xf>
    <xf numFmtId="0" fontId="26" fillId="0" borderId="154" xfId="95" applyFont="1" applyBorder="1" applyAlignment="1">
      <alignment horizontal="center" vertical="center"/>
      <protection/>
    </xf>
    <xf numFmtId="3" fontId="26" fillId="0" borderId="99" xfId="95" applyNumberFormat="1" applyFont="1" applyBorder="1" applyAlignment="1">
      <alignment wrapText="1"/>
      <protection/>
    </xf>
    <xf numFmtId="0" fontId="0" fillId="0" borderId="99" xfId="95" applyBorder="1">
      <alignment/>
      <protection/>
    </xf>
    <xf numFmtId="0" fontId="0" fillId="0" borderId="99" xfId="95" applyBorder="1" applyAlignment="1">
      <alignment wrapText="1"/>
      <protection/>
    </xf>
    <xf numFmtId="0" fontId="26" fillId="0" borderId="99" xfId="95" applyFont="1" applyBorder="1">
      <alignment/>
      <protection/>
    </xf>
    <xf numFmtId="0" fontId="26" fillId="0" borderId="155" xfId="95" applyFont="1" applyBorder="1">
      <alignment/>
      <protection/>
    </xf>
    <xf numFmtId="0" fontId="26" fillId="0" borderId="0" xfId="95" applyFont="1" applyAlignment="1">
      <alignment horizontal="center"/>
      <protection/>
    </xf>
    <xf numFmtId="0" fontId="26" fillId="0" borderId="143" xfId="95" applyFont="1" applyBorder="1" applyAlignment="1">
      <alignment horizontal="center" vertical="center" wrapText="1"/>
      <protection/>
    </xf>
    <xf numFmtId="0" fontId="58" fillId="0" borderId="0" xfId="95" applyFont="1" applyAlignment="1">
      <alignment horizontal="right"/>
      <protection/>
    </xf>
    <xf numFmtId="164" fontId="33" fillId="0" borderId="69" xfId="0" applyNumberFormat="1" applyFont="1" applyBorder="1" applyAlignment="1">
      <alignment horizontal="right" vertical="center" wrapText="1" indent="1"/>
    </xf>
    <xf numFmtId="164" fontId="33" fillId="0" borderId="39" xfId="0" applyNumberFormat="1" applyFont="1" applyBorder="1" applyAlignment="1">
      <alignment horizontal="right" vertical="center" wrapText="1" indent="1"/>
    </xf>
    <xf numFmtId="164" fontId="33" fillId="0" borderId="42" xfId="0" applyNumberFormat="1" applyFont="1" applyBorder="1" applyAlignment="1">
      <alignment horizontal="right" vertical="center" wrapText="1" indent="1"/>
    </xf>
    <xf numFmtId="0" fontId="26" fillId="0" borderId="156" xfId="95" applyFont="1" applyBorder="1" applyAlignment="1">
      <alignment horizontal="center" vertical="center"/>
      <protection/>
    </xf>
    <xf numFmtId="3" fontId="0" fillId="0" borderId="43" xfId="0" applyNumberFormat="1" applyBorder="1" applyAlignment="1">
      <alignment/>
    </xf>
    <xf numFmtId="0" fontId="14" fillId="0" borderId="0" xfId="108">
      <alignment/>
      <protection/>
    </xf>
    <xf numFmtId="0" fontId="14" fillId="0" borderId="0" xfId="108" applyAlignment="1">
      <alignment wrapText="1"/>
      <protection/>
    </xf>
    <xf numFmtId="0" fontId="14" fillId="0" borderId="0" xfId="108" applyAlignment="1">
      <alignment horizontal="left" wrapText="1"/>
      <protection/>
    </xf>
    <xf numFmtId="0" fontId="81" fillId="0" borderId="0" xfId="108" applyFont="1" applyAlignment="1">
      <alignment horizontal="center"/>
      <protection/>
    </xf>
    <xf numFmtId="0" fontId="81" fillId="0" borderId="0" xfId="108" applyFont="1" applyAlignment="1">
      <alignment horizontal="center" wrapText="1"/>
      <protection/>
    </xf>
    <xf numFmtId="0" fontId="72" fillId="0" borderId="0" xfId="108" applyFont="1" applyAlignment="1">
      <alignment horizontal="center"/>
      <protection/>
    </xf>
    <xf numFmtId="0" fontId="14" fillId="0" borderId="157" xfId="108" applyBorder="1">
      <alignment/>
      <protection/>
    </xf>
    <xf numFmtId="0" fontId="72" fillId="0" borderId="0" xfId="108" applyFont="1" applyAlignment="1">
      <alignment horizontal="center" wrapText="1"/>
      <protection/>
    </xf>
    <xf numFmtId="0" fontId="14" fillId="0" borderId="0" xfId="108" applyAlignment="1">
      <alignment horizontal="right"/>
      <protection/>
    </xf>
    <xf numFmtId="0" fontId="43" fillId="0" borderId="0" xfId="108" applyFont="1" applyAlignment="1">
      <alignment horizontal="center"/>
      <protection/>
    </xf>
    <xf numFmtId="0" fontId="26" fillId="1" borderId="138" xfId="108" applyFont="1" applyFill="1" applyBorder="1" applyAlignment="1">
      <alignment horizontal="center" vertical="center"/>
      <protection/>
    </xf>
    <xf numFmtId="0" fontId="26" fillId="1" borderId="142" xfId="108" applyFont="1" applyFill="1" applyBorder="1" applyAlignment="1">
      <alignment horizontal="center" vertical="center" wrapText="1"/>
      <protection/>
    </xf>
    <xf numFmtId="0" fontId="26" fillId="1" borderId="156" xfId="108" applyFont="1" applyFill="1" applyBorder="1" applyAlignment="1">
      <alignment horizontal="center" vertical="center"/>
      <protection/>
    </xf>
    <xf numFmtId="0" fontId="26" fillId="1" borderId="143" xfId="108" applyFont="1" applyFill="1" applyBorder="1" applyAlignment="1">
      <alignment horizontal="center" vertical="center" wrapText="1"/>
      <protection/>
    </xf>
    <xf numFmtId="3" fontId="14" fillId="0" borderId="0" xfId="108" applyNumberFormat="1">
      <alignment/>
      <protection/>
    </xf>
    <xf numFmtId="0" fontId="0" fillId="0" borderId="96" xfId="108" applyFont="1" applyBorder="1" applyAlignment="1">
      <alignment horizontal="center" vertical="center"/>
      <protection/>
    </xf>
    <xf numFmtId="0" fontId="0" fillId="0" borderId="153" xfId="108" applyFont="1" applyBorder="1" applyAlignment="1">
      <alignment horizontal="left" vertical="center" wrapText="1"/>
      <protection/>
    </xf>
    <xf numFmtId="3" fontId="24" fillId="0" borderId="96" xfId="108" applyNumberFormat="1" applyFont="1" applyBorder="1" applyAlignment="1">
      <alignment horizontal="right" vertical="center"/>
      <protection/>
    </xf>
    <xf numFmtId="0" fontId="0" fillId="0" borderId="158" xfId="108" applyFont="1" applyBorder="1" applyAlignment="1">
      <alignment horizontal="center" vertical="center"/>
      <protection/>
    </xf>
    <xf numFmtId="0" fontId="0" fillId="0" borderId="151" xfId="108" applyFont="1" applyBorder="1" applyAlignment="1">
      <alignment horizontal="left" vertical="center" wrapText="1"/>
      <protection/>
    </xf>
    <xf numFmtId="0" fontId="0" fillId="0" borderId="159" xfId="108" applyFont="1" applyBorder="1" applyAlignment="1">
      <alignment horizontal="center" vertical="center"/>
      <protection/>
    </xf>
    <xf numFmtId="3" fontId="24" fillId="0" borderId="154" xfId="108" applyNumberFormat="1" applyFont="1" applyBorder="1" applyAlignment="1">
      <alignment horizontal="right" vertical="center"/>
      <protection/>
    </xf>
    <xf numFmtId="0" fontId="21" fillId="0" borderId="151" xfId="108" applyFont="1" applyBorder="1" applyAlignment="1">
      <alignment vertical="center" wrapText="1"/>
      <protection/>
    </xf>
    <xf numFmtId="0" fontId="21" fillId="0" borderId="159" xfId="108" applyFont="1" applyBorder="1" applyAlignment="1">
      <alignment horizontal="center" vertical="center"/>
      <protection/>
    </xf>
    <xf numFmtId="0" fontId="0" fillId="0" borderId="99" xfId="108" applyFont="1" applyBorder="1" applyAlignment="1">
      <alignment horizontal="left" vertical="center" wrapText="1"/>
      <protection/>
    </xf>
    <xf numFmtId="0" fontId="0" fillId="0" borderId="160" xfId="108" applyFont="1" applyBorder="1" applyAlignment="1">
      <alignment horizontal="center" vertical="center"/>
      <protection/>
    </xf>
    <xf numFmtId="0" fontId="21" fillId="0" borderId="161" xfId="108" applyFont="1" applyBorder="1" applyAlignment="1">
      <alignment horizontal="center" vertical="center"/>
      <protection/>
    </xf>
    <xf numFmtId="3" fontId="24" fillId="0" borderId="97" xfId="108" applyNumberFormat="1" applyFont="1" applyBorder="1" applyAlignment="1">
      <alignment horizontal="right" vertical="center"/>
      <protection/>
    </xf>
    <xf numFmtId="0" fontId="0" fillId="0" borderId="161" xfId="108" applyFont="1" applyBorder="1" applyAlignment="1">
      <alignment horizontal="center" vertical="center"/>
      <protection/>
    </xf>
    <xf numFmtId="0" fontId="0" fillId="0" borderId="97" xfId="108" applyFont="1" applyBorder="1" applyAlignment="1">
      <alignment horizontal="center" vertical="center"/>
      <protection/>
    </xf>
    <xf numFmtId="0" fontId="26" fillId="0" borderId="142" xfId="108" applyFont="1" applyBorder="1" applyAlignment="1">
      <alignment vertical="center" wrapText="1"/>
      <protection/>
    </xf>
    <xf numFmtId="0" fontId="26" fillId="0" borderId="140" xfId="108" applyFont="1" applyBorder="1" applyAlignment="1">
      <alignment vertical="center"/>
      <protection/>
    </xf>
    <xf numFmtId="3" fontId="25" fillId="0" borderId="143" xfId="108" applyNumberFormat="1" applyFont="1" applyBorder="1" applyAlignment="1">
      <alignment vertical="center"/>
      <protection/>
    </xf>
    <xf numFmtId="0" fontId="42" fillId="0" borderId="0" xfId="108" applyFont="1" applyAlignment="1">
      <alignment vertical="center"/>
      <protection/>
    </xf>
    <xf numFmtId="0" fontId="146" fillId="0" borderId="0" xfId="108" applyFont="1">
      <alignment/>
      <protection/>
    </xf>
    <xf numFmtId="0" fontId="0" fillId="0" borderId="153" xfId="108" applyFont="1" applyBorder="1" applyAlignment="1">
      <alignment horizontal="left" vertical="center" wrapText="1"/>
      <protection/>
    </xf>
    <xf numFmtId="0" fontId="0" fillId="0" borderId="162" xfId="108" applyFont="1" applyBorder="1" applyAlignment="1">
      <alignment horizontal="center" vertical="center"/>
      <protection/>
    </xf>
    <xf numFmtId="0" fontId="19" fillId="0" borderId="40" xfId="105" applyFont="1" applyBorder="1">
      <alignment/>
      <protection/>
    </xf>
    <xf numFmtId="3" fontId="19" fillId="0" borderId="63" xfId="105" applyNumberFormat="1" applyFont="1" applyBorder="1">
      <alignment/>
      <protection/>
    </xf>
    <xf numFmtId="3" fontId="19" fillId="0" borderId="0" xfId="105" applyNumberFormat="1" applyFont="1">
      <alignment/>
      <protection/>
    </xf>
    <xf numFmtId="0" fontId="0" fillId="0" borderId="152" xfId="95" applyFont="1" applyBorder="1" applyAlignment="1">
      <alignment vertical="center" wrapText="1"/>
      <protection/>
    </xf>
    <xf numFmtId="0" fontId="75" fillId="0" borderId="52" xfId="107" applyFont="1" applyBorder="1" applyAlignment="1">
      <alignment vertical="center" wrapText="1"/>
      <protection/>
    </xf>
    <xf numFmtId="164" fontId="33" fillId="0" borderId="141" xfId="99" applyNumberFormat="1" applyFont="1" applyBorder="1" applyAlignment="1" applyProtection="1">
      <alignment horizontal="left" vertical="center" wrapText="1" indent="1"/>
      <protection locked="0"/>
    </xf>
    <xf numFmtId="164" fontId="102" fillId="0" borderId="141" xfId="99" applyNumberFormat="1" applyFont="1" applyBorder="1" applyAlignment="1" applyProtection="1">
      <alignment vertical="center" wrapText="1"/>
      <protection locked="0"/>
    </xf>
    <xf numFmtId="164" fontId="102" fillId="0" borderId="163" xfId="99" applyNumberFormat="1" applyFont="1" applyBorder="1" applyAlignment="1" applyProtection="1">
      <alignment vertical="center" wrapText="1"/>
      <protection locked="0"/>
    </xf>
    <xf numFmtId="164" fontId="102" fillId="0" borderId="145" xfId="99" applyNumberFormat="1" applyFont="1" applyBorder="1" applyAlignment="1" applyProtection="1">
      <alignment vertical="center" wrapText="1"/>
      <protection locked="0"/>
    </xf>
    <xf numFmtId="164" fontId="102" fillId="0" borderId="108" xfId="99" applyNumberFormat="1" applyFont="1" applyBorder="1" applyAlignment="1" applyProtection="1">
      <alignment vertical="center" wrapText="1"/>
      <protection locked="0"/>
    </xf>
    <xf numFmtId="0" fontId="19" fillId="0" borderId="119" xfId="106" applyFont="1" applyBorder="1" applyAlignment="1">
      <alignment wrapText="1"/>
      <protection/>
    </xf>
    <xf numFmtId="3" fontId="24" fillId="0" borderId="39" xfId="0" applyNumberFormat="1" applyFont="1" applyBorder="1" applyAlignment="1">
      <alignment horizontal="right" vertical="center" wrapText="1"/>
    </xf>
    <xf numFmtId="164" fontId="102" fillId="0" borderId="96" xfId="99" applyNumberFormat="1" applyFont="1" applyBorder="1" applyAlignment="1">
      <alignment vertical="center" wrapText="1"/>
      <protection/>
    </xf>
    <xf numFmtId="164" fontId="102" fillId="0" borderId="153" xfId="99" applyNumberFormat="1" applyFont="1" applyBorder="1" applyAlignment="1">
      <alignment vertical="center" wrapText="1"/>
      <protection/>
    </xf>
    <xf numFmtId="164" fontId="102" fillId="0" borderId="164" xfId="99" applyNumberFormat="1" applyFont="1" applyBorder="1" applyAlignment="1">
      <alignment vertical="center" wrapText="1"/>
      <protection/>
    </xf>
    <xf numFmtId="0" fontId="74" fillId="0" borderId="0" xfId="105" applyFont="1" applyAlignment="1">
      <alignment horizontal="center" vertical="center" wrapText="1"/>
      <protection/>
    </xf>
    <xf numFmtId="0" fontId="83" fillId="0" borderId="0" xfId="105" applyFont="1" applyAlignment="1">
      <alignment horizontal="right" vertical="center"/>
      <protection/>
    </xf>
    <xf numFmtId="0" fontId="46" fillId="0" borderId="75" xfId="0" applyFont="1" applyBorder="1" applyAlignment="1">
      <alignment horizontal="center" vertical="center" wrapText="1"/>
    </xf>
    <xf numFmtId="10" fontId="34" fillId="0" borderId="22" xfId="123" applyNumberFormat="1" applyFont="1" applyBorder="1" applyAlignment="1">
      <alignment horizontal="right" vertical="center" wrapText="1" indent="1"/>
    </xf>
    <xf numFmtId="10" fontId="33" fillId="0" borderId="69" xfId="123" applyNumberFormat="1" applyFont="1" applyBorder="1" applyAlignment="1">
      <alignment horizontal="right" vertical="center" wrapText="1" indent="1"/>
    </xf>
    <xf numFmtId="10" fontId="33" fillId="0" borderId="39" xfId="123" applyNumberFormat="1" applyFont="1" applyBorder="1" applyAlignment="1">
      <alignment horizontal="right" vertical="center" wrapText="1" indent="1"/>
    </xf>
    <xf numFmtId="10" fontId="33" fillId="0" borderId="42" xfId="123" applyNumberFormat="1" applyFont="1" applyBorder="1" applyAlignment="1">
      <alignment horizontal="right" vertical="center" wrapText="1" indent="1"/>
    </xf>
    <xf numFmtId="10" fontId="33" fillId="0" borderId="39" xfId="123" applyNumberFormat="1" applyFont="1" applyBorder="1" applyAlignment="1" applyProtection="1">
      <alignment horizontal="right" vertical="center" wrapText="1" indent="1"/>
      <protection locked="0"/>
    </xf>
    <xf numFmtId="10" fontId="33" fillId="0" borderId="69" xfId="123" applyNumberFormat="1" applyFont="1" applyBorder="1" applyAlignment="1" applyProtection="1">
      <alignment horizontal="right" vertical="center" wrapText="1" indent="1"/>
      <protection locked="0"/>
    </xf>
    <xf numFmtId="10" fontId="33" fillId="0" borderId="71" xfId="123" applyNumberFormat="1" applyFont="1" applyBorder="1" applyAlignment="1" applyProtection="1">
      <alignment horizontal="right" vertical="center" wrapText="1" indent="1"/>
      <protection locked="0"/>
    </xf>
    <xf numFmtId="10" fontId="34" fillId="0" borderId="22" xfId="123" applyNumberFormat="1" applyFont="1" applyBorder="1" applyAlignment="1" applyProtection="1">
      <alignment horizontal="right" vertical="center" wrapText="1" indent="1"/>
      <protection locked="0"/>
    </xf>
    <xf numFmtId="10" fontId="34" fillId="0" borderId="64" xfId="123" applyNumberFormat="1" applyFont="1" applyBorder="1" applyAlignment="1">
      <alignment horizontal="right" vertical="center" wrapText="1" indent="1"/>
    </xf>
    <xf numFmtId="10" fontId="33" fillId="0" borderId="75" xfId="123" applyNumberFormat="1" applyFont="1" applyBorder="1" applyAlignment="1" applyProtection="1">
      <alignment horizontal="right" vertical="center" wrapText="1" indent="1"/>
      <protection locked="0"/>
    </xf>
    <xf numFmtId="10" fontId="33" fillId="0" borderId="42" xfId="123" applyNumberFormat="1" applyFont="1" applyBorder="1" applyAlignment="1" applyProtection="1">
      <alignment horizontal="right" vertical="center" wrapText="1" indent="1"/>
      <protection locked="0"/>
    </xf>
    <xf numFmtId="10" fontId="33" fillId="0" borderId="73" xfId="123" applyNumberFormat="1" applyFont="1" applyBorder="1" applyAlignment="1" applyProtection="1">
      <alignment horizontal="right" vertical="center" wrapText="1" indent="1"/>
      <protection locked="0"/>
    </xf>
    <xf numFmtId="10" fontId="0" fillId="0" borderId="75" xfId="123" applyNumberFormat="1" applyFont="1" applyBorder="1" applyAlignment="1">
      <alignment horizontal="right" vertical="center" wrapText="1" indent="1"/>
    </xf>
    <xf numFmtId="10" fontId="51" fillId="0" borderId="22" xfId="123" applyNumberFormat="1" applyFont="1" applyBorder="1" applyAlignment="1" applyProtection="1">
      <alignment horizontal="right" vertical="center" wrapText="1" indent="1"/>
      <protection locked="0"/>
    </xf>
    <xf numFmtId="3" fontId="94" fillId="0" borderId="34" xfId="0" applyNumberFormat="1" applyFont="1" applyBorder="1" applyAlignment="1">
      <alignment vertical="center"/>
    </xf>
    <xf numFmtId="3" fontId="30" fillId="41" borderId="20" xfId="0" applyNumberFormat="1" applyFont="1" applyFill="1" applyBorder="1" applyAlignment="1">
      <alignment horizontal="right" vertical="center" wrapText="1"/>
    </xf>
    <xf numFmtId="3" fontId="30" fillId="0" borderId="20" xfId="0" applyNumberFormat="1" applyFont="1" applyBorder="1" applyAlignment="1">
      <alignment horizontal="right" vertical="center"/>
    </xf>
    <xf numFmtId="3" fontId="30" fillId="0" borderId="20" xfId="0" applyNumberFormat="1" applyFont="1" applyBorder="1" applyAlignment="1">
      <alignment vertical="center"/>
    </xf>
    <xf numFmtId="3" fontId="94" fillId="0" borderId="37" xfId="0" applyNumberFormat="1" applyFont="1" applyBorder="1" applyAlignment="1">
      <alignment vertical="center"/>
    </xf>
    <xf numFmtId="3" fontId="82" fillId="41" borderId="126" xfId="107" applyNumberFormat="1" applyFont="1" applyFill="1" applyBorder="1" applyAlignment="1">
      <alignment horizontal="center" vertical="center"/>
      <protection/>
    </xf>
    <xf numFmtId="10" fontId="79" fillId="0" borderId="39" xfId="123" applyNumberFormat="1" applyFont="1" applyBorder="1" applyAlignment="1">
      <alignment horizontal="right" vertical="center"/>
    </xf>
    <xf numFmtId="10" fontId="79" fillId="0" borderId="39" xfId="123" applyNumberFormat="1" applyFont="1" applyBorder="1" applyAlignment="1">
      <alignment vertical="center"/>
    </xf>
    <xf numFmtId="10" fontId="72" fillId="0" borderId="22" xfId="123" applyNumberFormat="1" applyFont="1" applyBorder="1" applyAlignment="1">
      <alignment horizontal="right" vertical="center"/>
    </xf>
    <xf numFmtId="10" fontId="24" fillId="0" borderId="96" xfId="123" applyNumberFormat="1" applyFont="1" applyBorder="1" applyAlignment="1">
      <alignment horizontal="right" vertical="center"/>
    </xf>
    <xf numFmtId="10" fontId="25" fillId="0" borderId="143" xfId="123" applyNumberFormat="1" applyFont="1" applyBorder="1" applyAlignment="1">
      <alignment vertical="center"/>
    </xf>
    <xf numFmtId="10" fontId="69" fillId="0" borderId="48" xfId="123" applyNumberFormat="1" applyFont="1" applyBorder="1" applyAlignment="1">
      <alignment horizontal="right" vertical="center" wrapText="1"/>
    </xf>
    <xf numFmtId="10" fontId="69" fillId="0" borderId="21" xfId="123" applyNumberFormat="1" applyFont="1" applyBorder="1" applyAlignment="1">
      <alignment horizontal="right" vertical="center" wrapText="1"/>
    </xf>
    <xf numFmtId="0" fontId="69" fillId="0" borderId="0" xfId="107" applyFont="1" applyAlignment="1">
      <alignment horizontal="right"/>
      <protection/>
    </xf>
    <xf numFmtId="0" fontId="69" fillId="0" borderId="0" xfId="107" applyFont="1">
      <alignment/>
      <protection/>
    </xf>
    <xf numFmtId="3" fontId="69" fillId="0" borderId="21" xfId="110" applyNumberFormat="1" applyFont="1" applyBorder="1" applyAlignment="1">
      <alignment horizontal="right" vertical="top"/>
      <protection/>
    </xf>
    <xf numFmtId="3" fontId="68" fillId="0" borderId="165" xfId="110" applyNumberFormat="1" applyFont="1" applyBorder="1" applyAlignment="1">
      <alignment vertical="center"/>
      <protection/>
    </xf>
    <xf numFmtId="10" fontId="68" fillId="0" borderId="165" xfId="123" applyNumberFormat="1" applyFont="1" applyBorder="1" applyAlignment="1">
      <alignment vertical="center"/>
    </xf>
    <xf numFmtId="3" fontId="69" fillId="0" borderId="0" xfId="107" applyNumberFormat="1" applyFont="1">
      <alignment/>
      <protection/>
    </xf>
    <xf numFmtId="0" fontId="68" fillId="0" borderId="0" xfId="0" applyFont="1" applyAlignment="1">
      <alignment horizontal="center" vertical="center" wrapText="1"/>
    </xf>
    <xf numFmtId="3" fontId="107" fillId="0" borderId="0" xfId="107" applyNumberFormat="1" applyFont="1" applyAlignment="1">
      <alignment horizontal="right"/>
      <protection/>
    </xf>
    <xf numFmtId="0" fontId="69" fillId="0" borderId="0" xfId="107" applyFont="1" applyAlignment="1">
      <alignment horizontal="center"/>
      <protection/>
    </xf>
    <xf numFmtId="0" fontId="69" fillId="0" borderId="0" xfId="110" applyFont="1">
      <alignment/>
      <protection/>
    </xf>
    <xf numFmtId="0" fontId="68" fillId="0" borderId="23" xfId="107" applyFont="1" applyBorder="1" applyAlignment="1">
      <alignment horizontal="center" vertical="center" wrapText="1"/>
      <protection/>
    </xf>
    <xf numFmtId="0" fontId="69" fillId="0" borderId="0" xfId="107" applyFont="1" applyAlignment="1">
      <alignment vertical="center" wrapText="1"/>
      <protection/>
    </xf>
    <xf numFmtId="0" fontId="68" fillId="0" borderId="60" xfId="107" applyFont="1" applyBorder="1" applyAlignment="1">
      <alignment horizontal="center" vertical="center" wrapText="1"/>
      <protection/>
    </xf>
    <xf numFmtId="3" fontId="69" fillId="0" borderId="21" xfId="107" applyNumberFormat="1" applyFont="1" applyBorder="1" applyAlignment="1">
      <alignment vertical="center" wrapText="1"/>
      <protection/>
    </xf>
    <xf numFmtId="0" fontId="68" fillId="0" borderId="21" xfId="107" applyFont="1" applyBorder="1" applyAlignment="1">
      <alignment horizontal="center" vertical="center" wrapText="1"/>
      <protection/>
    </xf>
    <xf numFmtId="10" fontId="69" fillId="0" borderId="21" xfId="123" applyNumberFormat="1" applyFont="1" applyBorder="1" applyAlignment="1">
      <alignment/>
    </xf>
    <xf numFmtId="0" fontId="69" fillId="0" borderId="21" xfId="107" applyFont="1" applyBorder="1">
      <alignment/>
      <protection/>
    </xf>
    <xf numFmtId="0" fontId="69" fillId="0" borderId="19" xfId="107" applyFont="1" applyBorder="1">
      <alignment/>
      <protection/>
    </xf>
    <xf numFmtId="3" fontId="69" fillId="0" borderId="21" xfId="107" applyNumberFormat="1" applyFont="1" applyBorder="1">
      <alignment/>
      <protection/>
    </xf>
    <xf numFmtId="0" fontId="69" fillId="0" borderId="20" xfId="0" applyFont="1" applyBorder="1" applyAlignment="1">
      <alignment/>
    </xf>
    <xf numFmtId="0" fontId="68" fillId="0" borderId="19" xfId="107" applyFont="1" applyBorder="1" applyAlignment="1">
      <alignment horizontal="center" vertical="center" wrapText="1"/>
      <protection/>
    </xf>
    <xf numFmtId="3" fontId="69" fillId="0" borderId="165" xfId="107" applyNumberFormat="1" applyFont="1" applyBorder="1">
      <alignment/>
      <protection/>
    </xf>
    <xf numFmtId="10" fontId="69" fillId="0" borderId="165" xfId="123" applyNumberFormat="1" applyFont="1" applyBorder="1" applyAlignment="1">
      <alignment/>
    </xf>
    <xf numFmtId="0" fontId="69" fillId="0" borderId="23" xfId="107" applyFont="1" applyBorder="1" applyAlignment="1">
      <alignment horizontal="center" vertical="center"/>
      <protection/>
    </xf>
    <xf numFmtId="3" fontId="74" fillId="13" borderId="59" xfId="107" applyNumberFormat="1" applyFont="1" applyFill="1" applyBorder="1" applyAlignment="1">
      <alignment vertical="center" wrapText="1"/>
      <protection/>
    </xf>
    <xf numFmtId="3" fontId="74" fillId="13" borderId="89" xfId="107" applyNumberFormat="1" applyFont="1" applyFill="1" applyBorder="1" applyAlignment="1">
      <alignment vertical="center" wrapText="1"/>
      <protection/>
    </xf>
    <xf numFmtId="3" fontId="74" fillId="13" borderId="88" xfId="107" applyNumberFormat="1" applyFont="1" applyFill="1" applyBorder="1" applyAlignment="1">
      <alignment vertical="center" wrapText="1"/>
      <protection/>
    </xf>
    <xf numFmtId="3" fontId="74" fillId="13" borderId="87" xfId="107" applyNumberFormat="1" applyFont="1" applyFill="1" applyBorder="1" applyAlignment="1">
      <alignment vertical="center" wrapText="1"/>
      <protection/>
    </xf>
    <xf numFmtId="3" fontId="74" fillId="13" borderId="166" xfId="107" applyNumberFormat="1" applyFont="1" applyFill="1" applyBorder="1" applyAlignment="1">
      <alignment vertical="center" wrapText="1"/>
      <protection/>
    </xf>
    <xf numFmtId="3" fontId="74" fillId="13" borderId="167" xfId="107" applyNumberFormat="1" applyFont="1" applyFill="1" applyBorder="1" applyAlignment="1">
      <alignment vertical="center" wrapText="1"/>
      <protection/>
    </xf>
    <xf numFmtId="10" fontId="75" fillId="0" borderId="52" xfId="123" applyNumberFormat="1" applyFont="1" applyBorder="1" applyAlignment="1">
      <alignment horizontal="right" vertical="center" wrapText="1"/>
    </xf>
    <xf numFmtId="10" fontId="91" fillId="13" borderId="84" xfId="123" applyNumberFormat="1" applyFont="1" applyFill="1" applyBorder="1" applyAlignment="1">
      <alignment horizontal="right" vertical="center" wrapText="1"/>
    </xf>
    <xf numFmtId="10" fontId="80" fillId="0" borderId="52" xfId="123" applyNumberFormat="1" applyFont="1" applyBorder="1" applyAlignment="1">
      <alignment horizontal="right"/>
    </xf>
    <xf numFmtId="10" fontId="96" fillId="0" borderId="52" xfId="123" applyNumberFormat="1" applyFont="1" applyBorder="1" applyAlignment="1">
      <alignment horizontal="right"/>
    </xf>
    <xf numFmtId="10" fontId="80" fillId="0" borderId="46" xfId="123" applyNumberFormat="1" applyFont="1" applyBorder="1" applyAlignment="1">
      <alignment horizontal="right"/>
    </xf>
    <xf numFmtId="10" fontId="81" fillId="51" borderId="54" xfId="123" applyNumberFormat="1" applyFont="1" applyFill="1" applyBorder="1" applyAlignment="1">
      <alignment horizontal="right" vertical="center"/>
    </xf>
    <xf numFmtId="0" fontId="14" fillId="0" borderId="43" xfId="107" applyBorder="1">
      <alignment/>
      <protection/>
    </xf>
    <xf numFmtId="0" fontId="14" fillId="0" borderId="126" xfId="107" applyBorder="1">
      <alignment/>
      <protection/>
    </xf>
    <xf numFmtId="0" fontId="47" fillId="0" borderId="38" xfId="106" applyFont="1" applyFill="1" applyBorder="1" applyAlignment="1" applyProtection="1">
      <alignment horizontal="center" vertical="center" wrapText="1"/>
      <protection/>
    </xf>
    <xf numFmtId="0" fontId="97" fillId="0" borderId="0" xfId="105" applyFont="1" applyBorder="1" applyAlignment="1">
      <alignment horizontal="right"/>
      <protection/>
    </xf>
    <xf numFmtId="0" fontId="56" fillId="0" borderId="0" xfId="105" applyFont="1" applyBorder="1" applyAlignment="1">
      <alignment vertical="center"/>
      <protection/>
    </xf>
    <xf numFmtId="0" fontId="14" fillId="0" borderId="0" xfId="104">
      <alignment/>
      <protection/>
    </xf>
    <xf numFmtId="0" fontId="64" fillId="0" borderId="99" xfId="98" applyFont="1" applyFill="1" applyBorder="1" applyAlignment="1">
      <alignment horizontal="center" vertical="top" wrapText="1"/>
      <protection/>
    </xf>
    <xf numFmtId="0" fontId="14" fillId="0" borderId="0" xfId="98" applyFont="1" applyFill="1">
      <alignment/>
      <protection/>
    </xf>
    <xf numFmtId="0" fontId="14" fillId="0" borderId="99" xfId="98" applyFont="1" applyFill="1" applyBorder="1">
      <alignment/>
      <protection/>
    </xf>
    <xf numFmtId="0" fontId="15" fillId="0" borderId="99" xfId="98" applyFont="1" applyFill="1" applyBorder="1" applyAlignment="1">
      <alignment horizontal="center" vertical="top" wrapText="1"/>
      <protection/>
    </xf>
    <xf numFmtId="0" fontId="15" fillId="0" borderId="99" xfId="98" applyFont="1" applyFill="1" applyBorder="1" applyAlignment="1">
      <alignment horizontal="left" vertical="top" wrapText="1"/>
      <protection/>
    </xf>
    <xf numFmtId="3" fontId="15" fillId="0" borderId="99" xfId="0" applyNumberFormat="1" applyFont="1" applyFill="1" applyBorder="1" applyAlignment="1">
      <alignment horizontal="right" vertical="top" wrapText="1"/>
    </xf>
    <xf numFmtId="3" fontId="15" fillId="0" borderId="99" xfId="98" applyNumberFormat="1" applyFont="1" applyFill="1" applyBorder="1" applyAlignment="1">
      <alignment horizontal="right" vertical="top" wrapText="1"/>
      <protection/>
    </xf>
    <xf numFmtId="0" fontId="44" fillId="0" borderId="99" xfId="98" applyFont="1" applyFill="1" applyBorder="1" applyAlignment="1">
      <alignment horizontal="center" vertical="top" wrapText="1"/>
      <protection/>
    </xf>
    <xf numFmtId="0" fontId="44" fillId="0" borderId="99" xfId="98" applyFont="1" applyFill="1" applyBorder="1" applyAlignment="1">
      <alignment horizontal="left" vertical="top" wrapText="1"/>
      <protection/>
    </xf>
    <xf numFmtId="3" fontId="44" fillId="0" borderId="99" xfId="0" applyNumberFormat="1" applyFont="1" applyFill="1" applyBorder="1" applyAlignment="1">
      <alignment horizontal="right" vertical="top" wrapText="1"/>
    </xf>
    <xf numFmtId="3" fontId="44" fillId="0" borderId="99" xfId="98" applyNumberFormat="1" applyFont="1" applyFill="1" applyBorder="1" applyAlignment="1">
      <alignment horizontal="right" vertical="top" wrapText="1"/>
      <protection/>
    </xf>
    <xf numFmtId="0" fontId="70" fillId="0" borderId="99" xfId="98" applyFont="1" applyFill="1" applyBorder="1" applyAlignment="1">
      <alignment horizontal="center" vertical="top" wrapText="1"/>
      <protection/>
    </xf>
    <xf numFmtId="0" fontId="70" fillId="0" borderId="152" xfId="98" applyFont="1" applyFill="1" applyBorder="1" applyAlignment="1">
      <alignment horizontal="center" vertical="top" wrapText="1"/>
      <protection/>
    </xf>
    <xf numFmtId="0" fontId="14" fillId="0" borderId="0" xfId="98" applyFill="1">
      <alignment/>
      <protection/>
    </xf>
    <xf numFmtId="0" fontId="14" fillId="0" borderId="0" xfId="104" applyFill="1">
      <alignment/>
      <protection/>
    </xf>
    <xf numFmtId="0" fontId="64" fillId="0" borderId="0" xfId="104" applyFont="1" applyFill="1" applyAlignment="1">
      <alignment horizontal="center" vertical="top" wrapText="1"/>
      <protection/>
    </xf>
    <xf numFmtId="0" fontId="15" fillId="0" borderId="99" xfId="98" applyFont="1" applyFill="1" applyBorder="1" applyAlignment="1">
      <alignment horizontal="center" vertical="top" wrapText="1"/>
      <protection/>
    </xf>
    <xf numFmtId="0" fontId="15" fillId="0" borderId="99" xfId="98" applyFont="1" applyFill="1" applyBorder="1" applyAlignment="1">
      <alignment horizontal="left" vertical="top" wrapText="1"/>
      <protection/>
    </xf>
    <xf numFmtId="3" fontId="15" fillId="0" borderId="99" xfId="98" applyNumberFormat="1" applyFont="1" applyFill="1" applyBorder="1" applyAlignment="1">
      <alignment horizontal="right" vertical="top" wrapText="1"/>
      <protection/>
    </xf>
    <xf numFmtId="0" fontId="44" fillId="0" borderId="99" xfId="98" applyFont="1" applyFill="1" applyBorder="1" applyAlignment="1">
      <alignment horizontal="center" vertical="top" wrapText="1"/>
      <protection/>
    </xf>
    <xf numFmtId="0" fontId="44" fillId="0" borderId="99" xfId="98" applyFont="1" applyFill="1" applyBorder="1" applyAlignment="1">
      <alignment horizontal="left" vertical="top" wrapText="1"/>
      <protection/>
    </xf>
    <xf numFmtId="3" fontId="44" fillId="0" borderId="99" xfId="98" applyNumberFormat="1" applyFont="1" applyFill="1" applyBorder="1" applyAlignment="1">
      <alignment horizontal="right" vertical="top" wrapText="1"/>
      <protection/>
    </xf>
    <xf numFmtId="0" fontId="15" fillId="0" borderId="0" xfId="101">
      <alignment/>
      <protection/>
    </xf>
    <xf numFmtId="0" fontId="70" fillId="0" borderId="0" xfId="114" applyFill="1" applyProtection="1">
      <alignment/>
      <protection/>
    </xf>
    <xf numFmtId="0" fontId="109" fillId="0" borderId="0" xfId="114" applyFont="1" applyFill="1" applyAlignment="1" applyProtection="1">
      <alignment horizontal="center"/>
      <protection/>
    </xf>
    <xf numFmtId="0" fontId="15" fillId="0" borderId="0" xfId="101" applyFont="1">
      <alignment/>
      <protection/>
    </xf>
    <xf numFmtId="0" fontId="110" fillId="0" borderId="76" xfId="114" applyFont="1" applyFill="1" applyBorder="1" applyAlignment="1" applyProtection="1">
      <alignment horizontal="center" vertical="center" wrapText="1"/>
      <protection/>
    </xf>
    <xf numFmtId="0" fontId="110" fillId="0" borderId="54" xfId="114" applyFont="1" applyFill="1" applyBorder="1" applyAlignment="1" applyProtection="1">
      <alignment horizontal="center" vertical="center" wrapText="1"/>
      <protection/>
    </xf>
    <xf numFmtId="0" fontId="70" fillId="0" borderId="0" xfId="114" applyFill="1" applyAlignment="1" applyProtection="1">
      <alignment horizontal="center" vertical="center"/>
      <protection/>
    </xf>
    <xf numFmtId="0" fontId="108" fillId="0" borderId="55" xfId="114" applyFont="1" applyFill="1" applyBorder="1" applyAlignment="1" applyProtection="1">
      <alignment vertical="center" wrapText="1"/>
      <protection/>
    </xf>
    <xf numFmtId="180" fontId="51" fillId="0" borderId="51" xfId="113" applyNumberFormat="1" applyFont="1" applyFill="1" applyBorder="1" applyAlignment="1" applyProtection="1">
      <alignment horizontal="center" vertical="center"/>
      <protection/>
    </xf>
    <xf numFmtId="181" fontId="108" fillId="0" borderId="51" xfId="114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114" applyFill="1" applyAlignment="1" applyProtection="1">
      <alignment vertical="center"/>
      <protection/>
    </xf>
    <xf numFmtId="0" fontId="111" fillId="0" borderId="65" xfId="114" applyFont="1" applyFill="1" applyBorder="1" applyAlignment="1" applyProtection="1">
      <alignment horizontal="left" vertical="center" wrapText="1" indent="1"/>
      <protection/>
    </xf>
    <xf numFmtId="180" fontId="57" fillId="0" borderId="52" xfId="113" applyNumberFormat="1" applyFont="1" applyFill="1" applyBorder="1" applyAlignment="1" applyProtection="1">
      <alignment horizontal="center" vertical="center"/>
      <protection/>
    </xf>
    <xf numFmtId="181" fontId="109" fillId="0" borderId="52" xfId="114" applyNumberFormat="1" applyFont="1" applyFill="1" applyBorder="1" applyAlignment="1" applyProtection="1">
      <alignment horizontal="right" vertical="center" wrapText="1"/>
      <protection locked="0"/>
    </xf>
    <xf numFmtId="0" fontId="108" fillId="0" borderId="65" xfId="114" applyFont="1" applyFill="1" applyBorder="1" applyAlignment="1" applyProtection="1">
      <alignment vertical="center" wrapText="1"/>
      <protection/>
    </xf>
    <xf numFmtId="180" fontId="51" fillId="0" borderId="52" xfId="113" applyNumberFormat="1" applyFont="1" applyFill="1" applyBorder="1" applyAlignment="1" applyProtection="1">
      <alignment horizontal="center" vertical="center"/>
      <protection/>
    </xf>
    <xf numFmtId="181" fontId="108" fillId="0" borderId="52" xfId="114" applyNumberFormat="1" applyFont="1" applyFill="1" applyBorder="1" applyAlignment="1" applyProtection="1">
      <alignment horizontal="right" vertical="center" wrapText="1"/>
      <protection/>
    </xf>
    <xf numFmtId="181" fontId="108" fillId="0" borderId="52" xfId="114" applyNumberFormat="1" applyFont="1" applyFill="1" applyBorder="1" applyAlignment="1" applyProtection="1">
      <alignment horizontal="right" vertical="center" wrapText="1"/>
      <protection/>
    </xf>
    <xf numFmtId="181" fontId="109" fillId="0" borderId="52" xfId="114" applyNumberFormat="1" applyFont="1" applyFill="1" applyBorder="1" applyAlignment="1" applyProtection="1">
      <alignment horizontal="right" vertical="center" wrapText="1"/>
      <protection/>
    </xf>
    <xf numFmtId="181" fontId="108" fillId="0" borderId="52" xfId="114" applyNumberFormat="1" applyFont="1" applyFill="1" applyBorder="1" applyAlignment="1" applyProtection="1">
      <alignment horizontal="right" vertical="center" wrapText="1"/>
      <protection locked="0"/>
    </xf>
    <xf numFmtId="181" fontId="108" fillId="54" borderId="52" xfId="114" applyNumberFormat="1" applyFont="1" applyFill="1" applyBorder="1" applyAlignment="1" applyProtection="1">
      <alignment horizontal="right" vertical="center" wrapText="1"/>
      <protection locked="0"/>
    </xf>
    <xf numFmtId="181" fontId="108" fillId="54" borderId="52" xfId="114" applyNumberFormat="1" applyFont="1" applyFill="1" applyBorder="1" applyAlignment="1" applyProtection="1">
      <alignment horizontal="right" vertical="center" wrapText="1"/>
      <protection/>
    </xf>
    <xf numFmtId="0" fontId="108" fillId="0" borderId="76" xfId="114" applyFont="1" applyFill="1" applyBorder="1" applyAlignment="1" applyProtection="1">
      <alignment vertical="center" wrapText="1"/>
      <protection/>
    </xf>
    <xf numFmtId="181" fontId="108" fillId="0" borderId="54" xfId="114" applyNumberFormat="1" applyFont="1" applyFill="1" applyBorder="1" applyAlignment="1" applyProtection="1">
      <alignment horizontal="right" vertical="center" wrapText="1"/>
      <protection/>
    </xf>
    <xf numFmtId="0" fontId="109" fillId="0" borderId="0" xfId="114" applyFont="1" applyFill="1" applyProtection="1">
      <alignment/>
      <protection/>
    </xf>
    <xf numFmtId="0" fontId="112" fillId="0" borderId="0" xfId="114" applyFont="1" applyFill="1" applyProtection="1">
      <alignment/>
      <protection/>
    </xf>
    <xf numFmtId="49" fontId="34" fillId="0" borderId="98" xfId="113" applyNumberFormat="1" applyFont="1" applyFill="1" applyBorder="1" applyAlignment="1" applyProtection="1">
      <alignment horizontal="center" vertical="center" wrapText="1"/>
      <protection/>
    </xf>
    <xf numFmtId="49" fontId="34" fillId="0" borderId="100" xfId="113" applyNumberFormat="1" applyFont="1" applyFill="1" applyBorder="1" applyAlignment="1" applyProtection="1">
      <alignment horizontal="center" vertical="center"/>
      <protection/>
    </xf>
    <xf numFmtId="49" fontId="34" fillId="0" borderId="137" xfId="113" applyNumberFormat="1" applyFont="1" applyFill="1" applyBorder="1" applyAlignment="1" applyProtection="1">
      <alignment horizontal="center" vertical="center"/>
      <protection/>
    </xf>
    <xf numFmtId="0" fontId="54" fillId="0" borderId="97" xfId="114" applyFont="1" applyFill="1" applyBorder="1" applyAlignment="1" applyProtection="1">
      <alignment vertical="center" wrapText="1"/>
      <protection/>
    </xf>
    <xf numFmtId="180" fontId="33" fillId="0" borderId="151" xfId="113" applyNumberFormat="1" applyFont="1" applyFill="1" applyBorder="1" applyAlignment="1" applyProtection="1">
      <alignment horizontal="center" vertical="center"/>
      <protection/>
    </xf>
    <xf numFmtId="182" fontId="33" fillId="0" borderId="114" xfId="113" applyNumberFormat="1" applyFont="1" applyFill="1" applyBorder="1" applyAlignment="1" applyProtection="1">
      <alignment vertical="center"/>
      <protection locked="0"/>
    </xf>
    <xf numFmtId="180" fontId="33" fillId="0" borderId="99" xfId="113" applyNumberFormat="1" applyFont="1" applyFill="1" applyBorder="1" applyAlignment="1" applyProtection="1">
      <alignment horizontal="center" vertical="center"/>
      <protection/>
    </xf>
    <xf numFmtId="182" fontId="33" fillId="0" borderId="115" xfId="113" applyNumberFormat="1" applyFont="1" applyFill="1" applyBorder="1" applyAlignment="1" applyProtection="1">
      <alignment vertical="center"/>
      <protection locked="0"/>
    </xf>
    <xf numFmtId="180" fontId="34" fillId="0" borderId="99" xfId="113" applyNumberFormat="1" applyFont="1" applyFill="1" applyBorder="1" applyAlignment="1" applyProtection="1">
      <alignment horizontal="center" vertical="center"/>
      <protection/>
    </xf>
    <xf numFmtId="182" fontId="34" fillId="0" borderId="115" xfId="113" applyNumberFormat="1" applyFont="1" applyFill="1" applyBorder="1" applyAlignment="1" applyProtection="1">
      <alignment vertical="center"/>
      <protection/>
    </xf>
    <xf numFmtId="182" fontId="33" fillId="0" borderId="115" xfId="113" applyNumberFormat="1" applyFont="1" applyFill="1" applyBorder="1" applyAlignment="1" applyProtection="1">
      <alignment vertical="center"/>
      <protection locked="0"/>
    </xf>
    <xf numFmtId="182" fontId="34" fillId="0" borderId="115" xfId="113" applyNumberFormat="1" applyFont="1" applyFill="1" applyBorder="1" applyAlignment="1" applyProtection="1">
      <alignment vertical="center"/>
      <protection locked="0"/>
    </xf>
    <xf numFmtId="0" fontId="34" fillId="0" borderId="98" xfId="113" applyFont="1" applyFill="1" applyBorder="1" applyAlignment="1" applyProtection="1">
      <alignment horizontal="left" vertical="center" wrapText="1"/>
      <protection/>
    </xf>
    <xf numFmtId="180" fontId="34" fillId="0" borderId="100" xfId="113" applyNumberFormat="1" applyFont="1" applyFill="1" applyBorder="1" applyAlignment="1" applyProtection="1">
      <alignment horizontal="center" vertical="center"/>
      <protection/>
    </xf>
    <xf numFmtId="182" fontId="34" fillId="0" borderId="137" xfId="113" applyNumberFormat="1" applyFont="1" applyFill="1" applyBorder="1" applyAlignment="1" applyProtection="1">
      <alignment vertical="center"/>
      <protection/>
    </xf>
    <xf numFmtId="0" fontId="70" fillId="0" borderId="0" xfId="114" applyFont="1" applyFill="1" applyAlignment="1" applyProtection="1">
      <alignment horizontal="center"/>
      <protection/>
    </xf>
    <xf numFmtId="0" fontId="64" fillId="0" borderId="0" xfId="101" applyFont="1">
      <alignment/>
      <protection/>
    </xf>
    <xf numFmtId="0" fontId="115" fillId="0" borderId="76" xfId="114" applyFont="1" applyFill="1" applyBorder="1" applyAlignment="1" applyProtection="1">
      <alignment horizontal="center" vertical="center" wrapText="1"/>
      <protection/>
    </xf>
    <xf numFmtId="0" fontId="115" fillId="0" borderId="54" xfId="114" applyFont="1" applyFill="1" applyBorder="1" applyAlignment="1" applyProtection="1">
      <alignment horizontal="center" vertical="center" wrapText="1"/>
      <protection/>
    </xf>
    <xf numFmtId="0" fontId="114" fillId="0" borderId="55" xfId="114" applyFont="1" applyFill="1" applyBorder="1" applyAlignment="1" applyProtection="1">
      <alignment vertical="center" wrapText="1"/>
      <protection/>
    </xf>
    <xf numFmtId="180" fontId="29" fillId="0" borderId="51" xfId="113" applyNumberFormat="1" applyFont="1" applyFill="1" applyBorder="1" applyAlignment="1" applyProtection="1">
      <alignment horizontal="center" vertical="center"/>
      <protection/>
    </xf>
    <xf numFmtId="181" fontId="114" fillId="0" borderId="51" xfId="114" applyNumberFormat="1" applyFont="1" applyFill="1" applyBorder="1" applyAlignment="1" applyProtection="1">
      <alignment horizontal="right" vertical="center" wrapText="1"/>
      <protection locked="0"/>
    </xf>
    <xf numFmtId="0" fontId="116" fillId="0" borderId="65" xfId="114" applyFont="1" applyFill="1" applyBorder="1" applyAlignment="1" applyProtection="1">
      <alignment horizontal="left" vertical="center" wrapText="1" indent="1"/>
      <protection/>
    </xf>
    <xf numFmtId="180" fontId="16" fillId="0" borderId="52" xfId="113" applyNumberFormat="1" applyFont="1" applyFill="1" applyBorder="1" applyAlignment="1" applyProtection="1">
      <alignment horizontal="center" vertical="center"/>
      <protection/>
    </xf>
    <xf numFmtId="181" fontId="70" fillId="0" borderId="52" xfId="114" applyNumberFormat="1" applyFont="1" applyFill="1" applyBorder="1" applyAlignment="1" applyProtection="1">
      <alignment horizontal="right" vertical="center" wrapText="1"/>
      <protection locked="0"/>
    </xf>
    <xf numFmtId="0" fontId="114" fillId="0" borderId="65" xfId="114" applyFont="1" applyFill="1" applyBorder="1" applyAlignment="1" applyProtection="1">
      <alignment vertical="center" wrapText="1"/>
      <protection/>
    </xf>
    <xf numFmtId="180" fontId="29" fillId="0" borderId="52" xfId="113" applyNumberFormat="1" applyFont="1" applyFill="1" applyBorder="1" applyAlignment="1" applyProtection="1">
      <alignment horizontal="center" vertical="center"/>
      <protection/>
    </xf>
    <xf numFmtId="181" fontId="114" fillId="0" borderId="52" xfId="114" applyNumberFormat="1" applyFont="1" applyFill="1" applyBorder="1" applyAlignment="1" applyProtection="1">
      <alignment horizontal="right" vertical="center" wrapText="1"/>
      <protection/>
    </xf>
    <xf numFmtId="181" fontId="114" fillId="0" borderId="52" xfId="114" applyNumberFormat="1" applyFont="1" applyFill="1" applyBorder="1" applyAlignment="1" applyProtection="1">
      <alignment horizontal="right" vertical="center" wrapText="1"/>
      <protection/>
    </xf>
    <xf numFmtId="181" fontId="70" fillId="0" borderId="52" xfId="114" applyNumberFormat="1" applyFont="1" applyFill="1" applyBorder="1" applyAlignment="1" applyProtection="1">
      <alignment horizontal="right" vertical="center" wrapText="1"/>
      <protection/>
    </xf>
    <xf numFmtId="181" fontId="114" fillId="0" borderId="52" xfId="114" applyNumberFormat="1" applyFont="1" applyFill="1" applyBorder="1" applyAlignment="1" applyProtection="1">
      <alignment horizontal="right" vertical="center" wrapText="1"/>
      <protection locked="0"/>
    </xf>
    <xf numFmtId="181" fontId="114" fillId="54" borderId="52" xfId="114" applyNumberFormat="1" applyFont="1" applyFill="1" applyBorder="1" applyAlignment="1" applyProtection="1">
      <alignment horizontal="right" vertical="center" wrapText="1"/>
      <protection locked="0"/>
    </xf>
    <xf numFmtId="181" fontId="114" fillId="54" borderId="52" xfId="114" applyNumberFormat="1" applyFont="1" applyFill="1" applyBorder="1" applyAlignment="1" applyProtection="1">
      <alignment horizontal="right" vertical="center" wrapText="1"/>
      <protection/>
    </xf>
    <xf numFmtId="0" fontId="114" fillId="0" borderId="76" xfId="114" applyFont="1" applyFill="1" applyBorder="1" applyAlignment="1" applyProtection="1">
      <alignment vertical="center" wrapText="1"/>
      <protection/>
    </xf>
    <xf numFmtId="181" fontId="114" fillId="0" borderId="54" xfId="114" applyNumberFormat="1" applyFont="1" applyFill="1" applyBorder="1" applyAlignment="1" applyProtection="1">
      <alignment horizontal="right" vertical="center" wrapText="1"/>
      <protection/>
    </xf>
    <xf numFmtId="0" fontId="70" fillId="0" borderId="0" xfId="114" applyFont="1" applyFill="1" applyProtection="1">
      <alignment/>
      <protection/>
    </xf>
    <xf numFmtId="0" fontId="117" fillId="0" borderId="0" xfId="114" applyFont="1" applyFill="1" applyProtection="1">
      <alignment/>
      <protection/>
    </xf>
    <xf numFmtId="0" fontId="70" fillId="0" borderId="0" xfId="114" applyFill="1">
      <alignment/>
      <protection/>
    </xf>
    <xf numFmtId="0" fontId="70" fillId="0" borderId="0" xfId="114" applyFont="1" applyFill="1" applyAlignment="1">
      <alignment horizontal="center"/>
      <protection/>
    </xf>
    <xf numFmtId="0" fontId="114" fillId="0" borderId="60" xfId="114" applyFont="1" applyFill="1" applyBorder="1" applyAlignment="1">
      <alignment horizontal="center" vertical="center"/>
      <protection/>
    </xf>
    <xf numFmtId="0" fontId="48" fillId="0" borderId="49" xfId="113" applyFont="1" applyFill="1" applyBorder="1" applyAlignment="1" applyProtection="1">
      <alignment horizontal="center" vertical="center" textRotation="90"/>
      <protection/>
    </xf>
    <xf numFmtId="0" fontId="114" fillId="0" borderId="49" xfId="114" applyFont="1" applyFill="1" applyBorder="1" applyAlignment="1">
      <alignment horizontal="center" vertical="center" wrapText="1"/>
      <protection/>
    </xf>
    <xf numFmtId="0" fontId="114" fillId="0" borderId="59" xfId="114" applyFont="1" applyFill="1" applyBorder="1" applyAlignment="1">
      <alignment horizontal="center" vertical="center" wrapText="1"/>
      <protection/>
    </xf>
    <xf numFmtId="0" fontId="114" fillId="0" borderId="64" xfId="114" applyFont="1" applyFill="1" applyBorder="1" applyAlignment="1">
      <alignment horizontal="center" vertical="center" wrapText="1"/>
      <protection/>
    </xf>
    <xf numFmtId="0" fontId="114" fillId="0" borderId="23" xfId="114" applyFont="1" applyFill="1" applyBorder="1" applyAlignment="1">
      <alignment horizontal="center" vertical="center"/>
      <protection/>
    </xf>
    <xf numFmtId="0" fontId="114" fillId="0" borderId="38" xfId="114" applyFont="1" applyFill="1" applyBorder="1" applyAlignment="1">
      <alignment horizontal="center" vertical="center" wrapText="1"/>
      <protection/>
    </xf>
    <xf numFmtId="0" fontId="114" fillId="0" borderId="61" xfId="114" applyFont="1" applyFill="1" applyBorder="1" applyAlignment="1">
      <alignment horizontal="center" vertical="center" wrapText="1"/>
      <protection/>
    </xf>
    <xf numFmtId="0" fontId="70" fillId="0" borderId="22" xfId="114" applyFont="1" applyFill="1" applyBorder="1">
      <alignment/>
      <protection/>
    </xf>
    <xf numFmtId="0" fontId="70" fillId="0" borderId="65" xfId="114" applyFont="1" applyFill="1" applyBorder="1" applyProtection="1">
      <alignment/>
      <protection locked="0"/>
    </xf>
    <xf numFmtId="0" fontId="70" fillId="0" borderId="44" xfId="114" applyFont="1" applyFill="1" applyBorder="1" applyAlignment="1">
      <alignment horizontal="right" indent="1"/>
      <protection/>
    </xf>
    <xf numFmtId="3" fontId="70" fillId="0" borderId="44" xfId="114" applyNumberFormat="1" applyFont="1" applyFill="1" applyBorder="1" applyProtection="1">
      <alignment/>
      <protection locked="0"/>
    </xf>
    <xf numFmtId="3" fontId="70" fillId="0" borderId="0" xfId="101" applyNumberFormat="1" applyFont="1">
      <alignment/>
      <protection/>
    </xf>
    <xf numFmtId="3" fontId="70" fillId="0" borderId="73" xfId="114" applyNumberFormat="1" applyFont="1" applyFill="1" applyBorder="1">
      <alignment/>
      <protection/>
    </xf>
    <xf numFmtId="3" fontId="70" fillId="0" borderId="52" xfId="114" applyNumberFormat="1" applyFont="1" applyFill="1" applyBorder="1" applyProtection="1">
      <alignment/>
      <protection locked="0"/>
    </xf>
    <xf numFmtId="3" fontId="70" fillId="0" borderId="67" xfId="114" applyNumberFormat="1" applyFont="1" applyFill="1" applyBorder="1" applyProtection="1">
      <alignment/>
      <protection locked="0"/>
    </xf>
    <xf numFmtId="3" fontId="70" fillId="0" borderId="39" xfId="114" applyNumberFormat="1" applyFont="1" applyFill="1" applyBorder="1">
      <alignment/>
      <protection/>
    </xf>
    <xf numFmtId="0" fontId="70" fillId="0" borderId="62" xfId="114" applyFont="1" applyFill="1" applyBorder="1" applyProtection="1">
      <alignment/>
      <protection locked="0"/>
    </xf>
    <xf numFmtId="0" fontId="70" fillId="0" borderId="46" xfId="114" applyFont="1" applyFill="1" applyBorder="1" applyAlignment="1">
      <alignment horizontal="right" indent="1"/>
      <protection/>
    </xf>
    <xf numFmtId="3" fontId="70" fillId="0" borderId="46" xfId="114" applyNumberFormat="1" applyFont="1" applyFill="1" applyBorder="1" applyProtection="1">
      <alignment/>
      <protection locked="0"/>
    </xf>
    <xf numFmtId="3" fontId="70" fillId="0" borderId="92" xfId="114" applyNumberFormat="1" applyFont="1" applyFill="1" applyBorder="1" applyProtection="1">
      <alignment/>
      <protection locked="0"/>
    </xf>
    <xf numFmtId="3" fontId="70" fillId="0" borderId="79" xfId="114" applyNumberFormat="1" applyFont="1" applyFill="1" applyBorder="1">
      <alignment/>
      <protection/>
    </xf>
    <xf numFmtId="0" fontId="114" fillId="0" borderId="23" xfId="114" applyFont="1" applyFill="1" applyBorder="1" applyProtection="1">
      <alignment/>
      <protection locked="0"/>
    </xf>
    <xf numFmtId="0" fontId="114" fillId="0" borderId="38" xfId="114" applyFont="1" applyFill="1" applyBorder="1" applyAlignment="1">
      <alignment horizontal="right" indent="1"/>
      <protection/>
    </xf>
    <xf numFmtId="3" fontId="114" fillId="0" borderId="38" xfId="114" applyNumberFormat="1" applyFont="1" applyFill="1" applyBorder="1" applyProtection="1">
      <alignment/>
      <protection locked="0"/>
    </xf>
    <xf numFmtId="3" fontId="29" fillId="0" borderId="61" xfId="113" applyNumberFormat="1" applyFont="1" applyFill="1" applyBorder="1" applyAlignment="1" applyProtection="1">
      <alignment horizontal="right" vertical="center"/>
      <protection/>
    </xf>
    <xf numFmtId="3" fontId="114" fillId="0" borderId="22" xfId="114" applyNumberFormat="1" applyFont="1" applyFill="1" applyBorder="1">
      <alignment/>
      <protection/>
    </xf>
    <xf numFmtId="0" fontId="70" fillId="0" borderId="72" xfId="114" applyFont="1" applyFill="1" applyBorder="1" applyProtection="1">
      <alignment/>
      <protection locked="0"/>
    </xf>
    <xf numFmtId="3" fontId="70" fillId="0" borderId="66" xfId="114" applyNumberFormat="1" applyFont="1" applyFill="1" applyBorder="1" applyProtection="1">
      <alignment/>
      <protection locked="0"/>
    </xf>
    <xf numFmtId="0" fontId="70" fillId="0" borderId="52" xfId="114" applyFont="1" applyFill="1" applyBorder="1" applyAlignment="1">
      <alignment horizontal="right" indent="1"/>
      <protection/>
    </xf>
    <xf numFmtId="0" fontId="70" fillId="0" borderId="39" xfId="114" applyFont="1" applyFill="1" applyBorder="1">
      <alignment/>
      <protection/>
    </xf>
    <xf numFmtId="0" fontId="70" fillId="0" borderId="79" xfId="114" applyFont="1" applyFill="1" applyBorder="1">
      <alignment/>
      <protection/>
    </xf>
    <xf numFmtId="0" fontId="70" fillId="0" borderId="38" xfId="114" applyFont="1" applyFill="1" applyBorder="1" applyAlignment="1">
      <alignment horizontal="right" indent="1"/>
      <protection/>
    </xf>
    <xf numFmtId="3" fontId="70" fillId="0" borderId="38" xfId="114" applyNumberFormat="1" applyFont="1" applyFill="1" applyBorder="1" applyProtection="1">
      <alignment/>
      <protection locked="0"/>
    </xf>
    <xf numFmtId="183" fontId="29" fillId="0" borderId="61" xfId="113" applyNumberFormat="1" applyFont="1" applyFill="1" applyBorder="1" applyAlignment="1" applyProtection="1">
      <alignment vertical="center"/>
      <protection/>
    </xf>
    <xf numFmtId="0" fontId="70" fillId="0" borderId="73" xfId="114" applyFont="1" applyFill="1" applyBorder="1">
      <alignment/>
      <protection/>
    </xf>
    <xf numFmtId="3" fontId="70" fillId="0" borderId="168" xfId="114" applyNumberFormat="1" applyFont="1" applyFill="1" applyBorder="1">
      <alignment/>
      <protection/>
    </xf>
    <xf numFmtId="184" fontId="29" fillId="0" borderId="61" xfId="113" applyNumberFormat="1" applyFont="1" applyFill="1" applyBorder="1" applyAlignment="1" applyProtection="1">
      <alignment vertical="center"/>
      <protection/>
    </xf>
    <xf numFmtId="183" fontId="29" fillId="0" borderId="22" xfId="113" applyNumberFormat="1" applyFont="1" applyFill="1" applyBorder="1" applyAlignment="1" applyProtection="1">
      <alignment vertical="center"/>
      <protection/>
    </xf>
    <xf numFmtId="0" fontId="118" fillId="0" borderId="0" xfId="114" applyFont="1" applyFill="1">
      <alignment/>
      <protection/>
    </xf>
    <xf numFmtId="0" fontId="70" fillId="0" borderId="0" xfId="114" applyFont="1" applyFill="1">
      <alignment/>
      <protection/>
    </xf>
    <xf numFmtId="10" fontId="25" fillId="0" borderId="104" xfId="123" applyNumberFormat="1" applyFont="1" applyBorder="1" applyAlignment="1">
      <alignment vertical="center"/>
    </xf>
    <xf numFmtId="10" fontId="24" fillId="0" borderId="105" xfId="123" applyNumberFormat="1" applyFont="1" applyBorder="1" applyAlignment="1">
      <alignment vertical="center"/>
    </xf>
    <xf numFmtId="10" fontId="24" fillId="0" borderId="106" xfId="123" applyNumberFormat="1" applyFont="1" applyBorder="1" applyAlignment="1">
      <alignment vertical="center"/>
    </xf>
    <xf numFmtId="10" fontId="24" fillId="0" borderId="107" xfId="123" applyNumberFormat="1" applyFont="1" applyBorder="1" applyAlignment="1">
      <alignment vertical="center"/>
    </xf>
    <xf numFmtId="10" fontId="24" fillId="0" borderId="108" xfId="123" applyNumberFormat="1" applyFont="1" applyBorder="1" applyAlignment="1">
      <alignment vertical="center"/>
    </xf>
    <xf numFmtId="10" fontId="32" fillId="0" borderId="104" xfId="123" applyNumberFormat="1" applyFont="1" applyBorder="1" applyAlignment="1">
      <alignment vertical="center"/>
    </xf>
    <xf numFmtId="10" fontId="23" fillId="0" borderId="108" xfId="123" applyNumberFormat="1" applyFont="1" applyBorder="1" applyAlignment="1">
      <alignment vertical="center"/>
    </xf>
    <xf numFmtId="10" fontId="25" fillId="0" borderId="104" xfId="123" applyNumberFormat="1" applyFont="1" applyBorder="1" applyAlignment="1">
      <alignment horizontal="right" vertical="center"/>
    </xf>
    <xf numFmtId="10" fontId="24" fillId="0" borderId="109" xfId="123" applyNumberFormat="1" applyFont="1" applyBorder="1" applyAlignment="1">
      <alignment vertical="center"/>
    </xf>
    <xf numFmtId="10" fontId="25" fillId="0" borderId="110" xfId="123" applyNumberFormat="1" applyFont="1" applyBorder="1" applyAlignment="1">
      <alignment vertical="center"/>
    </xf>
    <xf numFmtId="3" fontId="21" fillId="0" borderId="114" xfId="0" applyNumberFormat="1" applyFont="1" applyFill="1" applyBorder="1" applyAlignment="1">
      <alignment vertical="center"/>
    </xf>
    <xf numFmtId="3" fontId="21" fillId="0" borderId="115" xfId="0" applyNumberFormat="1" applyFont="1" applyFill="1" applyBorder="1" applyAlignment="1">
      <alignment vertical="center"/>
    </xf>
    <xf numFmtId="10" fontId="25" fillId="41" borderId="22" xfId="123" applyNumberFormat="1" applyFont="1" applyFill="1" applyBorder="1" applyAlignment="1">
      <alignment horizontal="right" vertical="center" wrapText="1"/>
    </xf>
    <xf numFmtId="10" fontId="24" fillId="41" borderId="64" xfId="123" applyNumberFormat="1" applyFont="1" applyFill="1" applyBorder="1" applyAlignment="1">
      <alignment horizontal="right" vertical="center" wrapText="1"/>
    </xf>
    <xf numFmtId="10" fontId="24" fillId="41" borderId="39" xfId="123" applyNumberFormat="1" applyFont="1" applyFill="1" applyBorder="1" applyAlignment="1">
      <alignment horizontal="right" vertical="center" wrapText="1"/>
    </xf>
    <xf numFmtId="10" fontId="24" fillId="41" borderId="69" xfId="123" applyNumberFormat="1" applyFont="1" applyFill="1" applyBorder="1" applyAlignment="1">
      <alignment horizontal="right" vertical="center" wrapText="1"/>
    </xf>
    <xf numFmtId="10" fontId="24" fillId="41" borderId="73" xfId="123" applyNumberFormat="1" applyFont="1" applyFill="1" applyBorder="1" applyAlignment="1">
      <alignment horizontal="right" vertical="center" wrapText="1"/>
    </xf>
    <xf numFmtId="10" fontId="24" fillId="0" borderId="39" xfId="123" applyNumberFormat="1" applyFont="1" applyBorder="1" applyAlignment="1">
      <alignment horizontal="right" vertical="center"/>
    </xf>
    <xf numFmtId="10" fontId="24" fillId="52" borderId="39" xfId="123" applyNumberFormat="1" applyFont="1" applyFill="1" applyBorder="1" applyAlignment="1">
      <alignment horizontal="right" vertical="center"/>
    </xf>
    <xf numFmtId="10" fontId="24" fillId="0" borderId="79" xfId="123" applyNumberFormat="1" applyFont="1" applyBorder="1" applyAlignment="1">
      <alignment horizontal="right" vertical="center"/>
    </xf>
    <xf numFmtId="10" fontId="24" fillId="0" borderId="42" xfId="123" applyNumberFormat="1" applyFont="1" applyBorder="1" applyAlignment="1">
      <alignment horizontal="right" vertical="center"/>
    </xf>
    <xf numFmtId="10" fontId="25" fillId="0" borderId="22" xfId="123" applyNumberFormat="1" applyFont="1" applyBorder="1" applyAlignment="1">
      <alignment horizontal="right" vertical="center"/>
    </xf>
    <xf numFmtId="10" fontId="24" fillId="0" borderId="64" xfId="123" applyNumberFormat="1" applyFont="1" applyBorder="1" applyAlignment="1">
      <alignment horizontal="right" vertical="center"/>
    </xf>
    <xf numFmtId="10" fontId="24" fillId="0" borderId="73" xfId="123" applyNumberFormat="1" applyFont="1" applyBorder="1" applyAlignment="1">
      <alignment horizontal="right" vertical="center"/>
    </xf>
    <xf numFmtId="10" fontId="24" fillId="0" borderId="39" xfId="123" applyNumberFormat="1" applyFont="1" applyBorder="1" applyAlignment="1">
      <alignment vertical="center"/>
    </xf>
    <xf numFmtId="10" fontId="25" fillId="0" borderId="22" xfId="123" applyNumberFormat="1" applyFont="1" applyBorder="1" applyAlignment="1">
      <alignment vertical="center"/>
    </xf>
    <xf numFmtId="10" fontId="24" fillId="0" borderId="73" xfId="123" applyNumberFormat="1" applyFont="1" applyBorder="1" applyAlignment="1">
      <alignment vertical="center"/>
    </xf>
    <xf numFmtId="10" fontId="24" fillId="0" borderId="79" xfId="123" applyNumberFormat="1" applyFont="1" applyBorder="1" applyAlignment="1">
      <alignment vertical="center"/>
    </xf>
    <xf numFmtId="10" fontId="25" fillId="0" borderId="73" xfId="123" applyNumberFormat="1" applyFont="1" applyBorder="1" applyAlignment="1">
      <alignment vertical="center"/>
    </xf>
    <xf numFmtId="10" fontId="30" fillId="0" borderId="22" xfId="123" applyNumberFormat="1" applyFont="1" applyBorder="1" applyAlignment="1">
      <alignment vertical="center"/>
    </xf>
    <xf numFmtId="10" fontId="94" fillId="0" borderId="73" xfId="123" applyNumberFormat="1" applyFont="1" applyBorder="1" applyAlignment="1">
      <alignment vertical="center"/>
    </xf>
    <xf numFmtId="10" fontId="30" fillId="0" borderId="22" xfId="123" applyNumberFormat="1" applyFont="1" applyBorder="1" applyAlignment="1">
      <alignment horizontal="right" vertical="center"/>
    </xf>
    <xf numFmtId="10" fontId="94" fillId="0" borderId="79" xfId="123" applyNumberFormat="1" applyFont="1" applyBorder="1" applyAlignment="1">
      <alignment vertical="center"/>
    </xf>
    <xf numFmtId="10" fontId="30" fillId="0" borderId="64" xfId="123" applyNumberFormat="1" applyFont="1" applyBorder="1" applyAlignment="1">
      <alignment vertical="center"/>
    </xf>
    <xf numFmtId="3" fontId="30" fillId="0" borderId="20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vertical="center"/>
    </xf>
    <xf numFmtId="3" fontId="30" fillId="0" borderId="78" xfId="0" applyNumberFormat="1" applyFont="1" applyBorder="1" applyAlignment="1">
      <alignment horizontal="center" vertical="center" wrapText="1"/>
    </xf>
    <xf numFmtId="10" fontId="30" fillId="41" borderId="22" xfId="123" applyNumberFormat="1" applyFont="1" applyFill="1" applyBorder="1" applyAlignment="1">
      <alignment horizontal="right" vertical="center" wrapText="1"/>
    </xf>
    <xf numFmtId="10" fontId="94" fillId="41" borderId="69" xfId="123" applyNumberFormat="1" applyFont="1" applyFill="1" applyBorder="1" applyAlignment="1">
      <alignment horizontal="right" vertical="center" wrapText="1"/>
    </xf>
    <xf numFmtId="10" fontId="94" fillId="41" borderId="39" xfId="123" applyNumberFormat="1" applyFont="1" applyFill="1" applyBorder="1" applyAlignment="1">
      <alignment horizontal="right" vertical="center" wrapText="1"/>
    </xf>
    <xf numFmtId="10" fontId="94" fillId="41" borderId="42" xfId="123" applyNumberFormat="1" applyFont="1" applyFill="1" applyBorder="1" applyAlignment="1">
      <alignment horizontal="right" vertical="center" wrapText="1"/>
    </xf>
    <xf numFmtId="10" fontId="94" fillId="41" borderId="73" xfId="123" applyNumberFormat="1" applyFont="1" applyFill="1" applyBorder="1" applyAlignment="1">
      <alignment horizontal="right" vertical="center" wrapText="1"/>
    </xf>
    <xf numFmtId="10" fontId="94" fillId="0" borderId="39" xfId="123" applyNumberFormat="1" applyFont="1" applyBorder="1" applyAlignment="1">
      <alignment horizontal="right" vertical="center"/>
    </xf>
    <xf numFmtId="10" fontId="94" fillId="0" borderId="75" xfId="123" applyNumberFormat="1" applyFont="1" applyBorder="1" applyAlignment="1">
      <alignment horizontal="right" vertical="center"/>
    </xf>
    <xf numFmtId="10" fontId="30" fillId="0" borderId="64" xfId="123" applyNumberFormat="1" applyFont="1" applyBorder="1" applyAlignment="1">
      <alignment horizontal="right" vertical="center"/>
    </xf>
    <xf numFmtId="10" fontId="30" fillId="0" borderId="103" xfId="123" applyNumberFormat="1" applyFont="1" applyBorder="1" applyAlignment="1">
      <alignment horizontal="right" vertical="center"/>
    </xf>
    <xf numFmtId="10" fontId="30" fillId="0" borderId="71" xfId="123" applyNumberFormat="1" applyFont="1" applyBorder="1" applyAlignment="1">
      <alignment horizontal="right" vertical="center"/>
    </xf>
    <xf numFmtId="10" fontId="94" fillId="0" borderId="72" xfId="123" applyNumberFormat="1" applyFont="1" applyBorder="1" applyAlignment="1">
      <alignment horizontal="right" vertical="center"/>
    </xf>
    <xf numFmtId="10" fontId="94" fillId="0" borderId="65" xfId="123" applyNumberFormat="1" applyFont="1" applyBorder="1" applyAlignment="1">
      <alignment horizontal="right" vertical="center"/>
    </xf>
    <xf numFmtId="10" fontId="94" fillId="0" borderId="62" xfId="123" applyNumberFormat="1" applyFont="1" applyBorder="1" applyAlignment="1">
      <alignment horizontal="right" vertical="center"/>
    </xf>
    <xf numFmtId="10" fontId="30" fillId="0" borderId="73" xfId="123" applyNumberFormat="1" applyFont="1" applyBorder="1" applyAlignment="1">
      <alignment horizontal="right" vertical="center"/>
    </xf>
    <xf numFmtId="10" fontId="30" fillId="0" borderId="79" xfId="123" applyNumberFormat="1" applyFont="1" applyBorder="1" applyAlignment="1">
      <alignment vertical="center"/>
    </xf>
    <xf numFmtId="10" fontId="30" fillId="0" borderId="73" xfId="123" applyNumberFormat="1" applyFont="1" applyBorder="1" applyAlignment="1">
      <alignment vertical="center"/>
    </xf>
    <xf numFmtId="10" fontId="94" fillId="0" borderId="39" xfId="123" applyNumberFormat="1" applyFont="1" applyBorder="1" applyAlignment="1">
      <alignment vertical="center"/>
    </xf>
    <xf numFmtId="10" fontId="14" fillId="0" borderId="73" xfId="123" applyNumberFormat="1" applyFont="1" applyBorder="1" applyAlignment="1">
      <alignment vertical="center"/>
    </xf>
    <xf numFmtId="10" fontId="14" fillId="0" borderId="39" xfId="123" applyNumberFormat="1" applyFont="1" applyBorder="1" applyAlignment="1">
      <alignment vertical="center"/>
    </xf>
    <xf numFmtId="10" fontId="14" fillId="0" borderId="79" xfId="123" applyNumberFormat="1" applyFont="1" applyBorder="1" applyAlignment="1">
      <alignment vertical="center"/>
    </xf>
    <xf numFmtId="10" fontId="14" fillId="0" borderId="69" xfId="123" applyNumberFormat="1" applyFont="1" applyBorder="1" applyAlignment="1">
      <alignment vertical="center"/>
    </xf>
    <xf numFmtId="10" fontId="14" fillId="0" borderId="42" xfId="123" applyNumberFormat="1" applyFont="1" applyBorder="1" applyAlignment="1">
      <alignment vertical="center"/>
    </xf>
    <xf numFmtId="10" fontId="42" fillId="0" borderId="75" xfId="123" applyNumberFormat="1" applyFont="1" applyBorder="1" applyAlignment="1">
      <alignment vertical="center"/>
    </xf>
    <xf numFmtId="10" fontId="43" fillId="0" borderId="22" xfId="123" applyNumberFormat="1" applyFont="1" applyBorder="1" applyAlignment="1">
      <alignment vertical="center"/>
    </xf>
    <xf numFmtId="10" fontId="43" fillId="0" borderId="42" xfId="123" applyNumberFormat="1" applyFont="1" applyBorder="1" applyAlignment="1">
      <alignment vertical="center"/>
    </xf>
    <xf numFmtId="10" fontId="14" fillId="0" borderId="130" xfId="123" applyNumberFormat="1" applyFont="1" applyBorder="1" applyAlignment="1">
      <alignment vertical="center"/>
    </xf>
    <xf numFmtId="10" fontId="14" fillId="0" borderId="103" xfId="123" applyNumberFormat="1" applyFont="1" applyBorder="1" applyAlignment="1">
      <alignment vertical="center"/>
    </xf>
    <xf numFmtId="10" fontId="42" fillId="0" borderId="132" xfId="123" applyNumberFormat="1" applyFont="1" applyBorder="1" applyAlignment="1">
      <alignment vertical="center"/>
    </xf>
    <xf numFmtId="10" fontId="14" fillId="0" borderId="133" xfId="123" applyNumberFormat="1" applyFont="1" applyBorder="1" applyAlignment="1">
      <alignment vertical="center"/>
    </xf>
    <xf numFmtId="10" fontId="42" fillId="0" borderId="102" xfId="123" applyNumberFormat="1" applyFont="1" applyBorder="1" applyAlignment="1">
      <alignment vertical="center"/>
    </xf>
    <xf numFmtId="10" fontId="14" fillId="0" borderId="102" xfId="123" applyNumberFormat="1" applyFont="1" applyBorder="1" applyAlignment="1">
      <alignment vertical="center"/>
    </xf>
    <xf numFmtId="10" fontId="14" fillId="0" borderId="134" xfId="123" applyNumberFormat="1" applyFont="1" applyBorder="1" applyAlignment="1">
      <alignment vertical="center"/>
    </xf>
    <xf numFmtId="10" fontId="43" fillId="0" borderId="79" xfId="123" applyNumberFormat="1" applyFont="1" applyBorder="1" applyAlignment="1">
      <alignment vertical="center"/>
    </xf>
    <xf numFmtId="10" fontId="42" fillId="0" borderId="22" xfId="123" applyNumberFormat="1" applyFont="1" applyBorder="1" applyAlignment="1">
      <alignment vertical="center"/>
    </xf>
    <xf numFmtId="10" fontId="44" fillId="0" borderId="71" xfId="123" applyNumberFormat="1" applyFont="1" applyBorder="1" applyAlignment="1">
      <alignment vertical="center"/>
    </xf>
    <xf numFmtId="10" fontId="14" fillId="0" borderId="22" xfId="123" applyNumberFormat="1" applyFont="1" applyBorder="1" applyAlignment="1">
      <alignment vertical="center"/>
    </xf>
    <xf numFmtId="181" fontId="147" fillId="52" borderId="52" xfId="114" applyNumberFormat="1" applyFont="1" applyFill="1" applyBorder="1" applyAlignment="1" applyProtection="1">
      <alignment horizontal="right" vertical="center" wrapText="1"/>
      <protection locked="0"/>
    </xf>
    <xf numFmtId="181" fontId="109" fillId="0" borderId="0" xfId="114" applyNumberFormat="1" applyFont="1" applyFill="1" applyProtection="1">
      <alignment/>
      <protection/>
    </xf>
    <xf numFmtId="3" fontId="101" fillId="0" borderId="0" xfId="106" applyNumberFormat="1" applyFont="1" applyFill="1" applyAlignment="1">
      <alignment vertical="center" wrapText="1"/>
      <protection/>
    </xf>
    <xf numFmtId="3" fontId="101" fillId="0" borderId="0" xfId="106" applyNumberFormat="1" applyFont="1" applyFill="1" applyAlignment="1">
      <alignment vertical="center"/>
      <protection/>
    </xf>
    <xf numFmtId="0" fontId="23" fillId="0" borderId="0" xfId="0" applyFont="1" applyFill="1" applyAlignment="1">
      <alignment horizontal="center" vertical="center" wrapText="1"/>
    </xf>
    <xf numFmtId="3" fontId="100" fillId="0" borderId="54" xfId="106" applyNumberFormat="1" applyFont="1" applyFill="1" applyBorder="1" applyAlignment="1">
      <alignment horizontal="center" vertical="center"/>
      <protection/>
    </xf>
    <xf numFmtId="3" fontId="100" fillId="0" borderId="57" xfId="106" applyNumberFormat="1" applyFont="1" applyFill="1" applyBorder="1" applyAlignment="1">
      <alignment horizontal="center" vertical="center"/>
      <protection/>
    </xf>
    <xf numFmtId="3" fontId="100" fillId="0" borderId="42" xfId="106" applyNumberFormat="1" applyFont="1" applyFill="1" applyBorder="1" applyAlignment="1">
      <alignment horizontal="center" vertical="center"/>
      <protection/>
    </xf>
    <xf numFmtId="3" fontId="64" fillId="0" borderId="72" xfId="106" applyNumberFormat="1" applyFont="1" applyFill="1" applyBorder="1" applyAlignment="1">
      <alignment vertical="center" wrapText="1"/>
      <protection/>
    </xf>
    <xf numFmtId="3" fontId="64" fillId="0" borderId="44" xfId="106" applyNumberFormat="1" applyFont="1" applyFill="1" applyBorder="1" applyAlignment="1">
      <alignment vertical="center"/>
      <protection/>
    </xf>
    <xf numFmtId="3" fontId="64" fillId="0" borderId="44" xfId="106" applyNumberFormat="1" applyFont="1" applyFill="1" applyBorder="1" applyAlignment="1">
      <alignment horizontal="right" vertical="center"/>
      <protection/>
    </xf>
    <xf numFmtId="3" fontId="64" fillId="0" borderId="73" xfId="106" applyNumberFormat="1" applyFont="1" applyFill="1" applyBorder="1" applyAlignment="1">
      <alignment horizontal="right" vertical="center"/>
      <protection/>
    </xf>
    <xf numFmtId="3" fontId="64" fillId="0" borderId="65" xfId="106" applyNumberFormat="1" applyFont="1" applyFill="1" applyBorder="1" applyAlignment="1">
      <alignment vertical="center" wrapText="1"/>
      <protection/>
    </xf>
    <xf numFmtId="3" fontId="64" fillId="0" borderId="52" xfId="106" applyNumberFormat="1" applyFont="1" applyFill="1" applyBorder="1" applyAlignment="1">
      <alignment vertical="center"/>
      <protection/>
    </xf>
    <xf numFmtId="3" fontId="64" fillId="0" borderId="52" xfId="106" applyNumberFormat="1" applyFont="1" applyFill="1" applyBorder="1" applyAlignment="1">
      <alignment horizontal="right" vertical="center"/>
      <protection/>
    </xf>
    <xf numFmtId="3" fontId="64" fillId="0" borderId="39" xfId="106" applyNumberFormat="1" applyFont="1" applyFill="1" applyBorder="1" applyAlignment="1">
      <alignment horizontal="right" vertical="center"/>
      <protection/>
    </xf>
    <xf numFmtId="3" fontId="64" fillId="0" borderId="62" xfId="106" applyNumberFormat="1" applyFont="1" applyFill="1" applyBorder="1" applyAlignment="1">
      <alignment vertical="center" wrapText="1"/>
      <protection/>
    </xf>
    <xf numFmtId="3" fontId="64" fillId="0" borderId="46" xfId="106" applyNumberFormat="1" applyFont="1" applyFill="1" applyBorder="1" applyAlignment="1">
      <alignment vertical="center"/>
      <protection/>
    </xf>
    <xf numFmtId="3" fontId="64" fillId="0" borderId="46" xfId="106" applyNumberFormat="1" applyFont="1" applyFill="1" applyBorder="1" applyAlignment="1">
      <alignment horizontal="right" vertical="center"/>
      <protection/>
    </xf>
    <xf numFmtId="3" fontId="64" fillId="0" borderId="76" xfId="106" applyNumberFormat="1" applyFont="1" applyFill="1" applyBorder="1" applyAlignment="1">
      <alignment vertical="center" wrapText="1"/>
      <protection/>
    </xf>
    <xf numFmtId="3" fontId="64" fillId="0" borderId="54" xfId="106" applyNumberFormat="1" applyFont="1" applyFill="1" applyBorder="1" applyAlignment="1">
      <alignment vertical="center"/>
      <protection/>
    </xf>
    <xf numFmtId="3" fontId="64" fillId="0" borderId="54" xfId="106" applyNumberFormat="1" applyFont="1" applyFill="1" applyBorder="1" applyAlignment="1">
      <alignment horizontal="right" vertical="center"/>
      <protection/>
    </xf>
    <xf numFmtId="3" fontId="64" fillId="0" borderId="42" xfId="106" applyNumberFormat="1" applyFont="1" applyFill="1" applyBorder="1" applyAlignment="1">
      <alignment horizontal="right" vertical="center"/>
      <protection/>
    </xf>
    <xf numFmtId="3" fontId="63" fillId="0" borderId="58" xfId="106" applyNumberFormat="1" applyFont="1" applyFill="1" applyBorder="1" applyAlignment="1">
      <alignment vertical="center" wrapText="1"/>
      <protection/>
    </xf>
    <xf numFmtId="3" fontId="63" fillId="0" borderId="53" xfId="106" applyNumberFormat="1" applyFont="1" applyFill="1" applyBorder="1" applyAlignment="1">
      <alignment vertical="center"/>
      <protection/>
    </xf>
    <xf numFmtId="3" fontId="63" fillId="0" borderId="71" xfId="106" applyNumberFormat="1" applyFont="1" applyFill="1" applyBorder="1" applyAlignment="1">
      <alignment vertical="center"/>
      <protection/>
    </xf>
    <xf numFmtId="3" fontId="64" fillId="0" borderId="79" xfId="106" applyNumberFormat="1" applyFont="1" applyFill="1" applyBorder="1" applyAlignment="1">
      <alignment horizontal="right" vertical="center"/>
      <protection/>
    </xf>
    <xf numFmtId="3" fontId="26" fillId="0" borderId="0" xfId="106" applyNumberFormat="1" applyFont="1" applyFill="1" applyAlignment="1">
      <alignment vertical="center"/>
      <protection/>
    </xf>
    <xf numFmtId="0" fontId="0" fillId="55" borderId="0" xfId="95" applyFill="1">
      <alignment/>
      <protection/>
    </xf>
    <xf numFmtId="0" fontId="51" fillId="55" borderId="96" xfId="95" applyFont="1" applyFill="1" applyBorder="1" applyAlignment="1">
      <alignment horizontal="center" vertical="center"/>
      <protection/>
    </xf>
    <xf numFmtId="0" fontId="0" fillId="55" borderId="97" xfId="95" applyFont="1" applyFill="1" applyBorder="1" applyAlignment="1">
      <alignment vertical="center"/>
      <protection/>
    </xf>
    <xf numFmtId="0" fontId="51" fillId="55" borderId="98" xfId="95" applyFont="1" applyFill="1" applyBorder="1" applyAlignment="1">
      <alignment vertical="center"/>
      <protection/>
    </xf>
    <xf numFmtId="0" fontId="0" fillId="0" borderId="0" xfId="103" applyFill="1">
      <alignment/>
      <protection/>
    </xf>
    <xf numFmtId="0" fontId="0" fillId="0" borderId="0" xfId="103">
      <alignment/>
      <protection/>
    </xf>
    <xf numFmtId="0" fontId="35" fillId="0" borderId="0" xfId="103" applyFont="1" applyFill="1" applyAlignment="1">
      <alignment horizontal="center"/>
      <protection/>
    </xf>
    <xf numFmtId="0" fontId="53" fillId="0" borderId="0" xfId="103" applyFont="1" applyFill="1" applyAlignment="1">
      <alignment horizontal="right"/>
      <protection/>
    </xf>
    <xf numFmtId="0" fontId="51" fillId="0" borderId="143" xfId="103" applyFont="1" applyFill="1" applyBorder="1" applyAlignment="1">
      <alignment horizontal="center" vertical="center" wrapText="1"/>
      <protection/>
    </xf>
    <xf numFmtId="0" fontId="35" fillId="0" borderId="142" xfId="103" applyFont="1" applyFill="1" applyBorder="1" applyAlignment="1">
      <alignment horizontal="center" vertical="center"/>
      <protection/>
    </xf>
    <xf numFmtId="0" fontId="35" fillId="0" borderId="113" xfId="103" applyFont="1" applyFill="1" applyBorder="1" applyAlignment="1">
      <alignment horizontal="center" vertical="center" wrapText="1"/>
      <protection/>
    </xf>
    <xf numFmtId="0" fontId="0" fillId="0" borderId="154" xfId="103" applyFill="1" applyBorder="1" applyAlignment="1">
      <alignment horizontal="center" vertical="center"/>
      <protection/>
    </xf>
    <xf numFmtId="0" fontId="0" fillId="0" borderId="151" xfId="103" applyFont="1" applyFill="1" applyBorder="1" applyAlignment="1" applyProtection="1">
      <alignment horizontal="left" vertical="center" wrapText="1" indent="1"/>
      <protection locked="0"/>
    </xf>
    <xf numFmtId="185" fontId="46" fillId="0" borderId="114" xfId="103" applyNumberFormat="1" applyFont="1" applyFill="1" applyBorder="1" applyAlignment="1" applyProtection="1">
      <alignment horizontal="right" vertical="center"/>
      <protection/>
    </xf>
    <xf numFmtId="0" fontId="0" fillId="0" borderId="97" xfId="103" applyFill="1" applyBorder="1" applyAlignment="1">
      <alignment horizontal="center" vertical="center"/>
      <protection/>
    </xf>
    <xf numFmtId="0" fontId="119" fillId="0" borderId="99" xfId="103" applyFont="1" applyFill="1" applyBorder="1" applyAlignment="1">
      <alignment horizontal="left" vertical="center" indent="5"/>
      <protection/>
    </xf>
    <xf numFmtId="185" fontId="120" fillId="0" borderId="115" xfId="103" applyNumberFormat="1" applyFont="1" applyFill="1" applyBorder="1" applyAlignment="1" applyProtection="1">
      <alignment horizontal="right" vertical="center"/>
      <protection locked="0"/>
    </xf>
    <xf numFmtId="0" fontId="0" fillId="0" borderId="169" xfId="103" applyFill="1" applyBorder="1" applyAlignment="1">
      <alignment horizontal="center" vertical="center"/>
      <protection/>
    </xf>
    <xf numFmtId="185" fontId="120" fillId="0" borderId="116" xfId="103" applyNumberFormat="1" applyFont="1" applyFill="1" applyBorder="1" applyAlignment="1" applyProtection="1">
      <alignment horizontal="right" vertical="center"/>
      <protection locked="0"/>
    </xf>
    <xf numFmtId="0" fontId="0" fillId="0" borderId="96" xfId="103" applyFill="1" applyBorder="1" applyAlignment="1">
      <alignment horizontal="center" vertical="center"/>
      <protection/>
    </xf>
    <xf numFmtId="0" fontId="0" fillId="0" borderId="153" xfId="103" applyFont="1" applyFill="1" applyBorder="1" applyAlignment="1" applyProtection="1">
      <alignment horizontal="left" vertical="center" wrapText="1" indent="1"/>
      <protection locked="0"/>
    </xf>
    <xf numFmtId="185" fontId="46" fillId="0" borderId="164" xfId="103" applyNumberFormat="1" applyFont="1" applyFill="1" applyBorder="1" applyAlignment="1" applyProtection="1">
      <alignment horizontal="right" vertical="center"/>
      <protection/>
    </xf>
    <xf numFmtId="0" fontId="0" fillId="0" borderId="169" xfId="103" applyFont="1" applyFill="1" applyBorder="1" applyAlignment="1">
      <alignment horizontal="center" vertical="center"/>
      <protection/>
    </xf>
    <xf numFmtId="0" fontId="0" fillId="0" borderId="98" xfId="103" applyFont="1" applyFill="1" applyBorder="1" applyAlignment="1">
      <alignment horizontal="center" vertical="center"/>
      <protection/>
    </xf>
    <xf numFmtId="0" fontId="119" fillId="0" borderId="100" xfId="103" applyFont="1" applyFill="1" applyBorder="1" applyAlignment="1">
      <alignment horizontal="left" vertical="center" indent="5"/>
      <protection/>
    </xf>
    <xf numFmtId="185" fontId="120" fillId="0" borderId="137" xfId="103" applyNumberFormat="1" applyFont="1" applyFill="1" applyBorder="1" applyAlignment="1" applyProtection="1">
      <alignment horizontal="right" vertical="center"/>
      <protection locked="0"/>
    </xf>
    <xf numFmtId="164" fontId="35" fillId="0" borderId="0" xfId="112" applyNumberFormat="1" applyFont="1" applyFill="1" applyBorder="1" applyAlignment="1" applyProtection="1">
      <alignment horizontal="centerContinuous" vertical="center"/>
      <protection/>
    </xf>
    <xf numFmtId="0" fontId="29" fillId="0" borderId="164" xfId="112" applyFont="1" applyFill="1" applyBorder="1" applyAlignment="1" applyProtection="1">
      <alignment horizontal="center" vertical="center" wrapText="1"/>
      <protection/>
    </xf>
    <xf numFmtId="0" fontId="16" fillId="0" borderId="143" xfId="112" applyFont="1" applyFill="1" applyBorder="1" applyAlignment="1" applyProtection="1">
      <alignment horizontal="center" vertical="center"/>
      <protection/>
    </xf>
    <xf numFmtId="0" fontId="16" fillId="0" borderId="142" xfId="112" applyFont="1" applyFill="1" applyBorder="1" applyAlignment="1" applyProtection="1">
      <alignment horizontal="center" vertical="center"/>
      <protection/>
    </xf>
    <xf numFmtId="0" fontId="16" fillId="0" borderId="113" xfId="112" applyFont="1" applyFill="1" applyBorder="1" applyAlignment="1" applyProtection="1">
      <alignment horizontal="center" vertical="center"/>
      <protection/>
    </xf>
    <xf numFmtId="168" fontId="16" fillId="0" borderId="164" xfId="76" applyNumberFormat="1" applyFont="1" applyFill="1" applyBorder="1" applyAlignment="1" applyProtection="1">
      <alignment vertical="center"/>
      <protection locked="0"/>
    </xf>
    <xf numFmtId="168" fontId="16" fillId="0" borderId="114" xfId="76" applyNumberFormat="1" applyFont="1" applyFill="1" applyBorder="1" applyAlignment="1" applyProtection="1">
      <alignment vertical="center"/>
      <protection locked="0"/>
    </xf>
    <xf numFmtId="168" fontId="16" fillId="0" borderId="115" xfId="76" applyNumberFormat="1" applyFont="1" applyFill="1" applyBorder="1" applyAlignment="1" applyProtection="1">
      <alignment vertical="center"/>
      <protection locked="0"/>
    </xf>
    <xf numFmtId="168" fontId="16" fillId="0" borderId="116" xfId="76" applyNumberFormat="1" applyFont="1" applyFill="1" applyBorder="1" applyAlignment="1" applyProtection="1">
      <alignment vertical="center"/>
      <protection locked="0"/>
    </xf>
    <xf numFmtId="0" fontId="16" fillId="0" borderId="97" xfId="112" applyFont="1" applyFill="1" applyBorder="1" applyAlignment="1" applyProtection="1">
      <alignment horizontal="center" vertical="center"/>
      <protection/>
    </xf>
    <xf numFmtId="0" fontId="70" fillId="0" borderId="100" xfId="0" applyFont="1" applyFill="1" applyBorder="1" applyAlignment="1">
      <alignment vertical="center" wrapText="1"/>
    </xf>
    <xf numFmtId="168" fontId="29" fillId="0" borderId="113" xfId="76" applyNumberFormat="1" applyFont="1" applyFill="1" applyBorder="1" applyAlignment="1" applyProtection="1">
      <alignment vertical="center"/>
      <protection/>
    </xf>
    <xf numFmtId="168" fontId="16" fillId="0" borderId="113" xfId="76" applyNumberFormat="1" applyFont="1" applyFill="1" applyBorder="1" applyAlignment="1" applyProtection="1">
      <alignment vertical="center"/>
      <protection/>
    </xf>
    <xf numFmtId="3" fontId="0" fillId="0" borderId="0" xfId="103" applyNumberFormat="1">
      <alignment/>
      <protection/>
    </xf>
    <xf numFmtId="4" fontId="5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51" fillId="0" borderId="22" xfId="12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3" fontId="79" fillId="0" borderId="39" xfId="107" applyNumberFormat="1" applyFont="1" applyFill="1" applyBorder="1" applyAlignment="1">
      <alignment vertical="center"/>
      <protection/>
    </xf>
    <xf numFmtId="0" fontId="59" fillId="0" borderId="72" xfId="109" applyFont="1" applyFill="1" applyBorder="1" applyAlignment="1">
      <alignment horizontal="center" vertical="center"/>
      <protection/>
    </xf>
    <xf numFmtId="0" fontId="59" fillId="0" borderId="65" xfId="109" applyFont="1" applyFill="1" applyBorder="1" applyAlignment="1">
      <alignment horizontal="center" vertical="center"/>
      <protection/>
    </xf>
    <xf numFmtId="0" fontId="59" fillId="0" borderId="62" xfId="109" applyFont="1" applyFill="1" applyBorder="1" applyAlignment="1">
      <alignment horizontal="center" vertical="center"/>
      <protection/>
    </xf>
    <xf numFmtId="1" fontId="66" fillId="0" borderId="23" xfId="109" applyNumberFormat="1" applyFont="1" applyFill="1" applyBorder="1" applyAlignment="1">
      <alignment horizontal="center" vertical="center"/>
      <protection/>
    </xf>
    <xf numFmtId="1" fontId="65" fillId="0" borderId="39" xfId="109" applyNumberFormat="1" applyFont="1" applyFill="1" applyBorder="1" applyAlignment="1">
      <alignment horizontal="center" vertical="center" wrapText="1"/>
      <protection/>
    </xf>
    <xf numFmtId="1" fontId="65" fillId="0" borderId="42" xfId="109" applyNumberFormat="1" applyFont="1" applyFill="1" applyBorder="1" applyAlignment="1">
      <alignment horizontal="center" vertical="center" wrapText="1"/>
      <protection/>
    </xf>
    <xf numFmtId="1" fontId="66" fillId="0" borderId="22" xfId="109" applyNumberFormat="1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2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0" fontId="24" fillId="0" borderId="43" xfId="0" applyFont="1" applyBorder="1" applyAlignment="1">
      <alignment horizontal="left" vertical="center" wrapText="1"/>
    </xf>
    <xf numFmtId="0" fontId="24" fillId="0" borderId="126" xfId="0" applyFont="1" applyBorder="1" applyAlignment="1">
      <alignment horizontal="left" vertical="center" wrapText="1"/>
    </xf>
    <xf numFmtId="0" fontId="37" fillId="0" borderId="99" xfId="111" applyFont="1" applyBorder="1" applyAlignment="1">
      <alignment horizontal="left"/>
      <protection/>
    </xf>
    <xf numFmtId="0" fontId="38" fillId="0" borderId="99" xfId="111" applyFont="1" applyBorder="1" applyAlignment="1">
      <alignment horizontal="left"/>
      <protection/>
    </xf>
    <xf numFmtId="0" fontId="38" fillId="0" borderId="100" xfId="111" applyFont="1" applyBorder="1" applyAlignment="1">
      <alignment horizontal="left"/>
      <protection/>
    </xf>
    <xf numFmtId="0" fontId="37" fillId="0" borderId="162" xfId="111" applyFont="1" applyBorder="1" applyAlignment="1">
      <alignment horizontal="left" vertical="center" wrapText="1"/>
      <protection/>
    </xf>
    <xf numFmtId="0" fontId="37" fillId="0" borderId="155" xfId="111" applyFont="1" applyBorder="1" applyAlignment="1">
      <alignment horizontal="left" vertical="center" wrapText="1"/>
      <protection/>
    </xf>
    <xf numFmtId="0" fontId="37" fillId="0" borderId="170" xfId="111" applyFont="1" applyBorder="1" applyAlignment="1">
      <alignment horizontal="left" vertical="center" wrapText="1"/>
      <protection/>
    </xf>
    <xf numFmtId="0" fontId="37" fillId="0" borderId="161" xfId="111" applyFont="1" applyBorder="1" applyAlignment="1">
      <alignment horizontal="left" vertical="center" wrapText="1"/>
      <protection/>
    </xf>
    <xf numFmtId="0" fontId="37" fillId="0" borderId="171" xfId="111" applyFont="1" applyBorder="1" applyAlignment="1">
      <alignment horizontal="left" vertical="center" wrapText="1"/>
      <protection/>
    </xf>
    <xf numFmtId="0" fontId="37" fillId="0" borderId="172" xfId="111" applyFont="1" applyBorder="1" applyAlignment="1">
      <alignment horizontal="left" vertical="center" wrapText="1"/>
      <protection/>
    </xf>
    <xf numFmtId="0" fontId="37" fillId="0" borderId="136" xfId="111" applyFont="1" applyBorder="1" applyAlignment="1">
      <alignment horizontal="left" vertical="center" wrapText="1"/>
      <protection/>
    </xf>
    <xf numFmtId="0" fontId="37" fillId="0" borderId="173" xfId="111" applyFont="1" applyBorder="1" applyAlignment="1">
      <alignment horizontal="left" vertical="center" wrapText="1"/>
      <protection/>
    </xf>
    <xf numFmtId="0" fontId="37" fillId="0" borderId="174" xfId="111" applyFont="1" applyBorder="1" applyAlignment="1">
      <alignment horizontal="left" vertical="center" wrapText="1"/>
      <protection/>
    </xf>
    <xf numFmtId="0" fontId="29" fillId="0" borderId="0" xfId="111" applyFont="1" applyAlignment="1">
      <alignment horizontal="center" wrapText="1"/>
      <protection/>
    </xf>
    <xf numFmtId="0" fontId="48" fillId="0" borderId="0" xfId="111" applyFont="1" applyAlignment="1">
      <alignment horizontal="left"/>
      <protection/>
    </xf>
    <xf numFmtId="0" fontId="29" fillId="0" borderId="51" xfId="111" applyFont="1" applyBorder="1" applyAlignment="1">
      <alignment horizontal="left" vertical="center"/>
      <protection/>
    </xf>
    <xf numFmtId="0" fontId="37" fillId="0" borderId="175" xfId="111" applyFont="1" applyBorder="1" applyAlignment="1">
      <alignment horizontal="left" vertical="center" wrapText="1"/>
      <protection/>
    </xf>
    <xf numFmtId="0" fontId="37" fillId="0" borderId="157" xfId="111" applyFont="1" applyBorder="1" applyAlignment="1">
      <alignment horizontal="left" vertical="center" wrapText="1"/>
      <protection/>
    </xf>
    <xf numFmtId="0" fontId="37" fillId="0" borderId="176" xfId="111" applyFont="1" applyBorder="1" applyAlignment="1">
      <alignment horizontal="left" vertical="center" wrapText="1"/>
      <protection/>
    </xf>
    <xf numFmtId="0" fontId="25" fillId="0" borderId="20" xfId="0" applyFont="1" applyBorder="1" applyAlignment="1">
      <alignment horizontal="left" vertical="center"/>
    </xf>
    <xf numFmtId="164" fontId="48" fillId="0" borderId="50" xfId="111" applyNumberFormat="1" applyFont="1" applyBorder="1" applyAlignment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11" applyFont="1" applyAlignment="1">
      <alignment horizontal="center"/>
      <protection/>
    </xf>
    <xf numFmtId="0" fontId="29" fillId="0" borderId="38" xfId="111" applyFont="1" applyBorder="1" applyAlignment="1">
      <alignment horizontal="left" vertical="center" wrapText="1"/>
      <protection/>
    </xf>
    <xf numFmtId="164" fontId="48" fillId="0" borderId="0" xfId="111" applyNumberFormat="1" applyFont="1" applyAlignment="1">
      <alignment horizontal="left" vertical="center"/>
      <protection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164" fontId="27" fillId="0" borderId="0" xfId="111" applyNumberFormat="1" applyFont="1" applyAlignment="1">
      <alignment horizontal="left" vertical="center"/>
      <protection/>
    </xf>
    <xf numFmtId="164" fontId="29" fillId="0" borderId="0" xfId="111" applyNumberFormat="1" applyFont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41" fillId="0" borderId="50" xfId="107" applyFont="1" applyBorder="1" applyAlignment="1">
      <alignment horizontal="center" vertical="center"/>
      <protection/>
    </xf>
    <xf numFmtId="0" fontId="41" fillId="0" borderId="0" xfId="107" applyFont="1" applyAlignment="1">
      <alignment horizontal="center" vertical="center"/>
      <protection/>
    </xf>
    <xf numFmtId="0" fontId="40" fillId="0" borderId="0" xfId="107" applyFont="1" applyAlignment="1">
      <alignment horizontal="center" vertical="center"/>
      <protection/>
    </xf>
    <xf numFmtId="0" fontId="39" fillId="0" borderId="0" xfId="107" applyFont="1" applyAlignment="1">
      <alignment horizontal="right" vertical="center"/>
      <protection/>
    </xf>
    <xf numFmtId="0" fontId="24" fillId="0" borderId="12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left" wrapText="1"/>
    </xf>
    <xf numFmtId="0" fontId="24" fillId="0" borderId="121" xfId="0" applyFont="1" applyBorder="1" applyAlignment="1">
      <alignment horizontal="left" vertical="center" wrapText="1"/>
    </xf>
    <xf numFmtId="0" fontId="24" fillId="0" borderId="123" xfId="0" applyFont="1" applyBorder="1" applyAlignment="1">
      <alignment horizontal="left" wrapText="1"/>
    </xf>
    <xf numFmtId="0" fontId="24" fillId="0" borderId="122" xfId="0" applyFont="1" applyBorder="1" applyAlignment="1">
      <alignment wrapText="1"/>
    </xf>
    <xf numFmtId="0" fontId="24" fillId="0" borderId="25" xfId="0" applyFont="1" applyBorder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138" xfId="0" applyFont="1" applyBorder="1" applyAlignment="1">
      <alignment horizontal="center" vertical="center" wrapText="1"/>
    </xf>
    <xf numFmtId="0" fontId="25" fillId="0" borderId="156" xfId="0" applyFont="1" applyBorder="1" applyAlignment="1">
      <alignment horizontal="center" vertical="center" wrapText="1"/>
    </xf>
    <xf numFmtId="0" fontId="25" fillId="0" borderId="177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164" fontId="48" fillId="0" borderId="0" xfId="0" applyNumberFormat="1" applyFont="1" applyAlignment="1">
      <alignment horizontal="right"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2" fillId="0" borderId="0" xfId="107" applyFont="1" applyAlignment="1">
      <alignment horizontal="center" vertical="center"/>
      <protection/>
    </xf>
    <xf numFmtId="0" fontId="78" fillId="0" borderId="0" xfId="107" applyFont="1" applyAlignment="1">
      <alignment horizontal="center" vertical="center"/>
      <protection/>
    </xf>
    <xf numFmtId="3" fontId="72" fillId="41" borderId="19" xfId="107" applyNumberFormat="1" applyFont="1" applyFill="1" applyBorder="1" applyAlignment="1">
      <alignment horizontal="center" vertical="center"/>
      <protection/>
    </xf>
    <xf numFmtId="3" fontId="72" fillId="41" borderId="20" xfId="107" applyNumberFormat="1" applyFont="1" applyFill="1" applyBorder="1" applyAlignment="1">
      <alignment horizontal="center" vertical="center"/>
      <protection/>
    </xf>
    <xf numFmtId="3" fontId="72" fillId="41" borderId="80" xfId="107" applyNumberFormat="1" applyFont="1" applyFill="1" applyBorder="1" applyAlignment="1">
      <alignment horizontal="center" vertical="center"/>
      <protection/>
    </xf>
    <xf numFmtId="0" fontId="72" fillId="0" borderId="23" xfId="107" applyFont="1" applyBorder="1" applyAlignment="1">
      <alignment horizontal="center" vertical="center"/>
      <protection/>
    </xf>
    <xf numFmtId="0" fontId="72" fillId="0" borderId="19" xfId="107" applyFont="1" applyBorder="1" applyAlignment="1">
      <alignment horizontal="center" vertical="center"/>
      <protection/>
    </xf>
    <xf numFmtId="0" fontId="25" fillId="0" borderId="138" xfId="108" applyFont="1" applyBorder="1" applyAlignment="1">
      <alignment horizontal="center" vertical="center"/>
      <protection/>
    </xf>
    <xf numFmtId="0" fontId="25" fillId="0" borderId="178" xfId="108" applyFont="1" applyBorder="1" applyAlignment="1">
      <alignment horizontal="center" vertical="center"/>
      <protection/>
    </xf>
    <xf numFmtId="0" fontId="106" fillId="0" borderId="0" xfId="108" applyFont="1" applyAlignment="1">
      <alignment horizontal="right"/>
      <protection/>
    </xf>
    <xf numFmtId="0" fontId="43" fillId="0" borderId="0" xfId="108" applyFont="1" applyAlignment="1">
      <alignment horizontal="right"/>
      <protection/>
    </xf>
    <xf numFmtId="0" fontId="81" fillId="0" borderId="0" xfId="108" applyFont="1" applyAlignment="1">
      <alignment horizontal="center"/>
      <protection/>
    </xf>
    <xf numFmtId="0" fontId="72" fillId="0" borderId="0" xfId="108" applyFont="1" applyAlignment="1">
      <alignment horizontal="center"/>
      <protection/>
    </xf>
    <xf numFmtId="0" fontId="43" fillId="0" borderId="157" xfId="108" applyFont="1" applyBorder="1" applyAlignment="1">
      <alignment horizontal="right"/>
      <protection/>
    </xf>
    <xf numFmtId="3" fontId="68" fillId="0" borderId="19" xfId="110" applyNumberFormat="1" applyFont="1" applyBorder="1" applyAlignment="1">
      <alignment horizontal="center" vertical="center" wrapText="1"/>
      <protection/>
    </xf>
    <xf numFmtId="3" fontId="68" fillId="0" borderId="20" xfId="110" applyNumberFormat="1" applyFont="1" applyBorder="1" applyAlignment="1">
      <alignment horizontal="center" vertical="center" wrapText="1"/>
      <protection/>
    </xf>
    <xf numFmtId="3" fontId="68" fillId="0" borderId="80" xfId="110" applyNumberFormat="1" applyFont="1" applyBorder="1" applyAlignment="1">
      <alignment horizontal="center" vertical="center" wrapText="1"/>
      <protection/>
    </xf>
    <xf numFmtId="0" fontId="69" fillId="0" borderId="50" xfId="107" applyFont="1" applyBorder="1" applyAlignment="1">
      <alignment horizontal="right"/>
      <protection/>
    </xf>
    <xf numFmtId="166" fontId="68" fillId="0" borderId="20" xfId="110" applyNumberFormat="1" applyFont="1" applyBorder="1" applyAlignment="1">
      <alignment horizontal="center" vertical="center" wrapText="1"/>
      <protection/>
    </xf>
    <xf numFmtId="0" fontId="69" fillId="0" borderId="21" xfId="110" applyFont="1" applyBorder="1" applyAlignment="1">
      <alignment horizontal="left"/>
      <protection/>
    </xf>
    <xf numFmtId="0" fontId="69" fillId="0" borderId="19" xfId="110" applyFont="1" applyBorder="1" applyAlignment="1">
      <alignment horizontal="left"/>
      <protection/>
    </xf>
    <xf numFmtId="0" fontId="69" fillId="0" borderId="61" xfId="107" applyFont="1" applyBorder="1" applyAlignment="1">
      <alignment horizontal="left" wrapText="1"/>
      <protection/>
    </xf>
    <xf numFmtId="0" fontId="69" fillId="0" borderId="80" xfId="107" applyFont="1" applyBorder="1" applyAlignment="1">
      <alignment horizontal="left" wrapText="1"/>
      <protection/>
    </xf>
    <xf numFmtId="0" fontId="69" fillId="0" borderId="0" xfId="107" applyFont="1" applyAlignment="1">
      <alignment horizontal="center"/>
      <protection/>
    </xf>
    <xf numFmtId="0" fontId="69" fillId="0" borderId="21" xfId="110" applyFont="1" applyBorder="1" applyAlignment="1">
      <alignment horizontal="left" vertical="center" wrapText="1"/>
      <protection/>
    </xf>
    <xf numFmtId="0" fontId="69" fillId="0" borderId="19" xfId="110" applyFont="1" applyBorder="1" applyAlignment="1">
      <alignment horizontal="left" vertical="center" wrapText="1"/>
      <protection/>
    </xf>
    <xf numFmtId="166" fontId="69" fillId="0" borderId="61" xfId="110" applyNumberFormat="1" applyFont="1" applyBorder="1" applyAlignment="1">
      <alignment horizontal="left" vertical="center" wrapText="1"/>
      <protection/>
    </xf>
    <xf numFmtId="166" fontId="69" fillId="0" borderId="20" xfId="110" applyNumberFormat="1" applyFont="1" applyBorder="1" applyAlignment="1">
      <alignment horizontal="left" vertical="center" wrapText="1"/>
      <protection/>
    </xf>
    <xf numFmtId="0" fontId="68" fillId="0" borderId="50" xfId="110" applyFont="1" applyBorder="1" applyAlignment="1">
      <alignment horizontal="center" vertical="center" wrapText="1"/>
      <protection/>
    </xf>
    <xf numFmtId="166" fontId="69" fillId="0" borderId="21" xfId="110" applyNumberFormat="1" applyFont="1" applyBorder="1" applyAlignment="1">
      <alignment horizontal="left" wrapText="1"/>
      <protection/>
    </xf>
    <xf numFmtId="166" fontId="69" fillId="0" borderId="19" xfId="110" applyNumberFormat="1" applyFont="1" applyBorder="1" applyAlignment="1">
      <alignment horizontal="left" wrapText="1"/>
      <protection/>
    </xf>
    <xf numFmtId="0" fontId="69" fillId="0" borderId="19" xfId="107" applyFont="1" applyBorder="1">
      <alignment/>
      <protection/>
    </xf>
    <xf numFmtId="0" fontId="69" fillId="0" borderId="20" xfId="0" applyFont="1" applyBorder="1" applyAlignment="1">
      <alignment/>
    </xf>
    <xf numFmtId="0" fontId="69" fillId="0" borderId="20" xfId="107" applyFont="1" applyBorder="1" applyAlignment="1">
      <alignment horizontal="left" wrapText="1"/>
      <protection/>
    </xf>
    <xf numFmtId="3" fontId="74" fillId="13" borderId="59" xfId="107" applyNumberFormat="1" applyFont="1" applyFill="1" applyBorder="1" applyAlignment="1">
      <alignment horizontal="center" vertical="center" wrapText="1"/>
      <protection/>
    </xf>
    <xf numFmtId="3" fontId="74" fillId="13" borderId="43" xfId="107" applyNumberFormat="1" applyFont="1" applyFill="1" applyBorder="1" applyAlignment="1">
      <alignment horizontal="center" vertical="center" wrapText="1"/>
      <protection/>
    </xf>
    <xf numFmtId="3" fontId="74" fillId="13" borderId="89" xfId="107" applyNumberFormat="1" applyFont="1" applyFill="1" applyBorder="1" applyAlignment="1">
      <alignment horizontal="center" vertical="center" wrapText="1"/>
      <protection/>
    </xf>
    <xf numFmtId="3" fontId="74" fillId="13" borderId="88" xfId="107" applyNumberFormat="1" applyFont="1" applyFill="1" applyBorder="1" applyAlignment="1">
      <alignment horizontal="center" vertical="center" wrapText="1"/>
      <protection/>
    </xf>
    <xf numFmtId="3" fontId="74" fillId="13" borderId="0" xfId="107" applyNumberFormat="1" applyFont="1" applyFill="1" applyBorder="1" applyAlignment="1">
      <alignment horizontal="center" vertical="center" wrapText="1"/>
      <protection/>
    </xf>
    <xf numFmtId="3" fontId="74" fillId="13" borderId="87" xfId="107" applyNumberFormat="1" applyFont="1" applyFill="1" applyBorder="1" applyAlignment="1">
      <alignment horizontal="center" vertical="center" wrapText="1"/>
      <protection/>
    </xf>
    <xf numFmtId="3" fontId="74" fillId="13" borderId="166" xfId="107" applyNumberFormat="1" applyFont="1" applyFill="1" applyBorder="1" applyAlignment="1">
      <alignment horizontal="center" vertical="center" wrapText="1"/>
      <protection/>
    </xf>
    <xf numFmtId="3" fontId="74" fillId="13" borderId="101" xfId="107" applyNumberFormat="1" applyFont="1" applyFill="1" applyBorder="1" applyAlignment="1">
      <alignment horizontal="center" vertical="center" wrapText="1"/>
      <protection/>
    </xf>
    <xf numFmtId="3" fontId="74" fillId="13" borderId="167" xfId="107" applyNumberFormat="1" applyFont="1" applyFill="1" applyBorder="1" applyAlignment="1">
      <alignment horizontal="center" vertical="center" wrapText="1"/>
      <protection/>
    </xf>
    <xf numFmtId="0" fontId="71" fillId="0" borderId="0" xfId="107" applyFont="1" applyAlignment="1">
      <alignment horizontal="center" vertical="center" wrapText="1"/>
      <protection/>
    </xf>
    <xf numFmtId="0" fontId="74" fillId="13" borderId="179" xfId="107" applyFont="1" applyFill="1" applyBorder="1" applyAlignment="1">
      <alignment horizontal="center" vertical="center" wrapText="1"/>
      <protection/>
    </xf>
    <xf numFmtId="0" fontId="54" fillId="13" borderId="180" xfId="107" applyFont="1" applyFill="1" applyBorder="1" applyAlignment="1">
      <alignment horizontal="center" vertical="center" wrapText="1"/>
      <protection/>
    </xf>
    <xf numFmtId="0" fontId="72" fillId="0" borderId="0" xfId="107" applyFont="1" applyAlignment="1">
      <alignment horizontal="center" vertical="center"/>
      <protection/>
    </xf>
    <xf numFmtId="0" fontId="70" fillId="0" borderId="0" xfId="107" applyFont="1" applyAlignment="1">
      <alignment horizontal="center" vertical="center"/>
      <protection/>
    </xf>
    <xf numFmtId="0" fontId="77" fillId="0" borderId="0" xfId="107" applyFont="1" applyAlignment="1">
      <alignment horizontal="center"/>
      <protection/>
    </xf>
    <xf numFmtId="0" fontId="72" fillId="0" borderId="0" xfId="107" applyFont="1" applyAlignment="1">
      <alignment horizontal="center"/>
      <protection/>
    </xf>
    <xf numFmtId="0" fontId="78" fillId="0" borderId="0" xfId="107" applyFont="1" applyAlignment="1">
      <alignment horizontal="center"/>
      <protection/>
    </xf>
    <xf numFmtId="0" fontId="78" fillId="0" borderId="0" xfId="107" applyFont="1" applyAlignment="1">
      <alignment horizontal="center" wrapText="1"/>
      <protection/>
    </xf>
    <xf numFmtId="0" fontId="72" fillId="49" borderId="55" xfId="107" applyFont="1" applyFill="1" applyBorder="1" applyAlignment="1">
      <alignment horizontal="center" vertical="center" wrapText="1"/>
      <protection/>
    </xf>
    <xf numFmtId="0" fontId="72" fillId="49" borderId="65" xfId="107" applyFont="1" applyFill="1" applyBorder="1" applyAlignment="1">
      <alignment horizontal="center" vertical="center" wrapText="1"/>
      <protection/>
    </xf>
    <xf numFmtId="0" fontId="72" fillId="49" borderId="92" xfId="107" applyFont="1" applyFill="1" applyBorder="1" applyAlignment="1">
      <alignment horizontal="center" vertical="center" wrapText="1"/>
      <protection/>
    </xf>
    <xf numFmtId="0" fontId="72" fillId="49" borderId="37" xfId="107" applyFont="1" applyFill="1" applyBorder="1" applyAlignment="1">
      <alignment horizontal="center" vertical="center" wrapText="1"/>
      <protection/>
    </xf>
    <xf numFmtId="0" fontId="72" fillId="49" borderId="68" xfId="107" applyFont="1" applyFill="1" applyBorder="1" applyAlignment="1">
      <alignment horizontal="center" vertical="center"/>
      <protection/>
    </xf>
    <xf numFmtId="0" fontId="72" fillId="49" borderId="25" xfId="107" applyFont="1" applyFill="1" applyBorder="1" applyAlignment="1">
      <alignment horizontal="center" vertical="center"/>
      <protection/>
    </xf>
    <xf numFmtId="0" fontId="72" fillId="49" borderId="90" xfId="107" applyFont="1" applyFill="1" applyBorder="1" applyAlignment="1">
      <alignment horizontal="center" vertical="center"/>
      <protection/>
    </xf>
    <xf numFmtId="0" fontId="72" fillId="49" borderId="52" xfId="107" applyFont="1" applyFill="1" applyBorder="1" applyAlignment="1">
      <alignment horizontal="center" vertical="center" wrapText="1"/>
      <protection/>
    </xf>
    <xf numFmtId="0" fontId="72" fillId="49" borderId="39" xfId="107" applyFont="1" applyFill="1" applyBorder="1" applyAlignment="1">
      <alignment horizontal="center" vertical="center" wrapText="1"/>
      <protection/>
    </xf>
    <xf numFmtId="0" fontId="72" fillId="49" borderId="51" xfId="107" applyFont="1" applyFill="1" applyBorder="1" applyAlignment="1">
      <alignment horizontal="center" vertical="center"/>
      <protection/>
    </xf>
    <xf numFmtId="0" fontId="72" fillId="49" borderId="69" xfId="107" applyFont="1" applyFill="1" applyBorder="1" applyAlignment="1">
      <alignment horizontal="center" vertical="center"/>
      <protection/>
    </xf>
    <xf numFmtId="0" fontId="72" fillId="0" borderId="0" xfId="107" applyFont="1" applyAlignment="1">
      <alignment horizontal="left"/>
      <protection/>
    </xf>
    <xf numFmtId="0" fontId="72" fillId="49" borderId="129" xfId="107" applyFont="1" applyFill="1" applyBorder="1" applyAlignment="1">
      <alignment horizontal="center" vertical="center" wrapText="1"/>
      <protection/>
    </xf>
    <xf numFmtId="0" fontId="72" fillId="49" borderId="52" xfId="107" applyFont="1" applyFill="1" applyBorder="1" applyAlignment="1">
      <alignment horizontal="center" vertical="center"/>
      <protection/>
    </xf>
    <xf numFmtId="0" fontId="72" fillId="49" borderId="121" xfId="107" applyFont="1" applyFill="1" applyBorder="1" applyAlignment="1">
      <alignment horizontal="center" vertical="center"/>
      <protection/>
    </xf>
    <xf numFmtId="0" fontId="72" fillId="49" borderId="67" xfId="107" applyFont="1" applyFill="1" applyBorder="1" applyAlignment="1">
      <alignment horizontal="center" vertical="center"/>
      <protection/>
    </xf>
    <xf numFmtId="0" fontId="72" fillId="49" borderId="28" xfId="107" applyFont="1" applyFill="1" applyBorder="1" applyAlignment="1">
      <alignment horizontal="center" vertical="center"/>
      <protection/>
    </xf>
    <xf numFmtId="0" fontId="72" fillId="49" borderId="56" xfId="107" applyFont="1" applyFill="1" applyBorder="1" applyAlignment="1">
      <alignment horizontal="center" vertical="center"/>
      <protection/>
    </xf>
    <xf numFmtId="0" fontId="72" fillId="49" borderId="67" xfId="107" applyFont="1" applyFill="1" applyBorder="1" applyAlignment="1">
      <alignment horizontal="center" vertical="center" wrapText="1"/>
      <protection/>
    </xf>
    <xf numFmtId="0" fontId="72" fillId="49" borderId="28" xfId="107" applyFont="1" applyFill="1" applyBorder="1" applyAlignment="1">
      <alignment horizontal="center" vertical="center" wrapText="1"/>
      <protection/>
    </xf>
    <xf numFmtId="0" fontId="72" fillId="49" borderId="122" xfId="107" applyFont="1" applyFill="1" applyBorder="1" applyAlignment="1">
      <alignment horizontal="center" vertical="center" wrapText="1"/>
      <protection/>
    </xf>
    <xf numFmtId="0" fontId="72" fillId="49" borderId="93" xfId="107" applyFont="1" applyFill="1" applyBorder="1" applyAlignment="1">
      <alignment horizontal="center" vertical="center" wrapText="1"/>
      <protection/>
    </xf>
    <xf numFmtId="0" fontId="61" fillId="0" borderId="0" xfId="109" applyFont="1" applyAlignment="1">
      <alignment horizontal="center" vertical="center"/>
      <protection/>
    </xf>
    <xf numFmtId="0" fontId="98" fillId="0" borderId="0" xfId="109" applyFont="1" applyAlignment="1">
      <alignment horizontal="right" vertical="center"/>
      <protection/>
    </xf>
    <xf numFmtId="0" fontId="60" fillId="0" borderId="0" xfId="109" applyFont="1" applyAlignment="1">
      <alignment horizontal="right" vertical="center"/>
      <protection/>
    </xf>
    <xf numFmtId="0" fontId="63" fillId="0" borderId="19" xfId="109" applyFont="1" applyBorder="1" applyAlignment="1">
      <alignment horizontal="center" vertical="center"/>
      <protection/>
    </xf>
    <xf numFmtId="0" fontId="63" fillId="0" borderId="20" xfId="109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165" fontId="61" fillId="0" borderId="0" xfId="109" applyNumberFormat="1" applyFont="1" applyAlignment="1">
      <alignment horizontal="center" vertical="center" wrapText="1"/>
      <protection/>
    </xf>
    <xf numFmtId="0" fontId="62" fillId="0" borderId="0" xfId="109" applyFont="1" applyAlignment="1">
      <alignment horizontal="center" vertical="center"/>
      <protection/>
    </xf>
    <xf numFmtId="0" fontId="63" fillId="0" borderId="23" xfId="109" applyFont="1" applyBorder="1" applyAlignment="1">
      <alignment horizontal="center" vertical="center" wrapText="1"/>
      <protection/>
    </xf>
    <xf numFmtId="0" fontId="63" fillId="0" borderId="69" xfId="109" applyFont="1" applyBorder="1" applyAlignment="1">
      <alignment horizontal="center" vertical="center" wrapText="1"/>
      <protection/>
    </xf>
    <xf numFmtId="0" fontId="63" fillId="0" borderId="26" xfId="109" applyFont="1" applyBorder="1" applyAlignment="1">
      <alignment horizontal="center" vertical="center" wrapText="1"/>
      <protection/>
    </xf>
    <xf numFmtId="0" fontId="62" fillId="0" borderId="26" xfId="109" applyFont="1" applyBorder="1" applyAlignment="1">
      <alignment horizontal="center" vertical="center" wrapText="1"/>
      <protection/>
    </xf>
    <xf numFmtId="0" fontId="106" fillId="0" borderId="0" xfId="98" applyFont="1" applyFill="1" applyAlignment="1">
      <alignment horizontal="right"/>
      <protection/>
    </xf>
    <xf numFmtId="0" fontId="80" fillId="0" borderId="0" xfId="98" applyFont="1" applyFill="1" applyAlignment="1">
      <alignment horizontal="center"/>
      <protection/>
    </xf>
    <xf numFmtId="0" fontId="64" fillId="0" borderId="161" xfId="98" applyFont="1" applyFill="1" applyBorder="1" applyAlignment="1">
      <alignment horizontal="center" vertical="top" wrapText="1"/>
      <protection/>
    </xf>
    <xf numFmtId="0" fontId="64" fillId="0" borderId="171" xfId="98" applyFont="1" applyFill="1" applyBorder="1" applyAlignment="1">
      <alignment horizontal="center" vertical="top" wrapText="1"/>
      <protection/>
    </xf>
    <xf numFmtId="0" fontId="64" fillId="0" borderId="172" xfId="98" applyFont="1" applyFill="1" applyBorder="1" applyAlignment="1">
      <alignment horizontal="center" vertical="top" wrapText="1"/>
      <protection/>
    </xf>
    <xf numFmtId="0" fontId="64" fillId="0" borderId="0" xfId="104" applyFont="1" applyFill="1" applyAlignment="1">
      <alignment horizontal="center" vertical="top" wrapText="1"/>
      <protection/>
    </xf>
    <xf numFmtId="0" fontId="14" fillId="0" borderId="0" xfId="104" applyFill="1">
      <alignment/>
      <protection/>
    </xf>
    <xf numFmtId="0" fontId="70" fillId="0" borderId="99" xfId="98" applyFont="1" applyFill="1" applyBorder="1" applyAlignment="1">
      <alignment horizontal="center" vertical="top" wrapText="1"/>
      <protection/>
    </xf>
    <xf numFmtId="0" fontId="106" fillId="0" borderId="0" xfId="98" applyFont="1" applyFill="1" applyBorder="1" applyAlignment="1">
      <alignment horizontal="right"/>
      <protection/>
    </xf>
    <xf numFmtId="0" fontId="29" fillId="0" borderId="96" xfId="113" applyFont="1" applyFill="1" applyBorder="1" applyAlignment="1" applyProtection="1">
      <alignment horizontal="center" vertical="center" wrapText="1"/>
      <protection/>
    </xf>
    <xf numFmtId="0" fontId="29" fillId="0" borderId="97" xfId="113" applyFont="1" applyFill="1" applyBorder="1" applyAlignment="1" applyProtection="1">
      <alignment horizontal="center" vertical="center" wrapText="1"/>
      <protection/>
    </xf>
    <xf numFmtId="0" fontId="113" fillId="0" borderId="153" xfId="113" applyFont="1" applyFill="1" applyBorder="1" applyAlignment="1" applyProtection="1">
      <alignment horizontal="center" vertical="center" textRotation="90"/>
      <protection/>
    </xf>
    <xf numFmtId="0" fontId="113" fillId="0" borderId="99" xfId="113" applyFont="1" applyFill="1" applyBorder="1" applyAlignment="1" applyProtection="1">
      <alignment horizontal="center" vertical="center" textRotation="90"/>
      <protection/>
    </xf>
    <xf numFmtId="0" fontId="52" fillId="0" borderId="164" xfId="113" applyFont="1" applyFill="1" applyBorder="1" applyAlignment="1" applyProtection="1">
      <alignment horizontal="center" vertical="center" wrapText="1"/>
      <protection/>
    </xf>
    <xf numFmtId="0" fontId="52" fillId="0" borderId="115" xfId="113" applyFont="1" applyFill="1" applyBorder="1" applyAlignment="1" applyProtection="1">
      <alignment horizontal="center" vertical="center"/>
      <protection/>
    </xf>
    <xf numFmtId="0" fontId="108" fillId="0" borderId="0" xfId="114" applyFont="1" applyFill="1" applyBorder="1" applyAlignment="1" applyProtection="1">
      <alignment horizontal="center" vertical="center" wrapText="1"/>
      <protection/>
    </xf>
    <xf numFmtId="0" fontId="110" fillId="0" borderId="0" xfId="114" applyFont="1" applyFill="1" applyBorder="1" applyAlignment="1" applyProtection="1">
      <alignment horizontal="right"/>
      <protection/>
    </xf>
    <xf numFmtId="0" fontId="108" fillId="0" borderId="55" xfId="114" applyFont="1" applyFill="1" applyBorder="1" applyAlignment="1" applyProtection="1">
      <alignment horizontal="center" vertical="center" wrapText="1"/>
      <protection/>
    </xf>
    <xf numFmtId="0" fontId="52" fillId="0" borderId="51" xfId="113" applyFont="1" applyFill="1" applyBorder="1" applyAlignment="1" applyProtection="1">
      <alignment horizontal="center" vertical="center" textRotation="90"/>
      <protection/>
    </xf>
    <xf numFmtId="0" fontId="110" fillId="0" borderId="51" xfId="114" applyFont="1" applyFill="1" applyBorder="1" applyAlignment="1" applyProtection="1">
      <alignment horizontal="center" vertical="center" wrapText="1"/>
      <protection/>
    </xf>
    <xf numFmtId="0" fontId="110" fillId="0" borderId="39" xfId="114" applyFont="1" applyFill="1" applyBorder="1" applyAlignment="1" applyProtection="1">
      <alignment horizontal="center" wrapText="1"/>
      <protection/>
    </xf>
    <xf numFmtId="0" fontId="114" fillId="0" borderId="0" xfId="114" applyFont="1" applyFill="1" applyBorder="1" applyAlignment="1" applyProtection="1">
      <alignment horizontal="center" vertical="center" wrapText="1"/>
      <protection/>
    </xf>
    <xf numFmtId="0" fontId="115" fillId="0" borderId="0" xfId="114" applyFont="1" applyFill="1" applyBorder="1" applyAlignment="1" applyProtection="1">
      <alignment horizontal="right"/>
      <protection/>
    </xf>
    <xf numFmtId="0" fontId="114" fillId="0" borderId="55" xfId="114" applyFont="1" applyFill="1" applyBorder="1" applyAlignment="1" applyProtection="1">
      <alignment horizontal="center" vertical="center" wrapText="1"/>
      <protection/>
    </xf>
    <xf numFmtId="0" fontId="48" fillId="0" borderId="51" xfId="113" applyFont="1" applyFill="1" applyBorder="1" applyAlignment="1" applyProtection="1">
      <alignment horizontal="center" vertical="center" textRotation="90"/>
      <protection/>
    </xf>
    <xf numFmtId="0" fontId="115" fillId="0" borderId="51" xfId="114" applyFont="1" applyFill="1" applyBorder="1" applyAlignment="1" applyProtection="1">
      <alignment horizontal="center" vertical="center" wrapText="1"/>
      <protection/>
    </xf>
    <xf numFmtId="0" fontId="115" fillId="0" borderId="39" xfId="114" applyFont="1" applyFill="1" applyBorder="1" applyAlignment="1" applyProtection="1">
      <alignment horizontal="center" wrapText="1"/>
      <protection/>
    </xf>
    <xf numFmtId="0" fontId="114" fillId="0" borderId="0" xfId="114" applyFont="1" applyFill="1" applyBorder="1" applyAlignment="1">
      <alignment horizontal="center" vertical="center" wrapText="1"/>
      <protection/>
    </xf>
    <xf numFmtId="0" fontId="48" fillId="0" borderId="0" xfId="113" applyFont="1" applyFill="1" applyBorder="1" applyAlignment="1" applyProtection="1">
      <alignment horizontal="right" vertical="center"/>
      <protection/>
    </xf>
    <xf numFmtId="0" fontId="114" fillId="0" borderId="23" xfId="114" applyFont="1" applyFill="1" applyBorder="1" applyAlignment="1">
      <alignment horizontal="left"/>
      <protection/>
    </xf>
    <xf numFmtId="0" fontId="74" fillId="0" borderId="0" xfId="105" applyFont="1" applyAlignment="1">
      <alignment horizontal="center" vertical="center" wrapText="1"/>
      <protection/>
    </xf>
    <xf numFmtId="0" fontId="83" fillId="0" borderId="0" xfId="105" applyFont="1" applyAlignment="1">
      <alignment horizontal="right" vertical="center"/>
      <protection/>
    </xf>
    <xf numFmtId="0" fontId="97" fillId="0" borderId="50" xfId="105" applyFont="1" applyBorder="1" applyAlignment="1">
      <alignment horizontal="right"/>
      <protection/>
    </xf>
    <xf numFmtId="3" fontId="99" fillId="0" borderId="0" xfId="106" applyNumberFormat="1" applyFont="1" applyFill="1" applyAlignment="1">
      <alignment horizontal="center" vertical="center"/>
      <protection/>
    </xf>
    <xf numFmtId="3" fontId="100" fillId="0" borderId="23" xfId="106" applyNumberFormat="1" applyFont="1" applyFill="1" applyBorder="1" applyAlignment="1">
      <alignment horizontal="center" vertical="center" wrapText="1"/>
      <protection/>
    </xf>
    <xf numFmtId="3" fontId="100" fillId="0" borderId="51" xfId="106" applyNumberFormat="1" applyFont="1" applyFill="1" applyBorder="1" applyAlignment="1">
      <alignment horizontal="center" vertical="center"/>
      <protection/>
    </xf>
    <xf numFmtId="3" fontId="100" fillId="0" borderId="121" xfId="106" applyNumberFormat="1" applyFont="1" applyFill="1" applyBorder="1" applyAlignment="1">
      <alignment horizontal="center" vertical="center"/>
      <protection/>
    </xf>
    <xf numFmtId="3" fontId="39" fillId="0" borderId="0" xfId="106" applyNumberFormat="1" applyFont="1" applyFill="1" applyAlignment="1">
      <alignment horizontal="center" vertical="center"/>
      <protection/>
    </xf>
    <xf numFmtId="3" fontId="67" fillId="0" borderId="0" xfId="106" applyNumberFormat="1" applyFont="1" applyFill="1" applyAlignment="1">
      <alignment horizontal="center" vertical="center"/>
      <protection/>
    </xf>
    <xf numFmtId="0" fontId="99" fillId="0" borderId="0" xfId="106" applyFont="1" applyFill="1" applyAlignment="1">
      <alignment horizontal="center" vertical="center"/>
      <protection/>
    </xf>
    <xf numFmtId="3" fontId="101" fillId="0" borderId="50" xfId="106" applyNumberFormat="1" applyFont="1" applyFill="1" applyBorder="1" applyAlignment="1">
      <alignment horizontal="right" vertical="center"/>
      <protection/>
    </xf>
    <xf numFmtId="164" fontId="56" fillId="0" borderId="181" xfId="99" applyNumberFormat="1" applyFont="1" applyBorder="1" applyAlignment="1">
      <alignment horizontal="center" textRotation="180" wrapText="1"/>
      <protection/>
    </xf>
    <xf numFmtId="164" fontId="46" fillId="0" borderId="138" xfId="99" applyNumberFormat="1" applyFont="1" applyBorder="1" applyAlignment="1">
      <alignment horizontal="left" vertical="center" wrapText="1" indent="2"/>
      <protection/>
    </xf>
    <xf numFmtId="164" fontId="46" fillId="0" borderId="177" xfId="99" applyNumberFormat="1" applyFont="1" applyBorder="1" applyAlignment="1">
      <alignment horizontal="left" vertical="center" wrapText="1" indent="2"/>
      <protection/>
    </xf>
    <xf numFmtId="164" fontId="29" fillId="0" borderId="0" xfId="99" applyNumberFormat="1" applyFont="1" applyAlignment="1">
      <alignment horizontal="center" vertical="center" wrapText="1"/>
      <protection/>
    </xf>
    <xf numFmtId="164" fontId="46" fillId="0" borderId="182" xfId="99" applyNumberFormat="1" applyFont="1" applyBorder="1" applyAlignment="1">
      <alignment horizontal="center" vertical="center" wrapText="1"/>
      <protection/>
    </xf>
    <xf numFmtId="164" fontId="46" fillId="0" borderId="183" xfId="99" applyNumberFormat="1" applyFont="1" applyBorder="1" applyAlignment="1">
      <alignment horizontal="center" vertical="center" wrapText="1"/>
      <protection/>
    </xf>
    <xf numFmtId="164" fontId="46" fillId="0" borderId="182" xfId="99" applyNumberFormat="1" applyFont="1" applyBorder="1" applyAlignment="1">
      <alignment horizontal="center" vertical="center"/>
      <protection/>
    </xf>
    <xf numFmtId="164" fontId="46" fillId="0" borderId="183" xfId="99" applyNumberFormat="1" applyFont="1" applyBorder="1" applyAlignment="1">
      <alignment horizontal="center" vertical="center"/>
      <protection/>
    </xf>
    <xf numFmtId="49" fontId="46" fillId="0" borderId="182" xfId="99" applyNumberFormat="1" applyFont="1" applyBorder="1" applyAlignment="1">
      <alignment horizontal="center" vertical="center" wrapText="1"/>
      <protection/>
    </xf>
    <xf numFmtId="49" fontId="46" fillId="0" borderId="183" xfId="99" applyNumberFormat="1" applyFont="1" applyBorder="1" applyAlignment="1">
      <alignment horizontal="center" vertical="center" wrapText="1"/>
      <protection/>
    </xf>
    <xf numFmtId="164" fontId="46" fillId="0" borderId="184" xfId="99" applyNumberFormat="1" applyFont="1" applyBorder="1" applyAlignment="1">
      <alignment horizontal="center" vertical="center"/>
      <protection/>
    </xf>
    <xf numFmtId="164" fontId="46" fillId="0" borderId="155" xfId="99" applyNumberFormat="1" applyFont="1" applyBorder="1" applyAlignment="1">
      <alignment horizontal="center" vertical="center"/>
      <protection/>
    </xf>
    <xf numFmtId="164" fontId="46" fillId="0" borderId="185" xfId="99" applyNumberFormat="1" applyFont="1" applyBorder="1" applyAlignment="1">
      <alignment horizontal="center" vertical="center"/>
      <protection/>
    </xf>
    <xf numFmtId="3" fontId="51" fillId="55" borderId="161" xfId="95" applyNumberFormat="1" applyFont="1" applyFill="1" applyBorder="1" applyAlignment="1">
      <alignment horizontal="right" vertical="center"/>
      <protection/>
    </xf>
    <xf numFmtId="3" fontId="51" fillId="55" borderId="186" xfId="95" applyNumberFormat="1" applyFont="1" applyFill="1" applyBorder="1" applyAlignment="1">
      <alignment horizontal="right" vertical="center"/>
      <protection/>
    </xf>
    <xf numFmtId="3" fontId="51" fillId="55" borderId="136" xfId="95" applyNumberFormat="1" applyFont="1" applyFill="1" applyBorder="1" applyAlignment="1">
      <alignment horizontal="right" vertical="center"/>
      <protection/>
    </xf>
    <xf numFmtId="3" fontId="51" fillId="55" borderId="187" xfId="95" applyNumberFormat="1" applyFont="1" applyFill="1" applyBorder="1" applyAlignment="1">
      <alignment horizontal="right" vertical="center"/>
      <protection/>
    </xf>
    <xf numFmtId="0" fontId="29" fillId="55" borderId="0" xfId="95" applyFont="1" applyFill="1" applyAlignment="1">
      <alignment horizontal="center"/>
      <protection/>
    </xf>
    <xf numFmtId="0" fontId="56" fillId="55" borderId="157" xfId="95" applyFont="1" applyFill="1" applyBorder="1" applyAlignment="1">
      <alignment horizontal="right"/>
      <protection/>
    </xf>
    <xf numFmtId="0" fontId="51" fillId="55" borderId="162" xfId="95" applyFont="1" applyFill="1" applyBorder="1" applyAlignment="1">
      <alignment horizontal="center" vertical="center" wrapText="1"/>
      <protection/>
    </xf>
    <xf numFmtId="0" fontId="51" fillId="55" borderId="185" xfId="95" applyFont="1" applyFill="1" applyBorder="1" applyAlignment="1">
      <alignment horizontal="center" vertical="center" wrapText="1"/>
      <protection/>
    </xf>
    <xf numFmtId="0" fontId="27" fillId="0" borderId="0" xfId="103" applyFont="1" applyFill="1" applyAlignment="1">
      <alignment horizontal="right"/>
      <protection/>
    </xf>
    <xf numFmtId="0" fontId="35" fillId="0" borderId="0" xfId="103" applyFont="1" applyFill="1" applyAlignment="1" applyProtection="1">
      <alignment horizontal="center" vertical="top" wrapText="1"/>
      <protection locked="0"/>
    </xf>
    <xf numFmtId="0" fontId="29" fillId="0" borderId="143" xfId="112" applyFont="1" applyFill="1" applyBorder="1" applyAlignment="1" applyProtection="1">
      <alignment horizontal="left" vertical="center"/>
      <protection/>
    </xf>
    <xf numFmtId="0" fontId="29" fillId="0" borderId="142" xfId="112" applyFont="1" applyFill="1" applyBorder="1" applyAlignment="1" applyProtection="1">
      <alignment horizontal="left" vertical="center"/>
      <protection/>
    </xf>
    <xf numFmtId="0" fontId="29" fillId="0" borderId="143" xfId="112" applyFont="1" applyFill="1" applyBorder="1" applyAlignment="1" applyProtection="1">
      <alignment horizontal="left" vertical="center" wrapText="1"/>
      <protection/>
    </xf>
    <xf numFmtId="0" fontId="29" fillId="0" borderId="142" xfId="11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143" xfId="112" applyFont="1" applyFill="1" applyBorder="1" applyAlignment="1" applyProtection="1">
      <alignment horizontal="left" vertical="center"/>
      <protection/>
    </xf>
    <xf numFmtId="0" fontId="16" fillId="0" borderId="142" xfId="112" applyFont="1" applyFill="1" applyBorder="1" applyAlignment="1" applyProtection="1">
      <alignment horizontal="left" vertical="center"/>
      <protection/>
    </xf>
    <xf numFmtId="0" fontId="29" fillId="0" borderId="138" xfId="112" applyFont="1" applyFill="1" applyBorder="1" applyAlignment="1" applyProtection="1">
      <alignment horizontal="center" vertical="center"/>
      <protection/>
    </xf>
    <xf numFmtId="0" fontId="29" fillId="0" borderId="156" xfId="112" applyFont="1" applyFill="1" applyBorder="1" applyAlignment="1" applyProtection="1">
      <alignment horizontal="center" vertical="center"/>
      <protection/>
    </xf>
    <xf numFmtId="0" fontId="29" fillId="0" borderId="177" xfId="112" applyFont="1" applyFill="1" applyBorder="1" applyAlignment="1" applyProtection="1">
      <alignment horizontal="center" vertical="center"/>
      <protection/>
    </xf>
    <xf numFmtId="0" fontId="16" fillId="0" borderId="160" xfId="112" applyFont="1" applyFill="1" applyBorder="1" applyAlignment="1" applyProtection="1">
      <alignment horizontal="left" vertical="center"/>
      <protection/>
    </xf>
    <xf numFmtId="0" fontId="16" fillId="0" borderId="172" xfId="112" applyFont="1" applyFill="1" applyBorder="1" applyAlignment="1" applyProtection="1">
      <alignment horizontal="left" vertical="center"/>
      <protection/>
    </xf>
    <xf numFmtId="0" fontId="70" fillId="0" borderId="160" xfId="0" applyFont="1" applyFill="1" applyBorder="1" applyAlignment="1">
      <alignment horizontal="left" vertical="center" wrapText="1"/>
    </xf>
    <xf numFmtId="0" fontId="70" fillId="0" borderId="172" xfId="0" applyFont="1" applyFill="1" applyBorder="1" applyAlignment="1">
      <alignment horizontal="left" vertical="center" wrapText="1"/>
    </xf>
    <xf numFmtId="0" fontId="38" fillId="0" borderId="0" xfId="112" applyFont="1" applyFill="1" applyAlignment="1">
      <alignment horizontal="right" vertical="center"/>
      <protection/>
    </xf>
    <xf numFmtId="164" fontId="121" fillId="0" borderId="0" xfId="112" applyNumberFormat="1" applyFont="1" applyFill="1" applyBorder="1" applyAlignment="1" applyProtection="1">
      <alignment horizontal="center" vertical="center" wrapText="1"/>
      <protection/>
    </xf>
    <xf numFmtId="0" fontId="53" fillId="0" borderId="157" xfId="0" applyFont="1" applyFill="1" applyBorder="1" applyAlignment="1" applyProtection="1">
      <alignment horizontal="right" vertical="center"/>
      <protection/>
    </xf>
    <xf numFmtId="0" fontId="29" fillId="0" borderId="138" xfId="112" applyFont="1" applyFill="1" applyBorder="1" applyAlignment="1" applyProtection="1">
      <alignment horizontal="center" vertical="center" wrapText="1"/>
      <protection/>
    </xf>
    <xf numFmtId="0" fontId="29" fillId="0" borderId="178" xfId="112" applyFont="1" applyFill="1" applyBorder="1" applyAlignment="1" applyProtection="1">
      <alignment horizontal="center" vertical="center" wrapText="1"/>
      <protection/>
    </xf>
    <xf numFmtId="0" fontId="16" fillId="0" borderId="184" xfId="112" applyFont="1" applyFill="1" applyBorder="1" applyAlignment="1" applyProtection="1">
      <alignment horizontal="left" vertical="center"/>
      <protection/>
    </xf>
    <xf numFmtId="0" fontId="16" fillId="0" borderId="170" xfId="112" applyFont="1" applyFill="1" applyBorder="1" applyAlignment="1" applyProtection="1">
      <alignment horizontal="left" vertical="center"/>
      <protection/>
    </xf>
    <xf numFmtId="0" fontId="0" fillId="0" borderId="152" xfId="95" applyBorder="1" applyAlignment="1">
      <alignment horizontal="center"/>
      <protection/>
    </xf>
    <xf numFmtId="0" fontId="0" fillId="0" borderId="151" xfId="95" applyBorder="1" applyAlignment="1">
      <alignment horizontal="center"/>
      <protection/>
    </xf>
    <xf numFmtId="3" fontId="0" fillId="0" borderId="152" xfId="95" applyNumberFormat="1" applyBorder="1" applyAlignment="1">
      <alignment horizontal="right" vertical="center"/>
      <protection/>
    </xf>
    <xf numFmtId="3" fontId="0" fillId="0" borderId="151" xfId="95" applyNumberFormat="1" applyBorder="1" applyAlignment="1">
      <alignment horizontal="right" vertical="center"/>
      <protection/>
    </xf>
    <xf numFmtId="0" fontId="58" fillId="0" borderId="0" xfId="95" applyFont="1" applyAlignment="1">
      <alignment horizontal="right"/>
      <protection/>
    </xf>
    <xf numFmtId="0" fontId="105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40" xfId="95" applyFont="1" applyBorder="1" applyAlignment="1">
      <alignment horizontal="center" vertical="center"/>
      <protection/>
    </xf>
    <xf numFmtId="0" fontId="26" fillId="0" borderId="156" xfId="95" applyFont="1" applyBorder="1" applyAlignment="1">
      <alignment horizontal="center" vertical="center"/>
      <protection/>
    </xf>
    <xf numFmtId="0" fontId="0" fillId="0" borderId="169" xfId="95" applyFont="1" applyBorder="1" applyAlignment="1">
      <alignment horizontal="left" vertical="center" wrapText="1"/>
      <protection/>
    </xf>
    <xf numFmtId="0" fontId="0" fillId="0" borderId="163" xfId="95" applyBorder="1" applyAlignment="1">
      <alignment horizontal="left" vertical="center" wrapText="1"/>
      <protection/>
    </xf>
    <xf numFmtId="0" fontId="0" fillId="0" borderId="188" xfId="95" applyBorder="1" applyAlignment="1">
      <alignment horizontal="left" vertical="center" wrapText="1"/>
      <protection/>
    </xf>
    <xf numFmtId="0" fontId="0" fillId="0" borderId="152" xfId="95" applyBorder="1" applyAlignment="1">
      <alignment horizontal="left" vertical="center" wrapText="1"/>
      <protection/>
    </xf>
    <xf numFmtId="0" fontId="0" fillId="0" borderId="151" xfId="95" applyBorder="1" applyAlignment="1">
      <alignment horizontal="left" vertical="center" wrapText="1"/>
      <protection/>
    </xf>
    <xf numFmtId="0" fontId="0" fillId="0" borderId="152" xfId="95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3" fontId="24" fillId="0" borderId="39" xfId="0" applyNumberFormat="1" applyFont="1" applyFill="1" applyBorder="1" applyAlignment="1">
      <alignment horizontal="right" vertical="center"/>
    </xf>
    <xf numFmtId="10" fontId="24" fillId="0" borderId="39" xfId="123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 wrapText="1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2 2" xfId="96"/>
    <cellStyle name="Normál 3" xfId="97"/>
    <cellStyle name="Normál 3 2" xfId="98"/>
    <cellStyle name="Normál 4" xfId="99"/>
    <cellStyle name="Normál 4 2" xfId="100"/>
    <cellStyle name="Normál 5" xfId="101"/>
    <cellStyle name="Normál 6" xfId="102"/>
    <cellStyle name="Normál 6 2" xfId="103"/>
    <cellStyle name="Normál 7" xfId="104"/>
    <cellStyle name="Normál_1_-_II_Tajekoztato_tablak" xfId="105"/>
    <cellStyle name="Normál_1_-_II_Tajekoztato_tablak 2" xfId="106"/>
    <cellStyle name="Normál_2007. év költségvetés terv 1.mellékletek" xfId="107"/>
    <cellStyle name="Normál_2007. év költségvetés terv 1.mellékletek 2" xfId="108"/>
    <cellStyle name="Normál_2008. év költségvetés terv 1. sz. melléklet" xfId="109"/>
    <cellStyle name="Normál_Dologi kiadás" xfId="110"/>
    <cellStyle name="Normál_KVRENMUNKA" xfId="111"/>
    <cellStyle name="Normál_KVRENMUNKA 2" xfId="112"/>
    <cellStyle name="Normál_VAGYONK" xfId="113"/>
    <cellStyle name="Normál_VAGYONKIM" xfId="114"/>
    <cellStyle name="Note" xfId="115"/>
    <cellStyle name="Output" xfId="116"/>
    <cellStyle name="Összesen" xfId="117"/>
    <cellStyle name="Currency" xfId="118"/>
    <cellStyle name="Currency [0]" xfId="119"/>
    <cellStyle name="Rossz" xfId="120"/>
    <cellStyle name="Semleges" xfId="121"/>
    <cellStyle name="Számítás" xfId="122"/>
    <cellStyle name="Percent" xfId="123"/>
    <cellStyle name="Title" xfId="124"/>
    <cellStyle name="Total" xfId="125"/>
    <cellStyle name="Warning Text" xfId="12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Laptop%20r&#233;gi\2017\Z&#225;rsz&#225;mad&#225;s\R&#225;bakec&#246;l\R&#225;bakec&#246;l%20z&#225;rsz&#225;mad&#225;s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kitekint&#337;%20hat&#225;roz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 sz. m óvoda"/>
      <sheetName val="6.sz.m.fejlesztés (2)"/>
      <sheetName val="7.sz.m.Dologi kiadás (2)"/>
      <sheetName val="8.sz.m.szociális kiadások"/>
      <sheetName val="9.sz.m.átadott pe (2)"/>
      <sheetName val="10 .sz.m. Létszám (2)"/>
      <sheetName val="11.sz.m.maradvány"/>
      <sheetName val="12.sz.m.mérleg"/>
      <sheetName val="13.a.mell.Vagyokim. rk"/>
      <sheetName val="13.b.mell.Vagyokim. rk_ovi"/>
      <sheetName val="13.c.sz.m Önk. érték nélkül Rk"/>
      <sheetName val="13d.sz.m Önk. érték nélkül Rk_o"/>
      <sheetName val="14.sz.m. állami támogatás "/>
      <sheetName val="15. sz.m. közvetett tám."/>
      <sheetName val="16.sz.m.többéves kihatás"/>
      <sheetName val="17.sz.m.részesedések"/>
      <sheetName val="18.sz.m. pe változás"/>
      <sheetName val="19.sz.m.ak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.sz.m.kitekintő"/>
      <sheetName val="Munka1"/>
    </sheetNames>
    <sheetDataSet>
      <sheetData sheetId="1">
        <row r="29">
          <cell r="C29">
            <v>0</v>
          </cell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zoomScale="70" zoomScaleNormal="70" workbookViewId="0" topLeftCell="A56">
      <selection activeCell="F71" sqref="F7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8" width="17.7109375" style="3" hidden="1" customWidth="1"/>
    <col min="9" max="11" width="17.7109375" style="3" customWidth="1"/>
    <col min="12" max="12" width="24.140625" style="3" customWidth="1"/>
    <col min="13" max="14" width="18.00390625" style="3" hidden="1" customWidth="1"/>
    <col min="15" max="17" width="18.00390625" style="3" customWidth="1"/>
    <col min="18" max="18" width="21.140625" style="0" customWidth="1"/>
    <col min="19" max="20" width="17.28125" style="0" hidden="1" customWidth="1"/>
    <col min="21" max="23" width="17.28125" style="0" customWidth="1"/>
    <col min="24" max="24" width="16.00390625" style="0" customWidth="1"/>
    <col min="25" max="25" width="10.28125" style="0" bestFit="1" customWidth="1"/>
  </cols>
  <sheetData>
    <row r="1" spans="1:5" ht="12.75">
      <c r="A1" s="4"/>
      <c r="B1" s="4"/>
      <c r="C1" s="4"/>
      <c r="D1" s="5"/>
      <c r="E1" s="5"/>
    </row>
    <row r="2" spans="1:17" ht="34.5" customHeight="1">
      <c r="A2" s="1280" t="s">
        <v>510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650"/>
      <c r="N2" s="650"/>
      <c r="O2" s="650"/>
      <c r="P2" s="650"/>
      <c r="Q2" s="650"/>
    </row>
    <row r="3" spans="1:24" ht="13.5" thickBot="1">
      <c r="A3" s="6"/>
      <c r="B3" s="6"/>
      <c r="C3" s="6"/>
      <c r="D3" s="7"/>
      <c r="E3" s="8"/>
      <c r="L3" s="9"/>
      <c r="M3" s="9"/>
      <c r="N3" s="9"/>
      <c r="O3" s="9"/>
      <c r="P3" s="9"/>
      <c r="Q3" s="9"/>
      <c r="R3" s="1268" t="s">
        <v>478</v>
      </c>
      <c r="S3" s="1268"/>
      <c r="T3" s="1268"/>
      <c r="U3" s="1268"/>
      <c r="V3" s="1268"/>
      <c r="W3" s="1268"/>
      <c r="X3" s="1268"/>
    </row>
    <row r="4" spans="1:24" ht="45.75" customHeight="1" thickBot="1">
      <c r="A4" s="1281" t="s">
        <v>1</v>
      </c>
      <c r="B4" s="1281"/>
      <c r="C4" s="1281"/>
      <c r="D4" s="11" t="s">
        <v>2</v>
      </c>
      <c r="E4" s="12" t="s">
        <v>3</v>
      </c>
      <c r="F4" s="1284" t="s">
        <v>4</v>
      </c>
      <c r="G4" s="1285"/>
      <c r="H4" s="1285"/>
      <c r="I4" s="1285"/>
      <c r="J4" s="1285"/>
      <c r="K4" s="1286"/>
      <c r="L4" s="1284" t="s">
        <v>243</v>
      </c>
      <c r="M4" s="1285"/>
      <c r="N4" s="1285"/>
      <c r="O4" s="1285"/>
      <c r="P4" s="1285"/>
      <c r="Q4" s="1286"/>
      <c r="R4" s="1284" t="s">
        <v>296</v>
      </c>
      <c r="S4" s="1285"/>
      <c r="T4" s="1285"/>
      <c r="U4" s="1285"/>
      <c r="V4" s="1285"/>
      <c r="W4" s="1286"/>
      <c r="X4" s="542" t="s">
        <v>5</v>
      </c>
    </row>
    <row r="5" spans="1:24" ht="36.75" customHeight="1" thickBot="1">
      <c r="A5" s="10"/>
      <c r="B5" s="13"/>
      <c r="C5" s="13"/>
      <c r="D5" s="11"/>
      <c r="E5" s="12"/>
      <c r="F5" s="730" t="s">
        <v>6</v>
      </c>
      <c r="G5" s="14" t="s">
        <v>135</v>
      </c>
      <c r="H5" s="14" t="s">
        <v>136</v>
      </c>
      <c r="I5" s="11" t="s">
        <v>137</v>
      </c>
      <c r="J5" s="11" t="s">
        <v>286</v>
      </c>
      <c r="K5" s="11" t="s">
        <v>291</v>
      </c>
      <c r="L5" s="730" t="s">
        <v>6</v>
      </c>
      <c r="M5" s="14" t="s">
        <v>135</v>
      </c>
      <c r="N5" s="14" t="s">
        <v>136</v>
      </c>
      <c r="O5" s="11" t="s">
        <v>137</v>
      </c>
      <c r="P5" s="11" t="s">
        <v>286</v>
      </c>
      <c r="Q5" s="11" t="s">
        <v>291</v>
      </c>
      <c r="R5" s="730" t="s">
        <v>6</v>
      </c>
      <c r="S5" s="14" t="s">
        <v>135</v>
      </c>
      <c r="T5" s="14" t="s">
        <v>136</v>
      </c>
      <c r="U5" s="11" t="s">
        <v>137</v>
      </c>
      <c r="V5" s="11" t="s">
        <v>286</v>
      </c>
      <c r="W5" s="11" t="s">
        <v>291</v>
      </c>
      <c r="X5" s="595" t="s">
        <v>903</v>
      </c>
    </row>
    <row r="6" spans="1:24" s="18" customFormat="1" ht="21.75" customHeight="1" thickBot="1">
      <c r="A6" s="15"/>
      <c r="B6" s="1273"/>
      <c r="C6" s="1273"/>
      <c r="D6" s="1273"/>
      <c r="E6" s="16"/>
      <c r="F6" s="17"/>
      <c r="G6" s="520"/>
      <c r="H6" s="594"/>
      <c r="I6" s="594"/>
      <c r="J6" s="594"/>
      <c r="K6" s="594"/>
      <c r="L6" s="17"/>
      <c r="M6" s="520"/>
      <c r="N6" s="594"/>
      <c r="O6" s="594"/>
      <c r="P6" s="594"/>
      <c r="Q6" s="594"/>
      <c r="R6" s="17"/>
      <c r="S6" s="520"/>
      <c r="T6" s="520"/>
      <c r="U6" s="610"/>
      <c r="V6" s="610"/>
      <c r="W6" s="610"/>
      <c r="X6" s="610"/>
    </row>
    <row r="7" spans="1:24" s="18" customFormat="1" ht="21.75" customHeight="1" thickBot="1">
      <c r="A7" s="15" t="s">
        <v>10</v>
      </c>
      <c r="B7" s="1273" t="s">
        <v>11</v>
      </c>
      <c r="C7" s="1273"/>
      <c r="D7" s="1273"/>
      <c r="E7" s="19" t="s">
        <v>12</v>
      </c>
      <c r="F7" s="731">
        <f>F8+F13+F16+F17+F20</f>
        <v>16897600</v>
      </c>
      <c r="G7" s="543">
        <f>G8+G13+G16+G17+G20</f>
        <v>16897600</v>
      </c>
      <c r="H7" s="543">
        <f>H8+H13+H16+H17+H20</f>
        <v>16897600</v>
      </c>
      <c r="I7" s="543">
        <f>I8+I13+I16+I17+I20</f>
        <v>20957302</v>
      </c>
      <c r="J7" s="543">
        <f>J8+J13+J16+J17+J20</f>
        <v>20210612</v>
      </c>
      <c r="K7" s="1153">
        <f>+J7/I7</f>
        <v>0.9643708908713535</v>
      </c>
      <c r="L7" s="731">
        <f aca="true" t="shared" si="0" ref="L7:L12">F7-R7</f>
        <v>10861475</v>
      </c>
      <c r="M7" s="731">
        <f aca="true" t="shared" si="1" ref="M7:N12">G7-S7</f>
        <v>8789029</v>
      </c>
      <c r="N7" s="731">
        <f t="shared" si="1"/>
        <v>8789030</v>
      </c>
      <c r="O7" s="731">
        <f aca="true" t="shared" si="2" ref="O7:P12">I7-U7</f>
        <v>19401928</v>
      </c>
      <c r="P7" s="731">
        <f t="shared" si="2"/>
        <v>18655238</v>
      </c>
      <c r="Q7" s="1153">
        <f>+P7/O7</f>
        <v>0.9615146494719494</v>
      </c>
      <c r="R7" s="731">
        <f>R8+R13+R16+R17+R20</f>
        <v>6036125</v>
      </c>
      <c r="S7" s="543">
        <f>S8+S13+S16+S17+S20</f>
        <v>8108571</v>
      </c>
      <c r="T7" s="543">
        <f>T8+T13+T16+T17+T20</f>
        <v>8108570</v>
      </c>
      <c r="U7" s="543">
        <f>U8+U13+U16+U17+U20</f>
        <v>1555374</v>
      </c>
      <c r="V7" s="543">
        <f>V8+V13+V16+V17+V20</f>
        <v>1555374</v>
      </c>
      <c r="W7" s="1153">
        <f>+V7/U7</f>
        <v>1</v>
      </c>
      <c r="X7" s="611">
        <f>X8+X13+X16+X17+X20</f>
        <v>0</v>
      </c>
    </row>
    <row r="8" spans="1:24" ht="21.75" customHeight="1">
      <c r="A8" s="20"/>
      <c r="B8" s="21" t="s">
        <v>13</v>
      </c>
      <c r="C8" s="1282" t="s">
        <v>14</v>
      </c>
      <c r="D8" s="1282"/>
      <c r="E8" s="22" t="s">
        <v>15</v>
      </c>
      <c r="F8" s="732">
        <f>'3.sz.m Önk  bev.'!F8</f>
        <v>2003046</v>
      </c>
      <c r="G8" s="544">
        <f>'3.sz.m Önk  bev.'!G8</f>
        <v>2003046</v>
      </c>
      <c r="H8" s="544">
        <f>'3.sz.m Önk  bev.'!H8</f>
        <v>2003046</v>
      </c>
      <c r="I8" s="544">
        <f>'3.sz.m Önk  bev.'!I8</f>
        <v>2385972</v>
      </c>
      <c r="J8" s="544">
        <f>'3.sz.m Önk  bev.'!J8</f>
        <v>2200956</v>
      </c>
      <c r="K8" s="1154">
        <f aca="true" t="shared" si="3" ref="K8:K67">+J8/I8</f>
        <v>0.9224567597608019</v>
      </c>
      <c r="L8" s="732">
        <f t="shared" si="0"/>
        <v>2003046</v>
      </c>
      <c r="M8" s="732">
        <f t="shared" si="1"/>
        <v>2003046</v>
      </c>
      <c r="N8" s="732">
        <f t="shared" si="1"/>
        <v>2003046</v>
      </c>
      <c r="O8" s="732">
        <f t="shared" si="2"/>
        <v>2385972</v>
      </c>
      <c r="P8" s="732">
        <f t="shared" si="2"/>
        <v>2200956</v>
      </c>
      <c r="Q8" s="1154">
        <f aca="true" t="shared" si="4" ref="Q8:Q65">+P8/O8</f>
        <v>0.9224567597608019</v>
      </c>
      <c r="R8" s="732"/>
      <c r="S8" s="544"/>
      <c r="T8" s="544"/>
      <c r="U8" s="544"/>
      <c r="V8" s="544"/>
      <c r="W8" s="1154"/>
      <c r="X8" s="612"/>
    </row>
    <row r="9" spans="1:24" ht="21.75" customHeight="1">
      <c r="A9" s="23"/>
      <c r="B9" s="24"/>
      <c r="C9" s="24" t="s">
        <v>16</v>
      </c>
      <c r="D9" s="25" t="s">
        <v>17</v>
      </c>
      <c r="E9" s="26"/>
      <c r="F9" s="733"/>
      <c r="G9" s="545"/>
      <c r="H9" s="545"/>
      <c r="I9" s="545"/>
      <c r="J9" s="545"/>
      <c r="K9" s="1155"/>
      <c r="L9" s="733">
        <f t="shared" si="0"/>
        <v>0</v>
      </c>
      <c r="M9" s="733">
        <f t="shared" si="1"/>
        <v>0</v>
      </c>
      <c r="N9" s="733">
        <f t="shared" si="1"/>
        <v>0</v>
      </c>
      <c r="O9" s="733">
        <f t="shared" si="2"/>
        <v>0</v>
      </c>
      <c r="P9" s="733">
        <f t="shared" si="2"/>
        <v>0</v>
      </c>
      <c r="Q9" s="1155"/>
      <c r="R9" s="733"/>
      <c r="S9" s="545"/>
      <c r="T9" s="545"/>
      <c r="U9" s="545"/>
      <c r="V9" s="545"/>
      <c r="W9" s="1155"/>
      <c r="X9" s="613"/>
    </row>
    <row r="10" spans="1:24" ht="21.75" customHeight="1">
      <c r="A10" s="23"/>
      <c r="B10" s="24"/>
      <c r="C10" s="24" t="s">
        <v>18</v>
      </c>
      <c r="D10" s="25" t="s">
        <v>19</v>
      </c>
      <c r="E10" s="26"/>
      <c r="F10" s="733">
        <f>'3.sz.m Önk  bev.'!F10</f>
        <v>2003046</v>
      </c>
      <c r="G10" s="545">
        <f>'3.sz.m Önk  bev.'!G10</f>
        <v>2003046</v>
      </c>
      <c r="H10" s="545">
        <f>'3.sz.m Önk  bev.'!H10</f>
        <v>2003046</v>
      </c>
      <c r="I10" s="545">
        <f>'3.sz.m Önk  bev.'!I10</f>
        <v>2385972</v>
      </c>
      <c r="J10" s="545">
        <f>'3.sz.m Önk  bev.'!J10</f>
        <v>2200956</v>
      </c>
      <c r="K10" s="1155">
        <f t="shared" si="3"/>
        <v>0.9224567597608019</v>
      </c>
      <c r="L10" s="733">
        <f t="shared" si="0"/>
        <v>2003046</v>
      </c>
      <c r="M10" s="733">
        <f t="shared" si="1"/>
        <v>2003046</v>
      </c>
      <c r="N10" s="733">
        <f t="shared" si="1"/>
        <v>2003046</v>
      </c>
      <c r="O10" s="733">
        <f t="shared" si="2"/>
        <v>2385972</v>
      </c>
      <c r="P10" s="733">
        <f t="shared" si="2"/>
        <v>2200956</v>
      </c>
      <c r="Q10" s="1155">
        <f t="shared" si="4"/>
        <v>0.9224567597608019</v>
      </c>
      <c r="R10" s="733"/>
      <c r="S10" s="545"/>
      <c r="T10" s="545"/>
      <c r="U10" s="545"/>
      <c r="V10" s="545"/>
      <c r="W10" s="1155"/>
      <c r="X10" s="613"/>
    </row>
    <row r="11" spans="1:24" ht="21.75" customHeight="1">
      <c r="A11" s="23"/>
      <c r="B11" s="24"/>
      <c r="C11" s="24" t="s">
        <v>20</v>
      </c>
      <c r="D11" s="25" t="s">
        <v>21</v>
      </c>
      <c r="E11" s="26"/>
      <c r="F11" s="733">
        <f>'3.sz.m Önk  bev.'!F11</f>
        <v>0</v>
      </c>
      <c r="G11" s="545">
        <f>'3.sz.m Önk  bev.'!G11</f>
        <v>0</v>
      </c>
      <c r="H11" s="545">
        <f>'3.sz.m Önk  bev.'!H11</f>
        <v>0</v>
      </c>
      <c r="I11" s="545">
        <f>'3.sz.m Önk  bev.'!I11</f>
        <v>0</v>
      </c>
      <c r="J11" s="545">
        <f>'3.sz.m Önk  bev.'!J11</f>
        <v>0</v>
      </c>
      <c r="K11" s="1155"/>
      <c r="L11" s="733">
        <f t="shared" si="0"/>
        <v>0</v>
      </c>
      <c r="M11" s="733">
        <f t="shared" si="1"/>
        <v>0</v>
      </c>
      <c r="N11" s="733">
        <f t="shared" si="1"/>
        <v>0</v>
      </c>
      <c r="O11" s="733">
        <f t="shared" si="2"/>
        <v>0</v>
      </c>
      <c r="P11" s="733">
        <f t="shared" si="2"/>
        <v>0</v>
      </c>
      <c r="Q11" s="1155"/>
      <c r="R11" s="733"/>
      <c r="S11" s="545"/>
      <c r="T11" s="545"/>
      <c r="U11" s="545"/>
      <c r="V11" s="545"/>
      <c r="W11" s="1155"/>
      <c r="X11" s="613"/>
    </row>
    <row r="12" spans="1:33" ht="21.75" customHeight="1" hidden="1">
      <c r="A12" s="23"/>
      <c r="B12" s="24"/>
      <c r="C12" s="24"/>
      <c r="D12" s="25"/>
      <c r="E12" s="26"/>
      <c r="F12" s="733">
        <f>'3.sz.m Önk  bev.'!F12</f>
        <v>0</v>
      </c>
      <c r="G12" s="545">
        <f>'3.sz.m Önk  bev.'!G12</f>
        <v>0</v>
      </c>
      <c r="H12" s="545">
        <f>'3.sz.m Önk  bev.'!H12</f>
        <v>0</v>
      </c>
      <c r="I12" s="545">
        <f>'3.sz.m Önk  bev.'!I12</f>
        <v>0</v>
      </c>
      <c r="J12" s="545">
        <f>'3.sz.m Önk  bev.'!J12</f>
        <v>0</v>
      </c>
      <c r="K12" s="1155" t="e">
        <f t="shared" si="3"/>
        <v>#DIV/0!</v>
      </c>
      <c r="L12" s="733">
        <f t="shared" si="0"/>
        <v>0</v>
      </c>
      <c r="M12" s="733">
        <f t="shared" si="1"/>
        <v>0</v>
      </c>
      <c r="N12" s="733">
        <f t="shared" si="1"/>
        <v>0</v>
      </c>
      <c r="O12" s="733">
        <f t="shared" si="2"/>
        <v>0</v>
      </c>
      <c r="P12" s="733">
        <f t="shared" si="2"/>
        <v>0</v>
      </c>
      <c r="Q12" s="1155" t="e">
        <f t="shared" si="4"/>
        <v>#DIV/0!</v>
      </c>
      <c r="R12" s="733"/>
      <c r="S12" s="545"/>
      <c r="T12" s="545"/>
      <c r="U12" s="545"/>
      <c r="V12" s="545"/>
      <c r="W12" s="1155" t="e">
        <f>+V12/U12</f>
        <v>#DIV/0!</v>
      </c>
      <c r="X12" s="613"/>
      <c r="AG12" t="s">
        <v>22</v>
      </c>
    </row>
    <row r="13" spans="1:24" ht="21.75" customHeight="1">
      <c r="A13" s="23"/>
      <c r="B13" s="24" t="s">
        <v>23</v>
      </c>
      <c r="C13" s="1283" t="s">
        <v>24</v>
      </c>
      <c r="D13" s="1283"/>
      <c r="E13" s="28" t="s">
        <v>25</v>
      </c>
      <c r="F13" s="733">
        <f>'3.sz.m Önk  bev.'!F13</f>
        <v>11568354</v>
      </c>
      <c r="G13" s="545">
        <f>'3.sz.m Önk  bev.'!G13</f>
        <v>11568354</v>
      </c>
      <c r="H13" s="545">
        <f>'3.sz.m Önk  bev.'!H13</f>
        <v>11568354</v>
      </c>
      <c r="I13" s="545">
        <f>'3.sz.m Önk  bev.'!I13</f>
        <v>14476200</v>
      </c>
      <c r="J13" s="545">
        <f>'3.sz.m Önk  bev.'!J13</f>
        <v>14327785</v>
      </c>
      <c r="K13" s="1155">
        <f t="shared" si="3"/>
        <v>0.9897476547712798</v>
      </c>
      <c r="L13" s="733">
        <f>SUM(L14:L15)</f>
        <v>5532229</v>
      </c>
      <c r="M13" s="733">
        <f>SUM(M14:M15)</f>
        <v>3459783</v>
      </c>
      <c r="N13" s="733">
        <f>SUM(N14:N15)</f>
        <v>3459784</v>
      </c>
      <c r="O13" s="733">
        <f>SUM(O14:O15)</f>
        <v>12920826</v>
      </c>
      <c r="P13" s="733">
        <f>SUM(P14:P15)</f>
        <v>12772411</v>
      </c>
      <c r="Q13" s="1155">
        <f t="shared" si="4"/>
        <v>0.9885135052511349</v>
      </c>
      <c r="R13" s="733">
        <f>SUM(R14:R15)</f>
        <v>6036125</v>
      </c>
      <c r="S13" s="545">
        <f>SUM(S14:S15)</f>
        <v>8108571</v>
      </c>
      <c r="T13" s="545">
        <f>SUM(T14:T15)</f>
        <v>8108570</v>
      </c>
      <c r="U13" s="545">
        <f>SUM(U14:U15)</f>
        <v>1555374</v>
      </c>
      <c r="V13" s="545">
        <f>SUM(V14:V15)</f>
        <v>1555374</v>
      </c>
      <c r="W13" s="1155">
        <f>+V13/U13</f>
        <v>1</v>
      </c>
      <c r="X13" s="613"/>
    </row>
    <row r="14" spans="1:24" ht="21.75" customHeight="1">
      <c r="A14" s="23"/>
      <c r="B14" s="24"/>
      <c r="C14" s="24" t="s">
        <v>26</v>
      </c>
      <c r="D14" s="27" t="s">
        <v>27</v>
      </c>
      <c r="E14" s="28"/>
      <c r="F14" s="733">
        <f>'3.sz.m Önk  bev.'!F14</f>
        <v>11568354</v>
      </c>
      <c r="G14" s="545">
        <f>'3.sz.m Önk  bev.'!G14</f>
        <v>11568354</v>
      </c>
      <c r="H14" s="545">
        <f>'3.sz.m Önk  bev.'!H14</f>
        <v>11568354</v>
      </c>
      <c r="I14" s="545">
        <f>'3.sz.m Önk  bev.'!I14</f>
        <v>14476200</v>
      </c>
      <c r="J14" s="545">
        <f>'3.sz.m Önk  bev.'!J14</f>
        <v>14327785</v>
      </c>
      <c r="K14" s="1155">
        <f t="shared" si="3"/>
        <v>0.9897476547712798</v>
      </c>
      <c r="L14" s="733">
        <f aca="true" t="shared" si="5" ref="L14:L20">F14-R14</f>
        <v>5532229</v>
      </c>
      <c r="M14" s="733">
        <f aca="true" t="shared" si="6" ref="M14:N20">G14-S14</f>
        <v>3459783</v>
      </c>
      <c r="N14" s="733">
        <f t="shared" si="6"/>
        <v>3459784</v>
      </c>
      <c r="O14" s="733">
        <f aca="true" t="shared" si="7" ref="O14:P20">I14-U14</f>
        <v>12920826</v>
      </c>
      <c r="P14" s="733">
        <f t="shared" si="7"/>
        <v>12772411</v>
      </c>
      <c r="Q14" s="1155">
        <f t="shared" si="4"/>
        <v>0.9885135052511349</v>
      </c>
      <c r="R14" s="733">
        <f>'3.sz.m Önk  bev.'!R14</f>
        <v>6036125</v>
      </c>
      <c r="S14" s="733">
        <f>'3.sz.m Önk  bev.'!S14</f>
        <v>8108571</v>
      </c>
      <c r="T14" s="733">
        <f>'3.sz.m Önk  bev.'!T14</f>
        <v>8108570</v>
      </c>
      <c r="U14" s="545">
        <f>'3.sz.m Önk  bev.'!U14</f>
        <v>1555374</v>
      </c>
      <c r="V14" s="545">
        <f>'3.sz.m Önk  bev.'!V14</f>
        <v>1555374</v>
      </c>
      <c r="W14" s="1155">
        <f>+V14/U14</f>
        <v>1</v>
      </c>
      <c r="X14" s="613"/>
    </row>
    <row r="15" spans="1:24" ht="21.75" customHeight="1">
      <c r="A15" s="23"/>
      <c r="B15" s="24"/>
      <c r="C15" s="24" t="s">
        <v>28</v>
      </c>
      <c r="D15" s="27" t="s">
        <v>29</v>
      </c>
      <c r="E15" s="28"/>
      <c r="F15" s="733">
        <f>'3.sz.m Önk  bev.'!F15</f>
        <v>0</v>
      </c>
      <c r="G15" s="545">
        <f>'3.sz.m Önk  bev.'!G15</f>
        <v>0</v>
      </c>
      <c r="H15" s="545">
        <f>'3.sz.m Önk  bev.'!H15</f>
        <v>0</v>
      </c>
      <c r="I15" s="545">
        <f>'3.sz.m Önk  bev.'!I15</f>
        <v>0</v>
      </c>
      <c r="J15" s="545">
        <f>'3.sz.m Önk  bev.'!J15</f>
        <v>0</v>
      </c>
      <c r="K15" s="1155"/>
      <c r="L15" s="733">
        <f t="shared" si="5"/>
        <v>0</v>
      </c>
      <c r="M15" s="733">
        <f t="shared" si="6"/>
        <v>0</v>
      </c>
      <c r="N15" s="733">
        <f t="shared" si="6"/>
        <v>0</v>
      </c>
      <c r="O15" s="733">
        <f t="shared" si="7"/>
        <v>0</v>
      </c>
      <c r="P15" s="733">
        <f t="shared" si="7"/>
        <v>0</v>
      </c>
      <c r="Q15" s="1155"/>
      <c r="R15" s="733"/>
      <c r="S15" s="545"/>
      <c r="T15" s="545"/>
      <c r="U15" s="545"/>
      <c r="V15" s="545"/>
      <c r="W15" s="1155"/>
      <c r="X15" s="613"/>
    </row>
    <row r="16" spans="1:24" ht="29.25" customHeight="1">
      <c r="A16" s="23"/>
      <c r="B16" s="24" t="s">
        <v>30</v>
      </c>
      <c r="C16" s="1283" t="s">
        <v>31</v>
      </c>
      <c r="D16" s="1283"/>
      <c r="E16" s="28" t="s">
        <v>32</v>
      </c>
      <c r="F16" s="733">
        <f>'3.sz.m Önk  bev.'!F16</f>
        <v>1722000</v>
      </c>
      <c r="G16" s="545">
        <f>'3.sz.m Önk  bev.'!G16</f>
        <v>1722000</v>
      </c>
      <c r="H16" s="545">
        <f>'3.sz.m Önk  bev.'!H16</f>
        <v>1722000</v>
      </c>
      <c r="I16" s="545">
        <f>'3.sz.m Önk  bev.'!I16</f>
        <v>1884036</v>
      </c>
      <c r="J16" s="545">
        <f>'3.sz.m Önk  bev.'!J16</f>
        <v>1878719</v>
      </c>
      <c r="K16" s="1155">
        <f t="shared" si="3"/>
        <v>0.9971778670895886</v>
      </c>
      <c r="L16" s="733">
        <f t="shared" si="5"/>
        <v>1722000</v>
      </c>
      <c r="M16" s="733">
        <f t="shared" si="6"/>
        <v>1722000</v>
      </c>
      <c r="N16" s="733">
        <f t="shared" si="6"/>
        <v>1722000</v>
      </c>
      <c r="O16" s="733">
        <f t="shared" si="7"/>
        <v>1884036</v>
      </c>
      <c r="P16" s="733">
        <f t="shared" si="7"/>
        <v>1878719</v>
      </c>
      <c r="Q16" s="1155">
        <f t="shared" si="4"/>
        <v>0.9971778670895886</v>
      </c>
      <c r="R16" s="733"/>
      <c r="S16" s="545"/>
      <c r="T16" s="545"/>
      <c r="U16" s="545"/>
      <c r="V16" s="545"/>
      <c r="W16" s="1155"/>
      <c r="X16" s="613"/>
    </row>
    <row r="17" spans="1:24" ht="29.25" customHeight="1">
      <c r="A17" s="23"/>
      <c r="B17" s="24" t="s">
        <v>33</v>
      </c>
      <c r="C17" s="1288" t="s">
        <v>34</v>
      </c>
      <c r="D17" s="1288"/>
      <c r="E17" s="29" t="s">
        <v>35</v>
      </c>
      <c r="F17" s="733">
        <f>'3.sz.m Önk  bev.'!F17</f>
        <v>0</v>
      </c>
      <c r="G17" s="545">
        <f>'3.sz.m Önk  bev.'!G17</f>
        <v>0</v>
      </c>
      <c r="H17" s="545">
        <f>'3.sz.m Önk  bev.'!H17</f>
        <v>0</v>
      </c>
      <c r="I17" s="545">
        <f>'3.sz.m Önk  bev.'!I17</f>
        <v>0</v>
      </c>
      <c r="J17" s="545">
        <f>'3.sz.m Önk  bev.'!J17</f>
        <v>0</v>
      </c>
      <c r="K17" s="1155"/>
      <c r="L17" s="733">
        <f t="shared" si="5"/>
        <v>0</v>
      </c>
      <c r="M17" s="733">
        <f t="shared" si="6"/>
        <v>0</v>
      </c>
      <c r="N17" s="733">
        <f t="shared" si="6"/>
        <v>0</v>
      </c>
      <c r="O17" s="733">
        <f t="shared" si="7"/>
        <v>0</v>
      </c>
      <c r="P17" s="733">
        <f t="shared" si="7"/>
        <v>0</v>
      </c>
      <c r="Q17" s="1155"/>
      <c r="R17" s="733"/>
      <c r="S17" s="545"/>
      <c r="T17" s="545"/>
      <c r="U17" s="545"/>
      <c r="V17" s="545"/>
      <c r="W17" s="1155"/>
      <c r="X17" s="613"/>
    </row>
    <row r="18" spans="1:24" ht="31.5" customHeight="1">
      <c r="A18" s="23"/>
      <c r="B18" s="24"/>
      <c r="C18" s="24" t="s">
        <v>36</v>
      </c>
      <c r="D18" s="27" t="s">
        <v>37</v>
      </c>
      <c r="E18" s="28"/>
      <c r="F18" s="733">
        <f>'3.sz.m Önk  bev.'!F18</f>
        <v>0</v>
      </c>
      <c r="G18" s="545">
        <f>'3.sz.m Önk  bev.'!G18</f>
        <v>0</v>
      </c>
      <c r="H18" s="545">
        <f>'3.sz.m Önk  bev.'!H18</f>
        <v>0</v>
      </c>
      <c r="I18" s="545">
        <f>'3.sz.m Önk  bev.'!I18</f>
        <v>0</v>
      </c>
      <c r="J18" s="545">
        <f>'3.sz.m Önk  bev.'!J18</f>
        <v>0</v>
      </c>
      <c r="K18" s="1155"/>
      <c r="L18" s="733">
        <f t="shared" si="5"/>
        <v>0</v>
      </c>
      <c r="M18" s="733">
        <f t="shared" si="6"/>
        <v>0</v>
      </c>
      <c r="N18" s="733">
        <f t="shared" si="6"/>
        <v>0</v>
      </c>
      <c r="O18" s="733">
        <f t="shared" si="7"/>
        <v>0</v>
      </c>
      <c r="P18" s="733">
        <f t="shared" si="7"/>
        <v>0</v>
      </c>
      <c r="Q18" s="1155"/>
      <c r="R18" s="733"/>
      <c r="S18" s="545"/>
      <c r="T18" s="545"/>
      <c r="U18" s="545"/>
      <c r="V18" s="545"/>
      <c r="W18" s="1155"/>
      <c r="X18" s="613"/>
    </row>
    <row r="19" spans="1:24" ht="21.75" customHeight="1">
      <c r="A19" s="23"/>
      <c r="B19" s="24"/>
      <c r="C19" s="24" t="s">
        <v>38</v>
      </c>
      <c r="D19" s="27" t="s">
        <v>39</v>
      </c>
      <c r="E19" s="28"/>
      <c r="F19" s="733">
        <f>'3.sz.m Önk  bev.'!F19</f>
        <v>0</v>
      </c>
      <c r="G19" s="545">
        <f>'3.sz.m Önk  bev.'!G19</f>
        <v>0</v>
      </c>
      <c r="H19" s="545">
        <f>'3.sz.m Önk  bev.'!H19</f>
        <v>0</v>
      </c>
      <c r="I19" s="545">
        <f>'3.sz.m Önk  bev.'!I19</f>
        <v>0</v>
      </c>
      <c r="J19" s="545">
        <f>'3.sz.m Önk  bev.'!J19</f>
        <v>0</v>
      </c>
      <c r="K19" s="1155"/>
      <c r="L19" s="733">
        <f t="shared" si="5"/>
        <v>0</v>
      </c>
      <c r="M19" s="733">
        <f t="shared" si="6"/>
        <v>0</v>
      </c>
      <c r="N19" s="733">
        <f t="shared" si="6"/>
        <v>0</v>
      </c>
      <c r="O19" s="733">
        <f t="shared" si="7"/>
        <v>0</v>
      </c>
      <c r="P19" s="733">
        <f t="shared" si="7"/>
        <v>0</v>
      </c>
      <c r="Q19" s="1155"/>
      <c r="R19" s="733"/>
      <c r="S19" s="545"/>
      <c r="T19" s="545"/>
      <c r="U19" s="545"/>
      <c r="V19" s="545"/>
      <c r="W19" s="1155"/>
      <c r="X19" s="613"/>
    </row>
    <row r="20" spans="1:24" ht="21.75" customHeight="1" thickBot="1">
      <c r="A20" s="30"/>
      <c r="B20" s="31" t="s">
        <v>40</v>
      </c>
      <c r="C20" s="1287" t="s">
        <v>41</v>
      </c>
      <c r="D20" s="1287"/>
      <c r="E20" s="32" t="s">
        <v>42</v>
      </c>
      <c r="F20" s="734">
        <f>'3.sz.m Önk  bev.'!F20</f>
        <v>1604200</v>
      </c>
      <c r="G20" s="550">
        <f>'3.sz.m Önk  bev.'!G20</f>
        <v>1604200</v>
      </c>
      <c r="H20" s="550">
        <f>'3.sz.m Önk  bev.'!H20</f>
        <v>1604200</v>
      </c>
      <c r="I20" s="550">
        <f>'3.sz.m Önk  bev.'!I20</f>
        <v>2211094</v>
      </c>
      <c r="J20" s="550">
        <f>'3.sz.m Önk  bev.'!J20</f>
        <v>1803152</v>
      </c>
      <c r="K20" s="1156">
        <f t="shared" si="3"/>
        <v>0.8155021903184577</v>
      </c>
      <c r="L20" s="734">
        <f t="shared" si="5"/>
        <v>1604200</v>
      </c>
      <c r="M20" s="734">
        <f t="shared" si="6"/>
        <v>1604200</v>
      </c>
      <c r="N20" s="734">
        <f t="shared" si="6"/>
        <v>1604200</v>
      </c>
      <c r="O20" s="734">
        <f t="shared" si="7"/>
        <v>2211094</v>
      </c>
      <c r="P20" s="734">
        <f t="shared" si="7"/>
        <v>1803152</v>
      </c>
      <c r="Q20" s="1156">
        <f t="shared" si="4"/>
        <v>0.8155021903184577</v>
      </c>
      <c r="R20" s="734"/>
      <c r="S20" s="550"/>
      <c r="T20" s="550"/>
      <c r="U20" s="550"/>
      <c r="V20" s="550"/>
      <c r="W20" s="1156"/>
      <c r="X20" s="614"/>
    </row>
    <row r="21" spans="1:24" ht="21.75" customHeight="1" thickBot="1">
      <c r="A21" s="15" t="s">
        <v>43</v>
      </c>
      <c r="B21" s="1273" t="s">
        <v>44</v>
      </c>
      <c r="C21" s="1273"/>
      <c r="D21" s="1273"/>
      <c r="E21" s="16" t="s">
        <v>45</v>
      </c>
      <c r="F21" s="731">
        <f>F22+F25+F26+F27+F34+F35+F36+F23</f>
        <v>11404623</v>
      </c>
      <c r="G21" s="543">
        <f>G22+G25+G26+G27+G34+G35+G36+G23</f>
        <v>11481507</v>
      </c>
      <c r="H21" s="543">
        <f>H22+H25+H26+H27+H34+H35+H36+H23</f>
        <v>11432280</v>
      </c>
      <c r="I21" s="543">
        <f>I22+I25+I26+I27+I34+I35+I36+I23</f>
        <v>9309334</v>
      </c>
      <c r="J21" s="543">
        <f>J22+J25+J26+J27+J34+J35+J36+J23</f>
        <v>9024587</v>
      </c>
      <c r="K21" s="1153">
        <f t="shared" si="3"/>
        <v>0.9694127420930434</v>
      </c>
      <c r="L21" s="731">
        <f>L22+L25+L26+L27+L34+L35+L36+L23</f>
        <v>9876143</v>
      </c>
      <c r="M21" s="543">
        <f>M22+M25+M26+M27+M34+M35+M36+M23</f>
        <v>9953027</v>
      </c>
      <c r="N21" s="543">
        <f>N22+N25+N26+N27+N34+N35+N36+N23</f>
        <v>9903799</v>
      </c>
      <c r="O21" s="543">
        <f>O22+O25+O26+O27+O34+O35+O36+O23</f>
        <v>9309334</v>
      </c>
      <c r="P21" s="543">
        <f>P22+P25+P26+P27+P34+P35+P36+P23</f>
        <v>9024587</v>
      </c>
      <c r="Q21" s="1153">
        <f t="shared" si="4"/>
        <v>0.9694127420930434</v>
      </c>
      <c r="R21" s="731">
        <f>R22+R25+R26+R27+R34+R35+R36+R23</f>
        <v>1528480</v>
      </c>
      <c r="S21" s="543">
        <f>S22+S25+S26+S27+S34+S35+S36+S23</f>
        <v>1528480</v>
      </c>
      <c r="T21" s="543">
        <f>T22+T25+T26+T27+T34+T35+T36+T23</f>
        <v>1528481</v>
      </c>
      <c r="U21" s="543">
        <f>U22+U25+U26+U27+U34+U35+U36+U23</f>
        <v>0</v>
      </c>
      <c r="V21" s="543">
        <f>V22+V25+V26+V27+V34+V35+V36+V23</f>
        <v>0</v>
      </c>
      <c r="W21" s="1153"/>
      <c r="X21" s="611">
        <f>X25+X26+X27+X32+X33+X34+X35</f>
        <v>0</v>
      </c>
    </row>
    <row r="22" spans="1:24" ht="21.75" customHeight="1">
      <c r="A22" s="449"/>
      <c r="B22" s="24" t="s">
        <v>46</v>
      </c>
      <c r="C22" s="1289" t="s">
        <v>393</v>
      </c>
      <c r="D22" s="1290"/>
      <c r="E22" s="22" t="s">
        <v>396</v>
      </c>
      <c r="F22" s="732">
        <f>'3.sz.m Önk  bev.'!F22</f>
        <v>0</v>
      </c>
      <c r="G22" s="544">
        <f>'3.sz.m Önk  bev.'!G22</f>
        <v>0</v>
      </c>
      <c r="H22" s="544">
        <f>'3.sz.m Önk  bev.'!H22</f>
        <v>0</v>
      </c>
      <c r="I22" s="544">
        <f>'3.sz.m Önk  bev.'!I22</f>
        <v>0</v>
      </c>
      <c r="J22" s="544">
        <f>'3.sz.m Önk  bev.'!J22</f>
        <v>0</v>
      </c>
      <c r="K22" s="1154"/>
      <c r="L22" s="732">
        <f>F22-R22</f>
        <v>0</v>
      </c>
      <c r="M22" s="544">
        <f>G22-S22</f>
        <v>0</v>
      </c>
      <c r="N22" s="544">
        <f>H22-T22</f>
        <v>0</v>
      </c>
      <c r="O22" s="544">
        <f>I22-U22</f>
        <v>0</v>
      </c>
      <c r="P22" s="544">
        <f>J22-V22</f>
        <v>0</v>
      </c>
      <c r="Q22" s="1154"/>
      <c r="R22" s="732"/>
      <c r="S22" s="544"/>
      <c r="T22" s="544"/>
      <c r="U22" s="544"/>
      <c r="V22" s="544"/>
      <c r="W22" s="1154"/>
      <c r="X22" s="612"/>
    </row>
    <row r="23" spans="1:24" ht="21.75" customHeight="1">
      <c r="A23" s="23"/>
      <c r="B23" s="24" t="s">
        <v>49</v>
      </c>
      <c r="C23" s="1272" t="s">
        <v>401</v>
      </c>
      <c r="D23" s="1272"/>
      <c r="E23" s="36"/>
      <c r="F23" s="735">
        <f>'5. sz. m óvoda'!J11</f>
        <v>388574</v>
      </c>
      <c r="G23" s="546">
        <f>'5. sz. m óvoda'!K11</f>
        <v>388574</v>
      </c>
      <c r="H23" s="546">
        <f>'5. sz. m óvoda'!L11</f>
        <v>387864</v>
      </c>
      <c r="I23" s="546">
        <f>'5. sz. m óvoda'!M11</f>
        <v>399061</v>
      </c>
      <c r="J23" s="546">
        <f>'5. sz. m óvoda'!N11</f>
        <v>399061</v>
      </c>
      <c r="K23" s="1157">
        <f t="shared" si="3"/>
        <v>1</v>
      </c>
      <c r="L23" s="735">
        <f>'5. sz. m óvoda'!P11</f>
        <v>388574</v>
      </c>
      <c r="M23" s="546">
        <f>'5. sz. m óvoda'!Q11</f>
        <v>388574</v>
      </c>
      <c r="N23" s="546">
        <f>'5. sz. m óvoda'!R11</f>
        <v>387864</v>
      </c>
      <c r="O23" s="546">
        <f>'5. sz. m óvoda'!S11</f>
        <v>399061</v>
      </c>
      <c r="P23" s="546">
        <f>'5. sz. m óvoda'!T11</f>
        <v>399061</v>
      </c>
      <c r="Q23" s="1157">
        <f t="shared" si="4"/>
        <v>1</v>
      </c>
      <c r="R23" s="735"/>
      <c r="S23" s="546"/>
      <c r="T23" s="546"/>
      <c r="U23" s="546"/>
      <c r="V23" s="546"/>
      <c r="W23" s="1157"/>
      <c r="X23" s="615"/>
    </row>
    <row r="24" spans="1:24" ht="21.75" customHeight="1" hidden="1">
      <c r="A24" s="449"/>
      <c r="B24" s="98"/>
      <c r="C24" s="98"/>
      <c r="D24" s="98"/>
      <c r="E24" s="36"/>
      <c r="F24" s="735"/>
      <c r="G24" s="546"/>
      <c r="H24" s="546"/>
      <c r="I24" s="546"/>
      <c r="J24" s="546"/>
      <c r="K24" s="1157" t="e">
        <f t="shared" si="3"/>
        <v>#DIV/0!</v>
      </c>
      <c r="L24" s="735"/>
      <c r="M24" s="546"/>
      <c r="N24" s="546"/>
      <c r="O24" s="546"/>
      <c r="P24" s="546"/>
      <c r="Q24" s="1157" t="e">
        <f t="shared" si="4"/>
        <v>#DIV/0!</v>
      </c>
      <c r="R24" s="735"/>
      <c r="S24" s="546"/>
      <c r="T24" s="546"/>
      <c r="U24" s="546"/>
      <c r="V24" s="546"/>
      <c r="W24" s="1157"/>
      <c r="X24" s="615"/>
    </row>
    <row r="25" spans="1:24" ht="21.75" customHeight="1">
      <c r="A25" s="33"/>
      <c r="B25" s="34" t="s">
        <v>52</v>
      </c>
      <c r="C25" s="1270" t="s">
        <v>47</v>
      </c>
      <c r="D25" s="1270"/>
      <c r="E25" s="36" t="s">
        <v>48</v>
      </c>
      <c r="F25" s="735">
        <f>'3.sz.m Önk  bev.'!F23+'5. sz. m óvoda'!J10</f>
        <v>8481140</v>
      </c>
      <c r="G25" s="546">
        <f>'3.sz.m Önk  bev.'!G23+'5. sz. m óvoda'!K10</f>
        <v>8481140</v>
      </c>
      <c r="H25" s="546">
        <f>'3.sz.m Önk  bev.'!H23+'5. sz. m óvoda'!L10</f>
        <v>8481140</v>
      </c>
      <c r="I25" s="546">
        <f>'3.sz.m Önk  bev.'!I23+'5. sz. m óvoda'!M10</f>
        <v>6764543</v>
      </c>
      <c r="J25" s="546">
        <f>'3.sz.m Önk  bev.'!J23+'5. sz. m óvoda'!N10</f>
        <v>6608626</v>
      </c>
      <c r="K25" s="1157">
        <f t="shared" si="3"/>
        <v>0.9769508450164335</v>
      </c>
      <c r="L25" s="735">
        <f>'3.sz.m Önk  bev.'!L23+'5. sz. m óvoda'!P10</f>
        <v>6952660</v>
      </c>
      <c r="M25" s="546">
        <f>'3.sz.m Önk  bev.'!M23+'5. sz. m óvoda'!Q10</f>
        <v>6952660</v>
      </c>
      <c r="N25" s="546">
        <f>'3.sz.m Önk  bev.'!N23+'5. sz. m óvoda'!R10</f>
        <v>6952659</v>
      </c>
      <c r="O25" s="546">
        <f>'3.sz.m Önk  bev.'!O23+'5. sz. m óvoda'!S10</f>
        <v>6764543</v>
      </c>
      <c r="P25" s="546">
        <f>'3.sz.m Önk  bev.'!P23+'5. sz. m óvoda'!T10</f>
        <v>6608626</v>
      </c>
      <c r="Q25" s="1157">
        <f t="shared" si="4"/>
        <v>0.9769508450164335</v>
      </c>
      <c r="R25" s="735">
        <f>'3.sz.m Önk  bev.'!R23</f>
        <v>1528480</v>
      </c>
      <c r="S25" s="546">
        <f>'3.sz.m Önk  bev.'!S23</f>
        <v>1528480</v>
      </c>
      <c r="T25" s="546">
        <f>'3.sz.m Önk  bev.'!T23</f>
        <v>1528481</v>
      </c>
      <c r="U25" s="546">
        <f>'3.sz.m Önk  bev.'!U23</f>
        <v>0</v>
      </c>
      <c r="V25" s="546">
        <f>'3.sz.m Önk  bev.'!V23</f>
        <v>0</v>
      </c>
      <c r="W25" s="1157"/>
      <c r="X25" s="615"/>
    </row>
    <row r="26" spans="1:24" ht="21.75" customHeight="1">
      <c r="A26" s="23"/>
      <c r="B26" s="24" t="s">
        <v>61</v>
      </c>
      <c r="C26" s="1272" t="s">
        <v>50</v>
      </c>
      <c r="D26" s="1272"/>
      <c r="E26" s="26" t="s">
        <v>51</v>
      </c>
      <c r="F26" s="736">
        <f>'3.sz.m Önk  bev.'!F24</f>
        <v>0</v>
      </c>
      <c r="G26" s="447">
        <f>'3.sz.m Önk  bev.'!G24</f>
        <v>300000</v>
      </c>
      <c r="H26" s="447">
        <f>'3.sz.m Önk  bev.'!H24</f>
        <v>300000</v>
      </c>
      <c r="I26" s="447">
        <f>'3.sz.m Önk  bev.'!I24</f>
        <v>300000</v>
      </c>
      <c r="J26" s="447">
        <f>'3.sz.m Önk  bev.'!J24</f>
        <v>230280</v>
      </c>
      <c r="K26" s="1158">
        <f t="shared" si="3"/>
        <v>0.7676</v>
      </c>
      <c r="L26" s="736">
        <f aca="true" t="shared" si="8" ref="L26:P30">F26-R26</f>
        <v>0</v>
      </c>
      <c r="M26" s="447">
        <f t="shared" si="8"/>
        <v>300000</v>
      </c>
      <c r="N26" s="447">
        <f t="shared" si="8"/>
        <v>300000</v>
      </c>
      <c r="O26" s="447">
        <f t="shared" si="8"/>
        <v>300000</v>
      </c>
      <c r="P26" s="447">
        <f t="shared" si="8"/>
        <v>230280</v>
      </c>
      <c r="Q26" s="1158">
        <f t="shared" si="4"/>
        <v>0.7676</v>
      </c>
      <c r="R26" s="736"/>
      <c r="S26" s="447"/>
      <c r="T26" s="447"/>
      <c r="U26" s="447"/>
      <c r="V26" s="447"/>
      <c r="W26" s="1158"/>
      <c r="X26" s="616"/>
    </row>
    <row r="27" spans="1:24" ht="21.75" customHeight="1">
      <c r="A27" s="23"/>
      <c r="B27" s="24" t="s">
        <v>63</v>
      </c>
      <c r="C27" s="1272" t="s">
        <v>53</v>
      </c>
      <c r="D27" s="1272"/>
      <c r="E27" s="26" t="s">
        <v>54</v>
      </c>
      <c r="F27" s="736">
        <f>SUM(F28:F31)</f>
        <v>1198529</v>
      </c>
      <c r="G27" s="447">
        <f>SUM(G28:G31)</f>
        <v>1198529</v>
      </c>
      <c r="H27" s="447">
        <f>SUM(H28:H31)</f>
        <v>1198529</v>
      </c>
      <c r="I27" s="447">
        <f>SUM(I28:I31)</f>
        <v>1380465</v>
      </c>
      <c r="J27" s="447">
        <f>SUM(J28:J31)</f>
        <v>1380465</v>
      </c>
      <c r="K27" s="1158">
        <f t="shared" si="3"/>
        <v>1</v>
      </c>
      <c r="L27" s="736">
        <f t="shared" si="8"/>
        <v>1198529</v>
      </c>
      <c r="M27" s="447">
        <f t="shared" si="8"/>
        <v>1198529</v>
      </c>
      <c r="N27" s="447">
        <f t="shared" si="8"/>
        <v>1198529</v>
      </c>
      <c r="O27" s="447">
        <f t="shared" si="8"/>
        <v>1380465</v>
      </c>
      <c r="P27" s="447">
        <f t="shared" si="8"/>
        <v>1380465</v>
      </c>
      <c r="Q27" s="1158">
        <f t="shared" si="4"/>
        <v>1</v>
      </c>
      <c r="R27" s="736"/>
      <c r="S27" s="447"/>
      <c r="T27" s="447"/>
      <c r="U27" s="447"/>
      <c r="V27" s="447"/>
      <c r="W27" s="1158"/>
      <c r="X27" s="616"/>
    </row>
    <row r="28" spans="1:24" ht="31.5" customHeight="1">
      <c r="A28" s="23"/>
      <c r="B28" s="24"/>
      <c r="C28" s="24" t="s">
        <v>406</v>
      </c>
      <c r="D28" s="25" t="s">
        <v>56</v>
      </c>
      <c r="E28" s="26"/>
      <c r="F28" s="736">
        <f>'3.sz.m Önk  bev.'!F26</f>
        <v>1140995</v>
      </c>
      <c r="G28" s="447">
        <f>'3.sz.m Önk  bev.'!G26</f>
        <v>1140995</v>
      </c>
      <c r="H28" s="447">
        <f>'3.sz.m Önk  bev.'!H26</f>
        <v>1140995</v>
      </c>
      <c r="I28" s="447">
        <f>'3.sz.m Önk  bev.'!I26</f>
        <v>1322931</v>
      </c>
      <c r="J28" s="447">
        <f>'3.sz.m Önk  bev.'!J26</f>
        <v>1351698</v>
      </c>
      <c r="K28" s="1158">
        <f t="shared" si="3"/>
        <v>1.02174489826</v>
      </c>
      <c r="L28" s="736">
        <f t="shared" si="8"/>
        <v>1140995</v>
      </c>
      <c r="M28" s="447">
        <f t="shared" si="8"/>
        <v>1140995</v>
      </c>
      <c r="N28" s="447">
        <f t="shared" si="8"/>
        <v>1140995</v>
      </c>
      <c r="O28" s="447">
        <f t="shared" si="8"/>
        <v>1322931</v>
      </c>
      <c r="P28" s="447">
        <f t="shared" si="8"/>
        <v>1351698</v>
      </c>
      <c r="Q28" s="1158">
        <f t="shared" si="4"/>
        <v>1.02174489826</v>
      </c>
      <c r="R28" s="736"/>
      <c r="S28" s="447"/>
      <c r="T28" s="447"/>
      <c r="U28" s="447"/>
      <c r="V28" s="447"/>
      <c r="W28" s="1158"/>
      <c r="X28" s="616"/>
    </row>
    <row r="29" spans="1:24" ht="41.25" customHeight="1">
      <c r="A29" s="23"/>
      <c r="B29" s="24"/>
      <c r="C29" s="24" t="s">
        <v>407</v>
      </c>
      <c r="D29" s="25" t="s">
        <v>58</v>
      </c>
      <c r="E29" s="26"/>
      <c r="F29" s="736">
        <f>'3.sz.m Önk  bev.'!F27</f>
        <v>57534</v>
      </c>
      <c r="G29" s="447">
        <f>'3.sz.m Önk  bev.'!G27</f>
        <v>57534</v>
      </c>
      <c r="H29" s="447">
        <f>'3.sz.m Önk  bev.'!H27</f>
        <v>57534</v>
      </c>
      <c r="I29" s="447">
        <f>'3.sz.m Önk  bev.'!I27</f>
        <v>57534</v>
      </c>
      <c r="J29" s="447">
        <f>'3.sz.m Önk  bev.'!J27</f>
        <v>28767</v>
      </c>
      <c r="K29" s="1158">
        <f t="shared" si="3"/>
        <v>0.5</v>
      </c>
      <c r="L29" s="736">
        <f t="shared" si="8"/>
        <v>57534</v>
      </c>
      <c r="M29" s="447">
        <f t="shared" si="8"/>
        <v>57534</v>
      </c>
      <c r="N29" s="447">
        <f t="shared" si="8"/>
        <v>57534</v>
      </c>
      <c r="O29" s="447">
        <f t="shared" si="8"/>
        <v>57534</v>
      </c>
      <c r="P29" s="447">
        <f t="shared" si="8"/>
        <v>28767</v>
      </c>
      <c r="Q29" s="1158">
        <f t="shared" si="4"/>
        <v>0.5</v>
      </c>
      <c r="R29" s="736"/>
      <c r="S29" s="447"/>
      <c r="T29" s="447"/>
      <c r="U29" s="447"/>
      <c r="V29" s="447"/>
      <c r="W29" s="1158"/>
      <c r="X29" s="616"/>
    </row>
    <row r="30" spans="1:24" ht="21.75" customHeight="1">
      <c r="A30" s="23"/>
      <c r="B30" s="24"/>
      <c r="C30" s="24" t="s">
        <v>408</v>
      </c>
      <c r="D30" s="25" t="s">
        <v>60</v>
      </c>
      <c r="E30" s="26"/>
      <c r="F30" s="736">
        <f>'3.sz.m Önk  bev.'!F28</f>
        <v>0</v>
      </c>
      <c r="G30" s="447">
        <f>'3.sz.m Önk  bev.'!G28</f>
        <v>0</v>
      </c>
      <c r="H30" s="447">
        <f>'3.sz.m Önk  bev.'!H28</f>
        <v>0</v>
      </c>
      <c r="I30" s="447">
        <f>'3.sz.m Önk  bev.'!I28</f>
        <v>0</v>
      </c>
      <c r="J30" s="447">
        <f>'3.sz.m Önk  bev.'!J28</f>
        <v>0</v>
      </c>
      <c r="K30" s="1158"/>
      <c r="L30" s="736">
        <f t="shared" si="8"/>
        <v>0</v>
      </c>
      <c r="M30" s="447">
        <f t="shared" si="8"/>
        <v>0</v>
      </c>
      <c r="N30" s="447">
        <f t="shared" si="8"/>
        <v>0</v>
      </c>
      <c r="O30" s="447">
        <f t="shared" si="8"/>
        <v>0</v>
      </c>
      <c r="P30" s="447">
        <f t="shared" si="8"/>
        <v>0</v>
      </c>
      <c r="Q30" s="1158"/>
      <c r="R30" s="736"/>
      <c r="S30" s="447"/>
      <c r="T30" s="447"/>
      <c r="U30" s="447"/>
      <c r="V30" s="447"/>
      <c r="W30" s="1158"/>
      <c r="X30" s="616"/>
    </row>
    <row r="31" spans="1:24" ht="36" customHeight="1">
      <c r="A31" s="23"/>
      <c r="B31" s="24"/>
      <c r="C31" s="24" t="s">
        <v>458</v>
      </c>
      <c r="D31" s="25" t="s">
        <v>457</v>
      </c>
      <c r="E31" s="26"/>
      <c r="F31" s="736">
        <f>'3.sz.m Önk  bev.'!F29</f>
        <v>0</v>
      </c>
      <c r="G31" s="447">
        <f>'3.sz.m Önk  bev.'!G29</f>
        <v>0</v>
      </c>
      <c r="H31" s="447">
        <f>'3.sz.m Önk  bev.'!H29</f>
        <v>0</v>
      </c>
      <c r="I31" s="447">
        <f>'3.sz.m Önk  bev.'!I29</f>
        <v>0</v>
      </c>
      <c r="J31" s="447">
        <f>'3.sz.m Önk  bev.'!J29</f>
        <v>0</v>
      </c>
      <c r="K31" s="1158"/>
      <c r="L31" s="736"/>
      <c r="M31" s="447"/>
      <c r="N31" s="447"/>
      <c r="O31" s="447"/>
      <c r="P31" s="447"/>
      <c r="Q31" s="1158"/>
      <c r="R31" s="736"/>
      <c r="S31" s="447"/>
      <c r="T31" s="447"/>
      <c r="U31" s="447"/>
      <c r="V31" s="447"/>
      <c r="W31" s="1158"/>
      <c r="X31" s="616"/>
    </row>
    <row r="32" spans="1:24" ht="21.75" customHeight="1">
      <c r="A32" s="23"/>
      <c r="B32" s="24" t="s">
        <v>65</v>
      </c>
      <c r="C32" s="1272" t="s">
        <v>62</v>
      </c>
      <c r="D32" s="1272"/>
      <c r="E32" s="26"/>
      <c r="F32" s="736"/>
      <c r="G32" s="447"/>
      <c r="H32" s="447"/>
      <c r="I32" s="447"/>
      <c r="J32" s="447"/>
      <c r="K32" s="1158"/>
      <c r="L32" s="736">
        <f aca="true" t="shared" si="9" ref="L32:L59">F32-R32</f>
        <v>0</v>
      </c>
      <c r="M32" s="447">
        <f aca="true" t="shared" si="10" ref="M32:M40">G32-S32</f>
        <v>0</v>
      </c>
      <c r="N32" s="447">
        <f aca="true" t="shared" si="11" ref="N32:N40">H32-T32</f>
        <v>0</v>
      </c>
      <c r="O32" s="447">
        <f aca="true" t="shared" si="12" ref="O32:P59">I32-U32</f>
        <v>0</v>
      </c>
      <c r="P32" s="447">
        <f t="shared" si="12"/>
        <v>0</v>
      </c>
      <c r="Q32" s="1158"/>
      <c r="R32" s="736"/>
      <c r="S32" s="447"/>
      <c r="T32" s="447"/>
      <c r="U32" s="447"/>
      <c r="V32" s="447"/>
      <c r="W32" s="1158"/>
      <c r="X32" s="616"/>
    </row>
    <row r="33" spans="1:24" ht="21.75" customHeight="1">
      <c r="A33" s="37"/>
      <c r="B33" s="38" t="s">
        <v>402</v>
      </c>
      <c r="C33" s="1272" t="s">
        <v>64</v>
      </c>
      <c r="D33" s="1272"/>
      <c r="E33" s="26"/>
      <c r="F33" s="736"/>
      <c r="G33" s="447"/>
      <c r="H33" s="447"/>
      <c r="I33" s="447"/>
      <c r="J33" s="447"/>
      <c r="K33" s="1158"/>
      <c r="L33" s="736">
        <f t="shared" si="9"/>
        <v>0</v>
      </c>
      <c r="M33" s="447">
        <f t="shared" si="10"/>
        <v>0</v>
      </c>
      <c r="N33" s="447">
        <f t="shared" si="11"/>
        <v>0</v>
      </c>
      <c r="O33" s="447">
        <f t="shared" si="12"/>
        <v>0</v>
      </c>
      <c r="P33" s="447">
        <f t="shared" si="12"/>
        <v>0</v>
      </c>
      <c r="Q33" s="1158"/>
      <c r="R33" s="736"/>
      <c r="S33" s="447"/>
      <c r="T33" s="447"/>
      <c r="U33" s="447"/>
      <c r="V33" s="447"/>
      <c r="W33" s="1158"/>
      <c r="X33" s="616"/>
    </row>
    <row r="34" spans="1:24" ht="21.75" customHeight="1">
      <c r="A34" s="37"/>
      <c r="B34" s="38" t="s">
        <v>403</v>
      </c>
      <c r="C34" s="1272" t="s">
        <v>66</v>
      </c>
      <c r="D34" s="1272"/>
      <c r="E34" s="26" t="s">
        <v>67</v>
      </c>
      <c r="F34" s="736">
        <f>'3.sz.m Önk  bev.'!F32+'5. sz. m óvoda'!J12</f>
        <v>70798</v>
      </c>
      <c r="G34" s="447">
        <f>'3.sz.m Önk  bev.'!G32+'5. sz. m óvoda'!K12</f>
        <v>70818</v>
      </c>
      <c r="H34" s="447">
        <f>'3.sz.m Önk  bev.'!H32+'5. sz. m óvoda'!L12</f>
        <v>70818</v>
      </c>
      <c r="I34" s="447">
        <f>'3.sz.m Önk  bev.'!I32+'5. sz. m óvoda'!M12</f>
        <v>70818</v>
      </c>
      <c r="J34" s="447">
        <f>'3.sz.m Önk  bev.'!J32+'5. sz. m óvoda'!N12</f>
        <v>11708</v>
      </c>
      <c r="K34" s="1158">
        <f t="shared" si="3"/>
        <v>0.16532519980795843</v>
      </c>
      <c r="L34" s="736">
        <f t="shared" si="9"/>
        <v>70798</v>
      </c>
      <c r="M34" s="447">
        <f t="shared" si="10"/>
        <v>70818</v>
      </c>
      <c r="N34" s="447">
        <f t="shared" si="11"/>
        <v>70818</v>
      </c>
      <c r="O34" s="447">
        <f t="shared" si="12"/>
        <v>70818</v>
      </c>
      <c r="P34" s="447">
        <f t="shared" si="12"/>
        <v>11708</v>
      </c>
      <c r="Q34" s="1158">
        <f t="shared" si="4"/>
        <v>0.16532519980795843</v>
      </c>
      <c r="R34" s="736"/>
      <c r="S34" s="447"/>
      <c r="T34" s="447"/>
      <c r="U34" s="447"/>
      <c r="V34" s="447"/>
      <c r="W34" s="1158"/>
      <c r="X34" s="616"/>
    </row>
    <row r="35" spans="1:24" ht="21.75" customHeight="1">
      <c r="A35" s="37"/>
      <c r="B35" s="38" t="s">
        <v>404</v>
      </c>
      <c r="C35" s="1271" t="s">
        <v>69</v>
      </c>
      <c r="D35" s="1271"/>
      <c r="E35" s="39" t="s">
        <v>392</v>
      </c>
      <c r="F35" s="736">
        <f>'3.sz.m Önk  bev.'!F33+'5. sz. m óvoda'!J13</f>
        <v>1141082</v>
      </c>
      <c r="G35" s="447">
        <f>'3.sz.m Önk  bev.'!G33+'5. sz. m óvoda'!K13</f>
        <v>917946</v>
      </c>
      <c r="H35" s="447">
        <f>'3.sz.m Önk  bev.'!H33+'5. sz. m óvoda'!L13</f>
        <v>869429</v>
      </c>
      <c r="I35" s="447">
        <f>'3.sz.m Önk  bev.'!I33+'5. sz. m óvoda'!M13</f>
        <v>269947</v>
      </c>
      <c r="J35" s="447">
        <f>'3.sz.m Önk  bev.'!J33+'5. sz. m óvoda'!N13</f>
        <v>269947</v>
      </c>
      <c r="K35" s="1158">
        <f t="shared" si="3"/>
        <v>1</v>
      </c>
      <c r="L35" s="736">
        <f t="shared" si="9"/>
        <v>1141082</v>
      </c>
      <c r="M35" s="447">
        <f t="shared" si="10"/>
        <v>917946</v>
      </c>
      <c r="N35" s="447">
        <f t="shared" si="11"/>
        <v>869429</v>
      </c>
      <c r="O35" s="447">
        <f t="shared" si="12"/>
        <v>269947</v>
      </c>
      <c r="P35" s="447">
        <f t="shared" si="12"/>
        <v>269947</v>
      </c>
      <c r="Q35" s="1158">
        <f t="shared" si="4"/>
        <v>1</v>
      </c>
      <c r="R35" s="736"/>
      <c r="S35" s="447"/>
      <c r="T35" s="447"/>
      <c r="U35" s="447"/>
      <c r="V35" s="447"/>
      <c r="W35" s="1158"/>
      <c r="X35" s="616"/>
    </row>
    <row r="36" spans="1:24" ht="21.75" customHeight="1" thickBot="1">
      <c r="A36" s="30"/>
      <c r="B36" s="31" t="s">
        <v>405</v>
      </c>
      <c r="C36" s="1274" t="s">
        <v>494</v>
      </c>
      <c r="D36" s="1275"/>
      <c r="E36" s="47" t="s">
        <v>495</v>
      </c>
      <c r="F36" s="737">
        <f>'3.sz.m Önk  bev.'!F34</f>
        <v>124500</v>
      </c>
      <c r="G36" s="547">
        <f>'3.sz.m Önk  bev.'!G34</f>
        <v>124500</v>
      </c>
      <c r="H36" s="547">
        <f>'3.sz.m Önk  bev.'!H34</f>
        <v>124500</v>
      </c>
      <c r="I36" s="547">
        <f>'3.sz.m Önk  bev.'!I34</f>
        <v>124500</v>
      </c>
      <c r="J36" s="547">
        <f>'3.sz.m Önk  bev.'!J34</f>
        <v>124500</v>
      </c>
      <c r="K36" s="1159">
        <f t="shared" si="3"/>
        <v>1</v>
      </c>
      <c r="L36" s="737">
        <f t="shared" si="9"/>
        <v>124500</v>
      </c>
      <c r="M36" s="547">
        <f t="shared" si="10"/>
        <v>124500</v>
      </c>
      <c r="N36" s="547">
        <f t="shared" si="11"/>
        <v>124500</v>
      </c>
      <c r="O36" s="547">
        <f t="shared" si="12"/>
        <v>124500</v>
      </c>
      <c r="P36" s="547">
        <f t="shared" si="12"/>
        <v>124500</v>
      </c>
      <c r="Q36" s="1159">
        <f t="shared" si="4"/>
        <v>1</v>
      </c>
      <c r="R36" s="737"/>
      <c r="S36" s="547"/>
      <c r="T36" s="547"/>
      <c r="U36" s="547"/>
      <c r="V36" s="547"/>
      <c r="W36" s="1159"/>
      <c r="X36" s="617"/>
    </row>
    <row r="37" spans="1:24" ht="30.75" customHeight="1" thickBot="1">
      <c r="A37" s="40" t="s">
        <v>70</v>
      </c>
      <c r="B37" s="1273" t="s">
        <v>71</v>
      </c>
      <c r="C37" s="1273"/>
      <c r="D37" s="1273"/>
      <c r="E37" s="16" t="s">
        <v>72</v>
      </c>
      <c r="F37" s="738">
        <f>F38+F41+F39</f>
        <v>70747853</v>
      </c>
      <c r="G37" s="536">
        <f>G38+G41+G39</f>
        <v>71271149</v>
      </c>
      <c r="H37" s="536">
        <f>H38+H41+H39+H40</f>
        <v>72538099</v>
      </c>
      <c r="I37" s="536">
        <f>I38+I41+I39+I40</f>
        <v>77173392</v>
      </c>
      <c r="J37" s="536">
        <f>J38+J41+J39+J40</f>
        <v>65599137</v>
      </c>
      <c r="K37" s="1147">
        <f t="shared" si="3"/>
        <v>0.8500227254492067</v>
      </c>
      <c r="L37" s="738">
        <f t="shared" si="9"/>
        <v>70747853</v>
      </c>
      <c r="M37" s="536">
        <f t="shared" si="10"/>
        <v>71271149</v>
      </c>
      <c r="N37" s="536">
        <f t="shared" si="11"/>
        <v>72538099</v>
      </c>
      <c r="O37" s="536">
        <f t="shared" si="12"/>
        <v>57331842</v>
      </c>
      <c r="P37" s="536">
        <f t="shared" si="12"/>
        <v>57331842</v>
      </c>
      <c r="Q37" s="1147">
        <f t="shared" si="4"/>
        <v>1</v>
      </c>
      <c r="R37" s="738">
        <f>SUM(R38:R41)</f>
        <v>0</v>
      </c>
      <c r="S37" s="536">
        <f>SUM(S38:S41)</f>
        <v>0</v>
      </c>
      <c r="T37" s="536">
        <f>SUM(T38:T41)</f>
        <v>0</v>
      </c>
      <c r="U37" s="536">
        <f>SUM(U38:U41)</f>
        <v>19841550</v>
      </c>
      <c r="V37" s="536">
        <f>SUM(V38:V41)</f>
        <v>8267295</v>
      </c>
      <c r="W37" s="1147">
        <f>+V37/U37</f>
        <v>0.41666578467912035</v>
      </c>
      <c r="X37" s="618">
        <f>X38+X39+X40+X41</f>
        <v>0</v>
      </c>
    </row>
    <row r="38" spans="1:24" ht="21.75" customHeight="1">
      <c r="A38" s="33"/>
      <c r="B38" s="38" t="s">
        <v>73</v>
      </c>
      <c r="C38" s="1276" t="s">
        <v>74</v>
      </c>
      <c r="D38" s="1276"/>
      <c r="E38" s="41" t="s">
        <v>75</v>
      </c>
      <c r="F38" s="739">
        <f>'3.sz.m Önk  bev.'!F36</f>
        <v>35510260</v>
      </c>
      <c r="G38" s="551">
        <f>'3.sz.m Önk  bev.'!G36</f>
        <v>35561500</v>
      </c>
      <c r="H38" s="551">
        <f>'3.sz.m Önk  bev.'!H36</f>
        <v>35314302</v>
      </c>
      <c r="I38" s="551">
        <f>'3.sz.m Önk  bev.'!I36</f>
        <v>35548489</v>
      </c>
      <c r="J38" s="551">
        <f>'3.sz.m Önk  bev.'!J36</f>
        <v>35548489</v>
      </c>
      <c r="K38" s="1160">
        <f t="shared" si="3"/>
        <v>1</v>
      </c>
      <c r="L38" s="739">
        <f t="shared" si="9"/>
        <v>35510260</v>
      </c>
      <c r="M38" s="551">
        <f t="shared" si="10"/>
        <v>35561500</v>
      </c>
      <c r="N38" s="551">
        <f t="shared" si="11"/>
        <v>35314302</v>
      </c>
      <c r="O38" s="551">
        <f t="shared" si="12"/>
        <v>35548489</v>
      </c>
      <c r="P38" s="551">
        <f t="shared" si="12"/>
        <v>35548489</v>
      </c>
      <c r="Q38" s="1160">
        <f t="shared" si="4"/>
        <v>1</v>
      </c>
      <c r="R38" s="739">
        <f>'3.sz.m Önk  bev.'!R36</f>
        <v>0</v>
      </c>
      <c r="S38" s="551">
        <f>'3.sz.m Önk  bev.'!S36</f>
        <v>0</v>
      </c>
      <c r="T38" s="551">
        <f>'3.sz.m Önk  bev.'!T36</f>
        <v>0</v>
      </c>
      <c r="U38" s="551">
        <f>'3.sz.m Önk  bev.'!U36</f>
        <v>0</v>
      </c>
      <c r="V38" s="551">
        <f>'3.sz.m Önk  bev.'!V36</f>
        <v>0</v>
      </c>
      <c r="W38" s="1160"/>
      <c r="X38" s="619"/>
    </row>
    <row r="39" spans="1:24" ht="39" customHeight="1">
      <c r="A39" s="23"/>
      <c r="B39" s="38" t="s">
        <v>76</v>
      </c>
      <c r="C39" s="1272" t="s">
        <v>597</v>
      </c>
      <c r="D39" s="1272"/>
      <c r="E39" s="26"/>
      <c r="F39" s="740">
        <f>'3.sz.m Önk  bev.'!F37</f>
        <v>0</v>
      </c>
      <c r="G39" s="552">
        <f>'3.sz.m Önk  bev.'!G37</f>
        <v>472056</v>
      </c>
      <c r="H39" s="552">
        <f>'3.sz.m Önk  bev.'!H37</f>
        <v>1839604</v>
      </c>
      <c r="I39" s="552">
        <f>'3.sz.m Önk  bev.'!I37</f>
        <v>2990946</v>
      </c>
      <c r="J39" s="552">
        <f>'3.sz.m Önk  bev.'!J37</f>
        <v>2990946</v>
      </c>
      <c r="K39" s="1161">
        <f t="shared" si="3"/>
        <v>1</v>
      </c>
      <c r="L39" s="740">
        <f t="shared" si="9"/>
        <v>0</v>
      </c>
      <c r="M39" s="552">
        <f t="shared" si="10"/>
        <v>472056</v>
      </c>
      <c r="N39" s="552">
        <f t="shared" si="11"/>
        <v>1839604</v>
      </c>
      <c r="O39" s="552">
        <f t="shared" si="12"/>
        <v>2990946</v>
      </c>
      <c r="P39" s="552">
        <f t="shared" si="12"/>
        <v>2990946</v>
      </c>
      <c r="Q39" s="1161">
        <f t="shared" si="4"/>
        <v>1</v>
      </c>
      <c r="R39" s="740"/>
      <c r="S39" s="552"/>
      <c r="T39" s="552"/>
      <c r="U39" s="552"/>
      <c r="V39" s="552"/>
      <c r="W39" s="1161"/>
      <c r="X39" s="620"/>
    </row>
    <row r="40" spans="1:24" ht="21.75" customHeight="1">
      <c r="A40" s="23"/>
      <c r="B40" s="38" t="s">
        <v>77</v>
      </c>
      <c r="C40" s="1272" t="s">
        <v>607</v>
      </c>
      <c r="D40" s="1272"/>
      <c r="E40" s="26"/>
      <c r="F40" s="740"/>
      <c r="G40" s="552">
        <f>'3.sz.m Önk  bev.'!G38</f>
        <v>0</v>
      </c>
      <c r="H40" s="552">
        <f>'3.sz.m Önk  bev.'!H38</f>
        <v>49491</v>
      </c>
      <c r="I40" s="552">
        <f>'3.sz.m Önk  bev.'!I38</f>
        <v>49491</v>
      </c>
      <c r="J40" s="552">
        <f>'3.sz.m Önk  bev.'!J38</f>
        <v>49491</v>
      </c>
      <c r="K40" s="1161">
        <f t="shared" si="3"/>
        <v>1</v>
      </c>
      <c r="L40" s="740">
        <f t="shared" si="9"/>
        <v>0</v>
      </c>
      <c r="M40" s="552">
        <f t="shared" si="10"/>
        <v>0</v>
      </c>
      <c r="N40" s="552">
        <f t="shared" si="11"/>
        <v>49491</v>
      </c>
      <c r="O40" s="552">
        <f t="shared" si="12"/>
        <v>49491</v>
      </c>
      <c r="P40" s="552">
        <f t="shared" si="12"/>
        <v>49491</v>
      </c>
      <c r="Q40" s="1161">
        <f t="shared" si="4"/>
        <v>1</v>
      </c>
      <c r="R40" s="740"/>
      <c r="S40" s="552"/>
      <c r="T40" s="552"/>
      <c r="U40" s="552"/>
      <c r="V40" s="552"/>
      <c r="W40" s="1161"/>
      <c r="X40" s="620"/>
    </row>
    <row r="41" spans="1:25" ht="33.75" customHeight="1">
      <c r="A41" s="23"/>
      <c r="B41" s="38" t="s">
        <v>78</v>
      </c>
      <c r="C41" s="1272" t="s">
        <v>79</v>
      </c>
      <c r="D41" s="1272"/>
      <c r="E41" s="26" t="s">
        <v>80</v>
      </c>
      <c r="F41" s="740">
        <f aca="true" t="shared" si="13" ref="F41:O41">SUM(F42:F44)</f>
        <v>35237593</v>
      </c>
      <c r="G41" s="552">
        <f t="shared" si="13"/>
        <v>35237593</v>
      </c>
      <c r="H41" s="552">
        <f t="shared" si="13"/>
        <v>35334702</v>
      </c>
      <c r="I41" s="552">
        <f t="shared" si="13"/>
        <v>38584466</v>
      </c>
      <c r="J41" s="552">
        <f>SUM(J42:J44)</f>
        <v>27010211</v>
      </c>
      <c r="K41" s="1161">
        <f t="shared" si="3"/>
        <v>0.700028114941386</v>
      </c>
      <c r="L41" s="552">
        <f t="shared" si="13"/>
        <v>35237593</v>
      </c>
      <c r="M41" s="552">
        <f t="shared" si="13"/>
        <v>35237593</v>
      </c>
      <c r="N41" s="552">
        <f t="shared" si="13"/>
        <v>35334702</v>
      </c>
      <c r="O41" s="552">
        <f t="shared" si="13"/>
        <v>18742916</v>
      </c>
      <c r="P41" s="552">
        <f>SUM(P42:P44)</f>
        <v>18742916</v>
      </c>
      <c r="Q41" s="1161">
        <f t="shared" si="4"/>
        <v>1</v>
      </c>
      <c r="R41" s="740"/>
      <c r="S41" s="552"/>
      <c r="T41" s="552"/>
      <c r="U41" s="552">
        <f>SUM(U42:U44)</f>
        <v>19841550</v>
      </c>
      <c r="V41" s="552">
        <f>SUM(V42:V44)</f>
        <v>8267295</v>
      </c>
      <c r="W41" s="1161">
        <f>+V41/U41</f>
        <v>0.41666578467912035</v>
      </c>
      <c r="X41" s="620"/>
      <c r="Y41" s="3"/>
    </row>
    <row r="42" spans="1:25" ht="31.5">
      <c r="A42" s="23"/>
      <c r="B42" s="38"/>
      <c r="C42" s="34" t="s">
        <v>81</v>
      </c>
      <c r="D42" s="35" t="s">
        <v>82</v>
      </c>
      <c r="E42" s="36"/>
      <c r="F42" s="740">
        <f>'3.sz.m Önk  bev.'!F40</f>
        <v>0</v>
      </c>
      <c r="G42" s="552">
        <f>'3.sz.m Önk  bev.'!G40</f>
        <v>0</v>
      </c>
      <c r="H42" s="552">
        <f>'3.sz.m Önk  bev.'!H40</f>
        <v>0</v>
      </c>
      <c r="I42" s="552">
        <f>'3.sz.m Önk  bev.'!I40</f>
        <v>13633600</v>
      </c>
      <c r="J42" s="552">
        <f>'3.sz.m Önk  bev.'!J40</f>
        <v>13633600</v>
      </c>
      <c r="K42" s="1161">
        <f t="shared" si="3"/>
        <v>1</v>
      </c>
      <c r="L42" s="740">
        <f t="shared" si="9"/>
        <v>0</v>
      </c>
      <c r="M42" s="552">
        <f aca="true" t="shared" si="14" ref="M42:M59">G42-S42</f>
        <v>0</v>
      </c>
      <c r="N42" s="552">
        <f aca="true" t="shared" si="15" ref="N42:N59">H42-T42</f>
        <v>0</v>
      </c>
      <c r="O42" s="552">
        <f t="shared" si="12"/>
        <v>13633600</v>
      </c>
      <c r="P42" s="552">
        <f t="shared" si="12"/>
        <v>13633600</v>
      </c>
      <c r="Q42" s="1161">
        <f t="shared" si="4"/>
        <v>1</v>
      </c>
      <c r="R42" s="740"/>
      <c r="S42" s="552"/>
      <c r="T42" s="552"/>
      <c r="U42" s="552"/>
      <c r="V42" s="552"/>
      <c r="W42" s="1161"/>
      <c r="X42" s="620"/>
      <c r="Y42" s="3"/>
    </row>
    <row r="43" spans="1:24" ht="21.75" customHeight="1">
      <c r="A43" s="23"/>
      <c r="B43" s="38"/>
      <c r="C43" s="24" t="s">
        <v>83</v>
      </c>
      <c r="D43" s="25" t="s">
        <v>84</v>
      </c>
      <c r="E43" s="26"/>
      <c r="F43" s="740"/>
      <c r="G43" s="552"/>
      <c r="H43" s="552"/>
      <c r="I43" s="552">
        <f>+'3.sz.m Önk  bev.'!I41</f>
        <v>19841550</v>
      </c>
      <c r="J43" s="552">
        <f>+'3.sz.m Önk  bev.'!J41</f>
        <v>8267295</v>
      </c>
      <c r="K43" s="1161">
        <f t="shared" si="3"/>
        <v>0.41666578467912035</v>
      </c>
      <c r="L43" s="740">
        <f t="shared" si="9"/>
        <v>0</v>
      </c>
      <c r="M43" s="552">
        <f t="shared" si="14"/>
        <v>0</v>
      </c>
      <c r="N43" s="552">
        <f t="shared" si="15"/>
        <v>0</v>
      </c>
      <c r="O43" s="552">
        <f t="shared" si="12"/>
        <v>0</v>
      </c>
      <c r="P43" s="552">
        <f t="shared" si="12"/>
        <v>0</v>
      </c>
      <c r="Q43" s="1161"/>
      <c r="R43" s="740"/>
      <c r="S43" s="552"/>
      <c r="T43" s="552"/>
      <c r="U43" s="552">
        <f>+'3.sz.m Önk  bev.'!U41</f>
        <v>19841550</v>
      </c>
      <c r="V43" s="552">
        <f>+'3.sz.m Önk  bev.'!V41</f>
        <v>8267295</v>
      </c>
      <c r="W43" s="1161">
        <f>+V43/U43</f>
        <v>0.41666578467912035</v>
      </c>
      <c r="X43" s="620"/>
    </row>
    <row r="44" spans="1:24" ht="45.75" customHeight="1" thickBot="1">
      <c r="A44" s="23"/>
      <c r="B44" s="38"/>
      <c r="C44" s="24" t="s">
        <v>85</v>
      </c>
      <c r="D44" s="25" t="s">
        <v>86</v>
      </c>
      <c r="E44" s="26"/>
      <c r="F44" s="741">
        <f>'3.sz.m Önk  bev.'!F42+'5. sz. m óvoda'!J15</f>
        <v>35237593</v>
      </c>
      <c r="G44" s="553">
        <f>'3.sz.m Önk  bev.'!G42+'5. sz. m óvoda'!K15</f>
        <v>35237593</v>
      </c>
      <c r="H44" s="553">
        <f>'3.sz.m Önk  bev.'!H42+'5. sz. m óvoda'!L15</f>
        <v>35334702</v>
      </c>
      <c r="I44" s="553">
        <f>'3.sz.m Önk  bev.'!I42+'5. sz. m óvoda'!M15</f>
        <v>5109316</v>
      </c>
      <c r="J44" s="553">
        <f>'3.sz.m Önk  bev.'!J42+'5. sz. m óvoda'!N15</f>
        <v>5109316</v>
      </c>
      <c r="K44" s="1162">
        <f t="shared" si="3"/>
        <v>1</v>
      </c>
      <c r="L44" s="741">
        <f t="shared" si="9"/>
        <v>35237593</v>
      </c>
      <c r="M44" s="553">
        <f t="shared" si="14"/>
        <v>35237593</v>
      </c>
      <c r="N44" s="553">
        <f t="shared" si="15"/>
        <v>35334702</v>
      </c>
      <c r="O44" s="553">
        <f t="shared" si="12"/>
        <v>5109316</v>
      </c>
      <c r="P44" s="553">
        <f t="shared" si="12"/>
        <v>5109316</v>
      </c>
      <c r="Q44" s="1162">
        <f t="shared" si="4"/>
        <v>1</v>
      </c>
      <c r="R44" s="741"/>
      <c r="S44" s="553"/>
      <c r="T44" s="553"/>
      <c r="U44" s="553"/>
      <c r="V44" s="553"/>
      <c r="W44" s="1162"/>
      <c r="X44" s="621"/>
    </row>
    <row r="45" spans="1:24" ht="32.25" customHeight="1" thickBot="1">
      <c r="A45" s="40" t="s">
        <v>87</v>
      </c>
      <c r="B45" s="1273" t="s">
        <v>88</v>
      </c>
      <c r="C45" s="1273"/>
      <c r="D45" s="1273"/>
      <c r="E45" s="16" t="s">
        <v>89</v>
      </c>
      <c r="F45" s="738">
        <f>F46+F47</f>
        <v>34485878</v>
      </c>
      <c r="G45" s="536">
        <f>G46+G47</f>
        <v>35294865</v>
      </c>
      <c r="H45" s="536">
        <f>H46+H47</f>
        <v>46317783</v>
      </c>
      <c r="I45" s="536">
        <f>I46+I47</f>
        <v>46317783</v>
      </c>
      <c r="J45" s="536">
        <f>J46+J47</f>
        <v>45285911</v>
      </c>
      <c r="K45" s="1147">
        <f t="shared" si="3"/>
        <v>0.9777219043493511</v>
      </c>
      <c r="L45" s="738">
        <f t="shared" si="9"/>
        <v>34485878</v>
      </c>
      <c r="M45" s="536">
        <f t="shared" si="14"/>
        <v>35294865</v>
      </c>
      <c r="N45" s="536">
        <f t="shared" si="15"/>
        <v>46317783</v>
      </c>
      <c r="O45" s="536">
        <f>O46+O47</f>
        <v>44200297</v>
      </c>
      <c r="P45" s="536">
        <f>P46+P47</f>
        <v>43168425</v>
      </c>
      <c r="Q45" s="1147">
        <f t="shared" si="4"/>
        <v>0.9766546365061756</v>
      </c>
      <c r="R45" s="738"/>
      <c r="S45" s="536"/>
      <c r="T45" s="536"/>
      <c r="U45" s="536">
        <f>U46+U47</f>
        <v>2117486</v>
      </c>
      <c r="V45" s="536">
        <f>V46+V47</f>
        <v>2117486</v>
      </c>
      <c r="W45" s="1147">
        <f>+V45/U45</f>
        <v>1</v>
      </c>
      <c r="X45" s="618">
        <f>X46+X47</f>
        <v>0</v>
      </c>
    </row>
    <row r="46" spans="1:24" ht="21.75" customHeight="1">
      <c r="A46" s="33"/>
      <c r="B46" s="43" t="s">
        <v>90</v>
      </c>
      <c r="C46" s="1270" t="s">
        <v>91</v>
      </c>
      <c r="D46" s="1270"/>
      <c r="E46" s="36" t="s">
        <v>92</v>
      </c>
      <c r="F46" s="742">
        <f>+'3.sz.m Önk  bev.'!F44</f>
        <v>18615617</v>
      </c>
      <c r="G46" s="742">
        <f>+'3.sz.m Önk  bev.'!G44</f>
        <v>18615617</v>
      </c>
      <c r="H46" s="742">
        <f>+'3.sz.m Önk  bev.'!H44</f>
        <v>18615617</v>
      </c>
      <c r="I46" s="742">
        <f>+'3.sz.m Önk  bev.'!I44</f>
        <v>18615617</v>
      </c>
      <c r="J46" s="742">
        <f>+'3.sz.m Önk  bev.'!J44</f>
        <v>18615617</v>
      </c>
      <c r="K46" s="1163">
        <f t="shared" si="3"/>
        <v>1</v>
      </c>
      <c r="L46" s="742">
        <f t="shared" si="9"/>
        <v>18615617</v>
      </c>
      <c r="M46" s="548">
        <f t="shared" si="14"/>
        <v>18615617</v>
      </c>
      <c r="N46" s="548">
        <f t="shared" si="15"/>
        <v>18615617</v>
      </c>
      <c r="O46" s="548">
        <f t="shared" si="12"/>
        <v>18615617</v>
      </c>
      <c r="P46" s="548">
        <f t="shared" si="12"/>
        <v>18615617</v>
      </c>
      <c r="Q46" s="1163">
        <f t="shared" si="4"/>
        <v>1</v>
      </c>
      <c r="R46" s="742"/>
      <c r="S46" s="548"/>
      <c r="T46" s="548"/>
      <c r="U46" s="548"/>
      <c r="V46" s="548"/>
      <c r="W46" s="1163"/>
      <c r="X46" s="622"/>
    </row>
    <row r="47" spans="1:24" ht="36" customHeight="1">
      <c r="A47" s="23"/>
      <c r="B47" s="44" t="s">
        <v>93</v>
      </c>
      <c r="C47" s="1272" t="s">
        <v>94</v>
      </c>
      <c r="D47" s="1272"/>
      <c r="E47" s="26" t="s">
        <v>95</v>
      </c>
      <c r="F47" s="736">
        <f>F50+F49+F48</f>
        <v>15870261</v>
      </c>
      <c r="G47" s="736">
        <f>G50+G49+G48</f>
        <v>16679248</v>
      </c>
      <c r="H47" s="736">
        <f>H50+H49+H48</f>
        <v>27702166</v>
      </c>
      <c r="I47" s="736">
        <f>I50+I49+I48</f>
        <v>27702166</v>
      </c>
      <c r="J47" s="736">
        <f>J50+J49+J48</f>
        <v>26670294</v>
      </c>
      <c r="K47" s="1164">
        <f t="shared" si="3"/>
        <v>0.9627512159157519</v>
      </c>
      <c r="L47" s="736">
        <f t="shared" si="9"/>
        <v>15870261</v>
      </c>
      <c r="M47" s="447">
        <f t="shared" si="14"/>
        <v>16679248</v>
      </c>
      <c r="N47" s="447">
        <f t="shared" si="15"/>
        <v>27702166</v>
      </c>
      <c r="O47" s="736">
        <f>O50+O49+O48</f>
        <v>25584680</v>
      </c>
      <c r="P47" s="736">
        <f>P50+P49+P48</f>
        <v>24552808</v>
      </c>
      <c r="Q47" s="1164">
        <f t="shared" si="4"/>
        <v>0.9596683640366032</v>
      </c>
      <c r="R47" s="736"/>
      <c r="S47" s="447"/>
      <c r="T47" s="447"/>
      <c r="U47" s="736">
        <f>U50+U49+U48</f>
        <v>2117486</v>
      </c>
      <c r="V47" s="736">
        <f>V50+V49+V48</f>
        <v>2117486</v>
      </c>
      <c r="W47" s="1164">
        <f>+V47/U47</f>
        <v>1</v>
      </c>
      <c r="X47" s="616"/>
    </row>
    <row r="48" spans="1:24" ht="33.75" customHeight="1">
      <c r="A48" s="23"/>
      <c r="B48" s="43"/>
      <c r="C48" s="34" t="s">
        <v>96</v>
      </c>
      <c r="D48" s="35" t="s">
        <v>82</v>
      </c>
      <c r="E48" s="36"/>
      <c r="F48" s="736"/>
      <c r="G48" s="736"/>
      <c r="H48" s="736"/>
      <c r="I48" s="736"/>
      <c r="J48" s="736"/>
      <c r="K48" s="1164"/>
      <c r="L48" s="736">
        <f t="shared" si="9"/>
        <v>0</v>
      </c>
      <c r="M48" s="447">
        <f t="shared" si="14"/>
        <v>0</v>
      </c>
      <c r="N48" s="447">
        <f t="shared" si="15"/>
        <v>0</v>
      </c>
      <c r="O48" s="447">
        <f t="shared" si="12"/>
        <v>0</v>
      </c>
      <c r="P48" s="447">
        <f t="shared" si="12"/>
        <v>0</v>
      </c>
      <c r="Q48" s="1164"/>
      <c r="R48" s="736"/>
      <c r="S48" s="447"/>
      <c r="T48" s="447"/>
      <c r="U48" s="447"/>
      <c r="V48" s="447"/>
      <c r="W48" s="1164"/>
      <c r="X48" s="616"/>
    </row>
    <row r="49" spans="1:24" ht="21.75" customHeight="1">
      <c r="A49" s="23"/>
      <c r="B49" s="44"/>
      <c r="C49" s="24" t="s">
        <v>97</v>
      </c>
      <c r="D49" s="35" t="s">
        <v>84</v>
      </c>
      <c r="E49" s="36"/>
      <c r="F49" s="736">
        <f>+'3.sz.m Önk  bev.'!F47</f>
        <v>15870261</v>
      </c>
      <c r="G49" s="736">
        <f>+'3.sz.m Önk  bev.'!G47</f>
        <v>16679248</v>
      </c>
      <c r="H49" s="736">
        <f>+'3.sz.m Önk  bev.'!H47</f>
        <v>27702166</v>
      </c>
      <c r="I49" s="736">
        <f>+'3.sz.m Önk  bev.'!I47</f>
        <v>27702166</v>
      </c>
      <c r="J49" s="736">
        <f>+'3.sz.m Önk  bev.'!J47</f>
        <v>26670294</v>
      </c>
      <c r="K49" s="1164">
        <f t="shared" si="3"/>
        <v>0.9627512159157519</v>
      </c>
      <c r="L49" s="736">
        <f t="shared" si="9"/>
        <v>15870261</v>
      </c>
      <c r="M49" s="447">
        <f t="shared" si="14"/>
        <v>16679248</v>
      </c>
      <c r="N49" s="447">
        <f t="shared" si="15"/>
        <v>27702166</v>
      </c>
      <c r="O49" s="447">
        <f t="shared" si="12"/>
        <v>25584680</v>
      </c>
      <c r="P49" s="447">
        <f t="shared" si="12"/>
        <v>24552808</v>
      </c>
      <c r="Q49" s="1164">
        <f t="shared" si="4"/>
        <v>0.9596683640366032</v>
      </c>
      <c r="R49" s="736"/>
      <c r="S49" s="447"/>
      <c r="T49" s="447"/>
      <c r="U49" s="447">
        <f>+'3.sz.m Önk  bev.'!U47</f>
        <v>2117486</v>
      </c>
      <c r="V49" s="447">
        <f>+'3.sz.m Önk  bev.'!V47</f>
        <v>2117486</v>
      </c>
      <c r="W49" s="1164">
        <f>+V49/U49</f>
        <v>1</v>
      </c>
      <c r="X49" s="616"/>
    </row>
    <row r="50" spans="1:24" ht="21.75" customHeight="1" thickBot="1">
      <c r="A50" s="37"/>
      <c r="B50" s="43"/>
      <c r="C50" s="34" t="s">
        <v>98</v>
      </c>
      <c r="D50" s="35" t="s">
        <v>99</v>
      </c>
      <c r="E50" s="36"/>
      <c r="F50" s="743">
        <f>'3.sz.m Önk  bev.'!F48</f>
        <v>0</v>
      </c>
      <c r="G50" s="743">
        <f>'3.sz.m Önk  bev.'!G48</f>
        <v>0</v>
      </c>
      <c r="H50" s="743">
        <f>'3.sz.m Önk  bev.'!H48</f>
        <v>0</v>
      </c>
      <c r="I50" s="743">
        <f>'3.sz.m Önk  bev.'!I48</f>
        <v>0</v>
      </c>
      <c r="J50" s="743">
        <f>'3.sz.m Önk  bev.'!J48</f>
        <v>0</v>
      </c>
      <c r="K50" s="1165"/>
      <c r="L50" s="743">
        <f t="shared" si="9"/>
        <v>0</v>
      </c>
      <c r="M50" s="554">
        <f t="shared" si="14"/>
        <v>0</v>
      </c>
      <c r="N50" s="554">
        <f t="shared" si="15"/>
        <v>0</v>
      </c>
      <c r="O50" s="554">
        <f t="shared" si="12"/>
        <v>0</v>
      </c>
      <c r="P50" s="554">
        <f t="shared" si="12"/>
        <v>0</v>
      </c>
      <c r="Q50" s="1165"/>
      <c r="R50" s="743"/>
      <c r="S50" s="554"/>
      <c r="T50" s="554"/>
      <c r="U50" s="554"/>
      <c r="V50" s="554"/>
      <c r="W50" s="1165"/>
      <c r="X50" s="623"/>
    </row>
    <row r="51" spans="1:24" ht="21.75" customHeight="1" hidden="1">
      <c r="A51" s="46"/>
      <c r="B51" s="44"/>
      <c r="C51" s="1272"/>
      <c r="D51" s="1272"/>
      <c r="E51" s="26"/>
      <c r="F51" s="737"/>
      <c r="G51" s="547"/>
      <c r="H51" s="547"/>
      <c r="I51" s="547"/>
      <c r="J51" s="547"/>
      <c r="K51" s="1159" t="e">
        <f t="shared" si="3"/>
        <v>#DIV/0!</v>
      </c>
      <c r="L51" s="737">
        <f t="shared" si="9"/>
        <v>0</v>
      </c>
      <c r="M51" s="547">
        <f t="shared" si="14"/>
        <v>0</v>
      </c>
      <c r="N51" s="547">
        <f t="shared" si="15"/>
        <v>0</v>
      </c>
      <c r="O51" s="547">
        <f t="shared" si="12"/>
        <v>0</v>
      </c>
      <c r="P51" s="547">
        <f t="shared" si="12"/>
        <v>0</v>
      </c>
      <c r="Q51" s="1159" t="e">
        <f t="shared" si="4"/>
        <v>#DIV/0!</v>
      </c>
      <c r="R51" s="737"/>
      <c r="S51" s="547"/>
      <c r="T51" s="547"/>
      <c r="U51" s="547"/>
      <c r="V51" s="547"/>
      <c r="W51" s="1159" t="e">
        <f>+V51/U51</f>
        <v>#DIV/0!</v>
      </c>
      <c r="X51" s="617"/>
    </row>
    <row r="52" spans="1:24" ht="21.75" customHeight="1" hidden="1">
      <c r="A52" s="46"/>
      <c r="B52" s="43"/>
      <c r="C52" s="1274"/>
      <c r="D52" s="1274"/>
      <c r="E52" s="47"/>
      <c r="F52" s="737"/>
      <c r="G52" s="547"/>
      <c r="H52" s="547"/>
      <c r="I52" s="547"/>
      <c r="J52" s="547"/>
      <c r="K52" s="1159" t="e">
        <f t="shared" si="3"/>
        <v>#DIV/0!</v>
      </c>
      <c r="L52" s="737">
        <f t="shared" si="9"/>
        <v>0</v>
      </c>
      <c r="M52" s="547">
        <f t="shared" si="14"/>
        <v>0</v>
      </c>
      <c r="N52" s="547">
        <f t="shared" si="15"/>
        <v>0</v>
      </c>
      <c r="O52" s="547">
        <f t="shared" si="12"/>
        <v>0</v>
      </c>
      <c r="P52" s="547">
        <f t="shared" si="12"/>
        <v>0</v>
      </c>
      <c r="Q52" s="1159" t="e">
        <f t="shared" si="4"/>
        <v>#DIV/0!</v>
      </c>
      <c r="R52" s="737"/>
      <c r="S52" s="547"/>
      <c r="T52" s="547"/>
      <c r="U52" s="547"/>
      <c r="V52" s="547"/>
      <c r="W52" s="1159" t="e">
        <f>+V52/U52</f>
        <v>#DIV/0!</v>
      </c>
      <c r="X52" s="617"/>
    </row>
    <row r="53" spans="1:24" ht="21.75" customHeight="1" thickBot="1">
      <c r="A53" s="40" t="s">
        <v>100</v>
      </c>
      <c r="B53" s="1273" t="s">
        <v>101</v>
      </c>
      <c r="C53" s="1273"/>
      <c r="D53" s="1273"/>
      <c r="E53" s="16"/>
      <c r="F53" s="738">
        <f>SUM(F54:F56)</f>
        <v>622998</v>
      </c>
      <c r="G53" s="536">
        <f>SUM(G54:G56)</f>
        <v>622998</v>
      </c>
      <c r="H53" s="536">
        <f>SUM(H54:H56)</f>
        <v>652998</v>
      </c>
      <c r="I53" s="536">
        <f>SUM(I54:I56)</f>
        <v>198634</v>
      </c>
      <c r="J53" s="536">
        <f>SUM(J54:J56)</f>
        <v>198634</v>
      </c>
      <c r="K53" s="1147">
        <f t="shared" si="3"/>
        <v>1</v>
      </c>
      <c r="L53" s="738">
        <f t="shared" si="9"/>
        <v>622998</v>
      </c>
      <c r="M53" s="536">
        <f t="shared" si="14"/>
        <v>622998</v>
      </c>
      <c r="N53" s="536">
        <f t="shared" si="15"/>
        <v>652998</v>
      </c>
      <c r="O53" s="536">
        <f t="shared" si="12"/>
        <v>198634</v>
      </c>
      <c r="P53" s="536">
        <f t="shared" si="12"/>
        <v>198634</v>
      </c>
      <c r="Q53" s="1147">
        <f t="shared" si="4"/>
        <v>1</v>
      </c>
      <c r="R53" s="738"/>
      <c r="S53" s="536"/>
      <c r="T53" s="536"/>
      <c r="U53" s="536"/>
      <c r="V53" s="536"/>
      <c r="W53" s="1147"/>
      <c r="X53" s="618">
        <f>X54+X56</f>
        <v>0</v>
      </c>
    </row>
    <row r="54" spans="1:24" s="18" customFormat="1" ht="21.75" customHeight="1">
      <c r="A54" s="49"/>
      <c r="B54" s="43" t="s">
        <v>102</v>
      </c>
      <c r="C54" s="1270" t="s">
        <v>394</v>
      </c>
      <c r="D54" s="1270"/>
      <c r="E54" s="36" t="s">
        <v>104</v>
      </c>
      <c r="F54" s="744">
        <f>'3.sz.m Önk  bev.'!F52</f>
        <v>73006</v>
      </c>
      <c r="G54" s="555">
        <f>'3.sz.m Önk  bev.'!G52</f>
        <v>73006</v>
      </c>
      <c r="H54" s="555">
        <f>'3.sz.m Önk  bev.'!H52</f>
        <v>103006</v>
      </c>
      <c r="I54" s="555">
        <f>'3.sz.m Önk  bev.'!I52</f>
        <v>35234</v>
      </c>
      <c r="J54" s="555">
        <f>'3.sz.m Önk  bev.'!J52</f>
        <v>35234</v>
      </c>
      <c r="K54" s="1166">
        <f t="shared" si="3"/>
        <v>1</v>
      </c>
      <c r="L54" s="744">
        <f t="shared" si="9"/>
        <v>73006</v>
      </c>
      <c r="M54" s="555">
        <f t="shared" si="14"/>
        <v>73006</v>
      </c>
      <c r="N54" s="555">
        <f t="shared" si="15"/>
        <v>103006</v>
      </c>
      <c r="O54" s="555">
        <f t="shared" si="12"/>
        <v>35234</v>
      </c>
      <c r="P54" s="555">
        <f t="shared" si="12"/>
        <v>35234</v>
      </c>
      <c r="Q54" s="1166">
        <f t="shared" si="4"/>
        <v>1</v>
      </c>
      <c r="R54" s="744"/>
      <c r="S54" s="555"/>
      <c r="T54" s="555"/>
      <c r="U54" s="555"/>
      <c r="V54" s="555"/>
      <c r="W54" s="1166"/>
      <c r="X54" s="624"/>
    </row>
    <row r="55" spans="1:24" s="18" customFormat="1" ht="34.5" customHeight="1">
      <c r="A55" s="49"/>
      <c r="B55" s="43" t="s">
        <v>105</v>
      </c>
      <c r="C55" s="1270" t="s">
        <v>469</v>
      </c>
      <c r="D55" s="1270"/>
      <c r="E55" s="36"/>
      <c r="F55" s="744">
        <f>'3.sz.m Önk  bev.'!F53</f>
        <v>350000</v>
      </c>
      <c r="G55" s="555">
        <f>'3.sz.m Önk  bev.'!G53</f>
        <v>350000</v>
      </c>
      <c r="H55" s="555">
        <f>'3.sz.m Önk  bev.'!H53</f>
        <v>350000</v>
      </c>
      <c r="I55" s="555">
        <f>'3.sz.m Önk  bev.'!I53</f>
        <v>0</v>
      </c>
      <c r="J55" s="555">
        <f>'3.sz.m Önk  bev.'!J53</f>
        <v>0</v>
      </c>
      <c r="K55" s="1166"/>
      <c r="L55" s="744">
        <f t="shared" si="9"/>
        <v>350000</v>
      </c>
      <c r="M55" s="555">
        <f t="shared" si="14"/>
        <v>350000</v>
      </c>
      <c r="N55" s="555">
        <f t="shared" si="15"/>
        <v>350000</v>
      </c>
      <c r="O55" s="555">
        <f t="shared" si="12"/>
        <v>0</v>
      </c>
      <c r="P55" s="555">
        <f t="shared" si="12"/>
        <v>0</v>
      </c>
      <c r="Q55" s="1166"/>
      <c r="R55" s="750"/>
      <c r="S55" s="636"/>
      <c r="T55" s="636"/>
      <c r="U55" s="636"/>
      <c r="V55" s="636"/>
      <c r="W55" s="1166"/>
      <c r="X55" s="637"/>
    </row>
    <row r="56" spans="1:24" ht="21.75" customHeight="1" thickBot="1">
      <c r="A56" s="23"/>
      <c r="B56" s="24" t="s">
        <v>262</v>
      </c>
      <c r="C56" s="1272" t="s">
        <v>395</v>
      </c>
      <c r="D56" s="1272"/>
      <c r="E56" s="26" t="s">
        <v>107</v>
      </c>
      <c r="F56" s="745">
        <f>'3.sz.m Önk  bev.'!F54</f>
        <v>199992</v>
      </c>
      <c r="G56" s="556">
        <f>'3.sz.m Önk  bev.'!G54</f>
        <v>199992</v>
      </c>
      <c r="H56" s="556">
        <f>'3.sz.m Önk  bev.'!H54</f>
        <v>199992</v>
      </c>
      <c r="I56" s="556">
        <f>'3.sz.m Önk  bev.'!I54</f>
        <v>163400</v>
      </c>
      <c r="J56" s="556">
        <f>'3.sz.m Önk  bev.'!J54</f>
        <v>163400</v>
      </c>
      <c r="K56" s="1167">
        <f t="shared" si="3"/>
        <v>1</v>
      </c>
      <c r="L56" s="745">
        <f t="shared" si="9"/>
        <v>199992</v>
      </c>
      <c r="M56" s="556">
        <f t="shared" si="14"/>
        <v>199992</v>
      </c>
      <c r="N56" s="556">
        <f t="shared" si="15"/>
        <v>199992</v>
      </c>
      <c r="O56" s="556">
        <f t="shared" si="12"/>
        <v>163400</v>
      </c>
      <c r="P56" s="556">
        <f t="shared" si="12"/>
        <v>163400</v>
      </c>
      <c r="Q56" s="1167">
        <f t="shared" si="4"/>
        <v>1</v>
      </c>
      <c r="R56" s="745"/>
      <c r="S56" s="556"/>
      <c r="T56" s="556"/>
      <c r="U56" s="556"/>
      <c r="V56" s="556"/>
      <c r="W56" s="1167"/>
      <c r="X56" s="625"/>
    </row>
    <row r="57" spans="1:24" ht="21.75" customHeight="1" thickBot="1">
      <c r="A57" s="40" t="s">
        <v>108</v>
      </c>
      <c r="B57" s="1273" t="s">
        <v>109</v>
      </c>
      <c r="C57" s="1273"/>
      <c r="D57" s="1273"/>
      <c r="E57" s="16" t="s">
        <v>110</v>
      </c>
      <c r="F57" s="746"/>
      <c r="G57" s="534"/>
      <c r="H57" s="534"/>
      <c r="I57" s="534"/>
      <c r="J57" s="534"/>
      <c r="K57" s="1145"/>
      <c r="L57" s="746">
        <f t="shared" si="9"/>
        <v>0</v>
      </c>
      <c r="M57" s="534">
        <f t="shared" si="14"/>
        <v>0</v>
      </c>
      <c r="N57" s="534">
        <f t="shared" si="15"/>
        <v>0</v>
      </c>
      <c r="O57" s="534">
        <f t="shared" si="12"/>
        <v>0</v>
      </c>
      <c r="P57" s="534">
        <f t="shared" si="12"/>
        <v>0</v>
      </c>
      <c r="Q57" s="1145"/>
      <c r="R57" s="746"/>
      <c r="S57" s="534"/>
      <c r="T57" s="534"/>
      <c r="U57" s="534"/>
      <c r="V57" s="534"/>
      <c r="W57" s="1145"/>
      <c r="X57" s="626">
        <f>X58+X59</f>
        <v>0</v>
      </c>
    </row>
    <row r="58" spans="1:24" s="18" customFormat="1" ht="21.75" customHeight="1">
      <c r="A58" s="49"/>
      <c r="B58" s="34" t="s">
        <v>111</v>
      </c>
      <c r="C58" s="1270" t="s">
        <v>112</v>
      </c>
      <c r="D58" s="1270"/>
      <c r="E58" s="36" t="s">
        <v>113</v>
      </c>
      <c r="F58" s="747"/>
      <c r="G58" s="549"/>
      <c r="H58" s="549"/>
      <c r="I58" s="549"/>
      <c r="J58" s="549"/>
      <c r="K58" s="1168"/>
      <c r="L58" s="747">
        <f t="shared" si="9"/>
        <v>0</v>
      </c>
      <c r="M58" s="549">
        <f t="shared" si="14"/>
        <v>0</v>
      </c>
      <c r="N58" s="549">
        <f t="shared" si="15"/>
        <v>0</v>
      </c>
      <c r="O58" s="549">
        <f t="shared" si="12"/>
        <v>0</v>
      </c>
      <c r="P58" s="549">
        <f t="shared" si="12"/>
        <v>0</v>
      </c>
      <c r="Q58" s="1168"/>
      <c r="R58" s="747"/>
      <c r="S58" s="549"/>
      <c r="T58" s="549"/>
      <c r="U58" s="549"/>
      <c r="V58" s="549"/>
      <c r="W58" s="1168"/>
      <c r="X58" s="627"/>
    </row>
    <row r="59" spans="1:24" ht="21.75" customHeight="1" thickBot="1">
      <c r="A59" s="37"/>
      <c r="B59" s="38" t="s">
        <v>114</v>
      </c>
      <c r="C59" s="1271" t="s">
        <v>115</v>
      </c>
      <c r="D59" s="1271"/>
      <c r="E59" s="39" t="s">
        <v>116</v>
      </c>
      <c r="F59" s="748"/>
      <c r="G59" s="537"/>
      <c r="H59" s="537"/>
      <c r="I59" s="537"/>
      <c r="J59" s="537"/>
      <c r="K59" s="1148"/>
      <c r="L59" s="748">
        <f t="shared" si="9"/>
        <v>0</v>
      </c>
      <c r="M59" s="537">
        <f t="shared" si="14"/>
        <v>0</v>
      </c>
      <c r="N59" s="537">
        <f t="shared" si="15"/>
        <v>0</v>
      </c>
      <c r="O59" s="537">
        <f t="shared" si="12"/>
        <v>0</v>
      </c>
      <c r="P59" s="537">
        <f t="shared" si="12"/>
        <v>0</v>
      </c>
      <c r="Q59" s="1148"/>
      <c r="R59" s="748"/>
      <c r="S59" s="537"/>
      <c r="T59" s="537"/>
      <c r="U59" s="537"/>
      <c r="V59" s="537"/>
      <c r="W59" s="1148"/>
      <c r="X59" s="628"/>
    </row>
    <row r="60" spans="1:24" ht="21.75" customHeight="1" thickBot="1">
      <c r="A60" s="40" t="s">
        <v>117</v>
      </c>
      <c r="B60" s="1278" t="s">
        <v>118</v>
      </c>
      <c r="C60" s="1278"/>
      <c r="D60" s="1278"/>
      <c r="E60" s="51"/>
      <c r="F60" s="746">
        <f aca="true" t="shared" si="16" ref="F60:M60">F7+F21+F37+F53+F57+F45</f>
        <v>134158952</v>
      </c>
      <c r="G60" s="534">
        <f t="shared" si="16"/>
        <v>135568119</v>
      </c>
      <c r="H60" s="534">
        <f>H7+H21+H37+H53+H57+H45</f>
        <v>147838760</v>
      </c>
      <c r="I60" s="534">
        <f>I7+I21+I37+I53+I57+I45</f>
        <v>153956445</v>
      </c>
      <c r="J60" s="534">
        <f>J7+J21+J37+J53+J57+J45</f>
        <v>140318881</v>
      </c>
      <c r="K60" s="1145">
        <f t="shared" si="3"/>
        <v>0.9114193368130837</v>
      </c>
      <c r="L60" s="746">
        <f t="shared" si="16"/>
        <v>126594347</v>
      </c>
      <c r="M60" s="746">
        <f t="shared" si="16"/>
        <v>125931068</v>
      </c>
      <c r="N60" s="746">
        <f>N7+N21+N37+N53+N57+N45</f>
        <v>138201709</v>
      </c>
      <c r="O60" s="534">
        <f>O7+O21+O37+O53+O57+O45</f>
        <v>130442035</v>
      </c>
      <c r="P60" s="534">
        <f>P7+P21+P37+P53+P57+P45</f>
        <v>128378726</v>
      </c>
      <c r="Q60" s="1145">
        <f t="shared" si="4"/>
        <v>0.9841821771639794</v>
      </c>
      <c r="R60" s="746">
        <f>R7+R21+R37</f>
        <v>7564605</v>
      </c>
      <c r="S60" s="534">
        <f>S7+S21+S37</f>
        <v>9637051</v>
      </c>
      <c r="T60" s="534">
        <f>T7+T21+T37</f>
        <v>9637051</v>
      </c>
      <c r="U60" s="534">
        <f>U7+U21+U37+U45</f>
        <v>23514410</v>
      </c>
      <c r="V60" s="534">
        <f>V7+V21+V37+V45</f>
        <v>11940155</v>
      </c>
      <c r="W60" s="1145">
        <f>+V60/U60</f>
        <v>0.5077803355474366</v>
      </c>
      <c r="X60" s="626">
        <f>X7+X21+X37+X45+X53+X57</f>
        <v>0</v>
      </c>
    </row>
    <row r="61" spans="1:24" ht="24" customHeight="1" thickBot="1">
      <c r="A61" s="15" t="s">
        <v>119</v>
      </c>
      <c r="B61" s="1273" t="s">
        <v>120</v>
      </c>
      <c r="C61" s="1273"/>
      <c r="D61" s="1273"/>
      <c r="E61" s="16"/>
      <c r="F61" s="746">
        <f aca="true" t="shared" si="17" ref="F61:M61">SUM(F62:F64)</f>
        <v>39861000</v>
      </c>
      <c r="G61" s="534">
        <f t="shared" si="17"/>
        <v>39861000</v>
      </c>
      <c r="H61" s="534">
        <f>SUM(H62:H64)</f>
        <v>27883939</v>
      </c>
      <c r="I61" s="534">
        <f t="shared" si="17"/>
        <v>17354062</v>
      </c>
      <c r="J61" s="534">
        <f>SUM(J62:J64)</f>
        <v>17354062</v>
      </c>
      <c r="K61" s="1145">
        <f t="shared" si="3"/>
        <v>1</v>
      </c>
      <c r="L61" s="746">
        <f t="shared" si="17"/>
        <v>39861000</v>
      </c>
      <c r="M61" s="534">
        <f t="shared" si="17"/>
        <v>39861000</v>
      </c>
      <c r="N61" s="534">
        <f>SUM(N62:N64)</f>
        <v>27883939</v>
      </c>
      <c r="O61" s="534">
        <f>SUM(O62:O64)</f>
        <v>17354062</v>
      </c>
      <c r="P61" s="534">
        <f>SUM(P62:P64)</f>
        <v>17354062</v>
      </c>
      <c r="Q61" s="1145">
        <f t="shared" si="4"/>
        <v>1</v>
      </c>
      <c r="R61" s="746"/>
      <c r="S61" s="534"/>
      <c r="T61" s="534"/>
      <c r="U61" s="534"/>
      <c r="V61" s="534"/>
      <c r="W61" s="1145"/>
      <c r="X61" s="626"/>
    </row>
    <row r="62" spans="1:24" ht="27.75" customHeight="1">
      <c r="A62" s="33"/>
      <c r="B62" s="34" t="s">
        <v>121</v>
      </c>
      <c r="C62" s="1270" t="s">
        <v>122</v>
      </c>
      <c r="D62" s="1270"/>
      <c r="E62" s="36" t="s">
        <v>123</v>
      </c>
      <c r="F62" s="747">
        <f>'3.sz.m Önk  bev.'!F60</f>
        <v>22668175</v>
      </c>
      <c r="G62" s="549">
        <f>'3.sz.m Önk  bev.'!G60</f>
        <v>22668175</v>
      </c>
      <c r="H62" s="549">
        <f>'3.sz.m Önk  bev.'!H60</f>
        <v>11645257</v>
      </c>
      <c r="I62" s="549">
        <f>'3.sz.m Önk  bev.'!I60</f>
        <v>0</v>
      </c>
      <c r="J62" s="549">
        <f>'3.sz.m Önk  bev.'!J60</f>
        <v>0</v>
      </c>
      <c r="K62" s="1168"/>
      <c r="L62" s="747">
        <f aca="true" t="shared" si="18" ref="L62:P64">F62-R62</f>
        <v>22668175</v>
      </c>
      <c r="M62" s="549">
        <f t="shared" si="18"/>
        <v>22668175</v>
      </c>
      <c r="N62" s="549">
        <f t="shared" si="18"/>
        <v>11645257</v>
      </c>
      <c r="O62" s="549">
        <f t="shared" si="18"/>
        <v>0</v>
      </c>
      <c r="P62" s="549">
        <f t="shared" si="18"/>
        <v>0</v>
      </c>
      <c r="Q62" s="1168"/>
      <c r="R62" s="747"/>
      <c r="S62" s="549"/>
      <c r="T62" s="549"/>
      <c r="U62" s="549"/>
      <c r="V62" s="549"/>
      <c r="W62" s="1168"/>
      <c r="X62" s="627"/>
    </row>
    <row r="63" spans="1:24" ht="24" customHeight="1">
      <c r="A63" s="23"/>
      <c r="B63" s="44" t="s">
        <v>124</v>
      </c>
      <c r="C63" s="1270" t="s">
        <v>459</v>
      </c>
      <c r="D63" s="1270"/>
      <c r="E63" s="36" t="s">
        <v>125</v>
      </c>
      <c r="F63" s="749">
        <f>'3.sz.m Önk  bev.'!F61</f>
        <v>0</v>
      </c>
      <c r="G63" s="540">
        <f>'3.sz.m Önk  bev.'!G61</f>
        <v>0</v>
      </c>
      <c r="H63" s="540">
        <f>'3.sz.m Önk  bev.'!H61</f>
        <v>0</v>
      </c>
      <c r="I63" s="540">
        <f>'3.sz.m Önk  bev.'!I61</f>
        <v>1115380</v>
      </c>
      <c r="J63" s="540">
        <f>'3.sz.m Önk  bev.'!J61</f>
        <v>1115380</v>
      </c>
      <c r="K63" s="1169">
        <f t="shared" si="3"/>
        <v>1</v>
      </c>
      <c r="L63" s="749">
        <f t="shared" si="18"/>
        <v>0</v>
      </c>
      <c r="M63" s="540">
        <f t="shared" si="18"/>
        <v>0</v>
      </c>
      <c r="N63" s="540">
        <f t="shared" si="18"/>
        <v>0</v>
      </c>
      <c r="O63" s="540">
        <f t="shared" si="18"/>
        <v>1115380</v>
      </c>
      <c r="P63" s="540">
        <f t="shared" si="18"/>
        <v>1115380</v>
      </c>
      <c r="Q63" s="1169">
        <f t="shared" si="4"/>
        <v>1</v>
      </c>
      <c r="R63" s="749"/>
      <c r="S63" s="540"/>
      <c r="T63" s="540"/>
      <c r="U63" s="540"/>
      <c r="V63" s="540"/>
      <c r="W63" s="1169"/>
      <c r="X63" s="629"/>
    </row>
    <row r="64" spans="1:24" ht="39" customHeight="1" thickBot="1">
      <c r="A64" s="23"/>
      <c r="B64" s="44" t="s">
        <v>126</v>
      </c>
      <c r="C64" s="1270" t="s">
        <v>127</v>
      </c>
      <c r="D64" s="1270"/>
      <c r="E64" s="36" t="s">
        <v>128</v>
      </c>
      <c r="F64" s="748">
        <f>'3.sz.m Önk  bev.'!F62+'5. sz. m óvoda'!J25</f>
        <v>17192825</v>
      </c>
      <c r="G64" s="537">
        <f>'3.sz.m Önk  bev.'!G62+'5. sz. m óvoda'!K25</f>
        <v>17192825</v>
      </c>
      <c r="H64" s="537">
        <f>'3.sz.m Önk  bev.'!H62+'5. sz. m óvoda'!L25</f>
        <v>16238682</v>
      </c>
      <c r="I64" s="537">
        <f>'3.sz.m Önk  bev.'!I62+'5. sz. m óvoda'!M25</f>
        <v>16238682</v>
      </c>
      <c r="J64" s="537">
        <f>'3.sz.m Önk  bev.'!J62+'5. sz. m óvoda'!N25</f>
        <v>16238682</v>
      </c>
      <c r="K64" s="1148">
        <f t="shared" si="3"/>
        <v>1</v>
      </c>
      <c r="L64" s="748">
        <f t="shared" si="18"/>
        <v>17192825</v>
      </c>
      <c r="M64" s="537">
        <f t="shared" si="18"/>
        <v>17192825</v>
      </c>
      <c r="N64" s="537">
        <f t="shared" si="18"/>
        <v>16238682</v>
      </c>
      <c r="O64" s="537">
        <f t="shared" si="18"/>
        <v>16238682</v>
      </c>
      <c r="P64" s="537">
        <f t="shared" si="18"/>
        <v>16238682</v>
      </c>
      <c r="Q64" s="1148">
        <f t="shared" si="4"/>
        <v>1</v>
      </c>
      <c r="R64" s="748"/>
      <c r="S64" s="537"/>
      <c r="T64" s="537"/>
      <c r="U64" s="537"/>
      <c r="V64" s="537"/>
      <c r="W64" s="1148"/>
      <c r="X64" s="628"/>
    </row>
    <row r="65" spans="1:24" ht="35.25" customHeight="1" thickBot="1">
      <c r="A65" s="52" t="s">
        <v>129</v>
      </c>
      <c r="B65" s="1279" t="s">
        <v>130</v>
      </c>
      <c r="C65" s="1279"/>
      <c r="D65" s="1279"/>
      <c r="E65" s="53"/>
      <c r="F65" s="746">
        <f aca="true" t="shared" si="19" ref="F65:M65">F60+F61</f>
        <v>174019952</v>
      </c>
      <c r="G65" s="534">
        <f t="shared" si="19"/>
        <v>175429119</v>
      </c>
      <c r="H65" s="534">
        <f>H60+H61</f>
        <v>175722699</v>
      </c>
      <c r="I65" s="534">
        <f>I60+I61</f>
        <v>171310507</v>
      </c>
      <c r="J65" s="534">
        <f>J60+J61</f>
        <v>157672943</v>
      </c>
      <c r="K65" s="1145">
        <f t="shared" si="3"/>
        <v>0.9203927170678445</v>
      </c>
      <c r="L65" s="746">
        <f t="shared" si="19"/>
        <v>166455347</v>
      </c>
      <c r="M65" s="534">
        <f t="shared" si="19"/>
        <v>165792068</v>
      </c>
      <c r="N65" s="534">
        <f>N60+N61</f>
        <v>166085648</v>
      </c>
      <c r="O65" s="534">
        <f>O60+O61</f>
        <v>147796097</v>
      </c>
      <c r="P65" s="534">
        <f>P60+P61</f>
        <v>145732788</v>
      </c>
      <c r="Q65" s="1145">
        <f t="shared" si="4"/>
        <v>0.9860394892566073</v>
      </c>
      <c r="R65" s="746">
        <f>R60</f>
        <v>7564605</v>
      </c>
      <c r="S65" s="534">
        <f>S60</f>
        <v>9637051</v>
      </c>
      <c r="T65" s="534">
        <f>T60</f>
        <v>9637051</v>
      </c>
      <c r="U65" s="534">
        <f>U60</f>
        <v>23514410</v>
      </c>
      <c r="V65" s="534">
        <f>V60</f>
        <v>11940155</v>
      </c>
      <c r="W65" s="1145">
        <f>+V65/U65</f>
        <v>0.5077803355474366</v>
      </c>
      <c r="X65" s="626">
        <f>X60+X61</f>
        <v>0</v>
      </c>
    </row>
    <row r="66" spans="1:23" ht="21.75" customHeight="1" hidden="1">
      <c r="A66" s="1269" t="s">
        <v>131</v>
      </c>
      <c r="B66" s="1269"/>
      <c r="C66" s="1269"/>
      <c r="D66" s="1269"/>
      <c r="E66" s="54"/>
      <c r="F66" s="417"/>
      <c r="G66" s="417"/>
      <c r="H66" s="764"/>
      <c r="I66" s="764"/>
      <c r="J66" s="764"/>
      <c r="K66" s="934" t="e">
        <f t="shared" si="3"/>
        <v>#DIV/0!</v>
      </c>
      <c r="L66" s="543">
        <f>F66-R66</f>
        <v>0</v>
      </c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</row>
    <row r="67" spans="1:23" ht="21.75" customHeight="1" hidden="1">
      <c r="A67" s="1277" t="s">
        <v>132</v>
      </c>
      <c r="B67" s="1277"/>
      <c r="C67" s="1277"/>
      <c r="D67" s="1277"/>
      <c r="E67" s="55"/>
      <c r="F67" s="418"/>
      <c r="G67" s="418"/>
      <c r="H67" s="765"/>
      <c r="I67" s="765"/>
      <c r="J67" s="765"/>
      <c r="K67" s="934" t="e">
        <f t="shared" si="3"/>
        <v>#DIV/0!</v>
      </c>
      <c r="L67" s="544">
        <f>F67-R67</f>
        <v>0</v>
      </c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</row>
    <row r="68" spans="1:17" ht="21.75" customHeight="1">
      <c r="A68" s="56"/>
      <c r="B68" s="57"/>
      <c r="C68" s="57"/>
      <c r="D68" s="57"/>
      <c r="E68" s="57"/>
      <c r="F68" s="58"/>
      <c r="G68" s="58"/>
      <c r="H68" s="58"/>
      <c r="I68" s="58"/>
      <c r="J68" s="58"/>
      <c r="K68" s="58"/>
      <c r="L68" s="58"/>
      <c r="M68"/>
      <c r="N68"/>
      <c r="O68"/>
      <c r="P68"/>
      <c r="Q68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C26:D26"/>
    <mergeCell ref="C23:D23"/>
    <mergeCell ref="C22:D22"/>
    <mergeCell ref="C27:D27"/>
    <mergeCell ref="C32:D32"/>
    <mergeCell ref="R4:W4"/>
    <mergeCell ref="L4:Q4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A2:L2"/>
    <mergeCell ref="A4:C4"/>
    <mergeCell ref="B6:D6"/>
    <mergeCell ref="B7:D7"/>
    <mergeCell ref="C8:D8"/>
    <mergeCell ref="C13:D13"/>
    <mergeCell ref="F4:K4"/>
    <mergeCell ref="A67:D67"/>
    <mergeCell ref="B60:D60"/>
    <mergeCell ref="B61:D61"/>
    <mergeCell ref="C62:D62"/>
    <mergeCell ref="C63:D63"/>
    <mergeCell ref="B53:D53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R3:X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1" max="1" width="40.00390625" style="147" customWidth="1"/>
    <col min="2" max="2" width="9.7109375" style="147" customWidth="1"/>
    <col min="3" max="3" width="16.140625" style="148" customWidth="1"/>
    <col min="4" max="5" width="14.8515625" style="148" hidden="1" customWidth="1"/>
    <col min="6" max="9" width="16.7109375" style="148" customWidth="1"/>
    <col min="10" max="11" width="13.7109375" style="148" hidden="1" customWidth="1"/>
    <col min="12" max="14" width="13.7109375" style="148" customWidth="1"/>
    <col min="15" max="15" width="15.7109375" style="147" customWidth="1"/>
    <col min="16" max="16" width="15.57421875" style="147" hidden="1" customWidth="1"/>
    <col min="17" max="17" width="13.140625" style="147" hidden="1" customWidth="1"/>
    <col min="18" max="18" width="13.00390625" style="147" customWidth="1"/>
    <col min="19" max="19" width="12.140625" style="147" customWidth="1"/>
    <col min="20" max="16384" width="9.140625" style="147" customWidth="1"/>
  </cols>
  <sheetData>
    <row r="1" spans="9:14" ht="24.75" customHeight="1">
      <c r="I1" s="633"/>
      <c r="J1" s="633"/>
      <c r="K1" s="633"/>
      <c r="L1" s="633"/>
      <c r="M1" s="633"/>
      <c r="N1" s="633"/>
    </row>
    <row r="2" spans="1:14" ht="37.5" customHeight="1">
      <c r="A2" s="1395" t="s">
        <v>148</v>
      </c>
      <c r="B2" s="1395"/>
      <c r="C2" s="1395"/>
      <c r="D2" s="1395"/>
      <c r="E2" s="1395"/>
      <c r="F2" s="1395"/>
      <c r="G2" s="1395"/>
      <c r="H2" s="1395"/>
      <c r="I2" s="1395"/>
      <c r="J2" s="654"/>
      <c r="K2" s="654"/>
      <c r="L2" s="654"/>
      <c r="M2" s="654"/>
      <c r="N2" s="654"/>
    </row>
    <row r="3" spans="1:14" ht="18.75" customHeight="1">
      <c r="A3" s="1398" t="s">
        <v>513</v>
      </c>
      <c r="B3" s="1398"/>
      <c r="C3" s="1398"/>
      <c r="D3" s="1398"/>
      <c r="E3" s="1398"/>
      <c r="F3" s="1398"/>
      <c r="G3" s="1398"/>
      <c r="H3" s="1398"/>
      <c r="I3" s="1398"/>
      <c r="J3" s="332"/>
      <c r="K3" s="332"/>
      <c r="L3" s="332"/>
      <c r="M3" s="332"/>
      <c r="N3" s="332"/>
    </row>
    <row r="4" spans="1:14" ht="15.75" customHeight="1">
      <c r="A4" s="1399" t="s">
        <v>308</v>
      </c>
      <c r="B4" s="1399"/>
      <c r="C4" s="1399"/>
      <c r="D4" s="1399"/>
      <c r="E4" s="1399"/>
      <c r="F4" s="1399"/>
      <c r="G4" s="1399"/>
      <c r="H4" s="1399"/>
      <c r="I4" s="1399"/>
      <c r="J4" s="655"/>
      <c r="K4" s="655"/>
      <c r="L4" s="655"/>
      <c r="M4" s="655"/>
      <c r="N4" s="655"/>
    </row>
    <row r="5" spans="1:15" ht="19.5" thickBot="1">
      <c r="A5" s="292"/>
      <c r="B5" s="292"/>
      <c r="O5" s="147" t="s">
        <v>478</v>
      </c>
    </row>
    <row r="6" spans="1:20" ht="19.5" customHeight="1" thickBot="1">
      <c r="A6" s="1396" t="s">
        <v>309</v>
      </c>
      <c r="B6" s="1397" t="s">
        <v>310</v>
      </c>
      <c r="C6" s="1386" t="s">
        <v>4</v>
      </c>
      <c r="D6" s="1387"/>
      <c r="E6" s="1387"/>
      <c r="F6" s="1387"/>
      <c r="G6" s="970"/>
      <c r="H6" s="971"/>
      <c r="I6" s="1386" t="s">
        <v>475</v>
      </c>
      <c r="J6" s="1387"/>
      <c r="K6" s="1387"/>
      <c r="L6" s="1387"/>
      <c r="M6" s="1387"/>
      <c r="N6" s="1388"/>
      <c r="O6" s="1386" t="s">
        <v>311</v>
      </c>
      <c r="P6" s="1387"/>
      <c r="Q6" s="1387"/>
      <c r="R6" s="1387"/>
      <c r="S6" s="1387"/>
      <c r="T6" s="1388"/>
    </row>
    <row r="7" spans="1:20" ht="12.75" customHeight="1" thickBot="1" thickTop="1">
      <c r="A7" s="1396"/>
      <c r="B7" s="1397"/>
      <c r="C7" s="1389"/>
      <c r="D7" s="1390"/>
      <c r="E7" s="1390"/>
      <c r="F7" s="1390"/>
      <c r="G7" s="972"/>
      <c r="H7" s="973"/>
      <c r="I7" s="1389"/>
      <c r="J7" s="1390"/>
      <c r="K7" s="1390"/>
      <c r="L7" s="1390"/>
      <c r="M7" s="1390"/>
      <c r="N7" s="1391"/>
      <c r="O7" s="1389"/>
      <c r="P7" s="1390"/>
      <c r="Q7" s="1390"/>
      <c r="R7" s="1390"/>
      <c r="S7" s="1390"/>
      <c r="T7" s="1391"/>
    </row>
    <row r="8" spans="1:20" ht="20.25" customHeight="1" thickBot="1" thickTop="1">
      <c r="A8" s="1396"/>
      <c r="B8" s="1397"/>
      <c r="C8" s="1392"/>
      <c r="D8" s="1393"/>
      <c r="E8" s="1393"/>
      <c r="F8" s="1393"/>
      <c r="G8" s="974"/>
      <c r="H8" s="975"/>
      <c r="I8" s="1392"/>
      <c r="J8" s="1393"/>
      <c r="K8" s="1393"/>
      <c r="L8" s="1393"/>
      <c r="M8" s="1393"/>
      <c r="N8" s="1394"/>
      <c r="O8" s="1392"/>
      <c r="P8" s="1393"/>
      <c r="Q8" s="1393"/>
      <c r="R8" s="1393"/>
      <c r="S8" s="1393"/>
      <c r="T8" s="1394"/>
    </row>
    <row r="9" spans="1:14" ht="19.5" hidden="1" thickTop="1">
      <c r="A9" s="293"/>
      <c r="B9" s="294"/>
      <c r="C9" s="295"/>
      <c r="D9" s="295"/>
      <c r="E9" s="295"/>
      <c r="F9" s="295"/>
      <c r="G9" s="295"/>
      <c r="H9" s="295"/>
      <c r="I9" s="295"/>
      <c r="J9" s="719"/>
      <c r="K9" s="719"/>
      <c r="L9" s="719"/>
      <c r="M9" s="719"/>
      <c r="N9" s="719"/>
    </row>
    <row r="10" spans="1:20" ht="27" customHeight="1" thickTop="1">
      <c r="A10" s="293"/>
      <c r="B10" s="294"/>
      <c r="C10" s="433" t="s">
        <v>328</v>
      </c>
      <c r="D10" s="433" t="s">
        <v>7</v>
      </c>
      <c r="E10" s="433" t="s">
        <v>485</v>
      </c>
      <c r="F10" s="433" t="s">
        <v>496</v>
      </c>
      <c r="G10" s="433" t="s">
        <v>652</v>
      </c>
      <c r="H10" s="433" t="s">
        <v>650</v>
      </c>
      <c r="I10" s="433" t="s">
        <v>328</v>
      </c>
      <c r="J10" s="433" t="s">
        <v>7</v>
      </c>
      <c r="K10" s="433" t="s">
        <v>485</v>
      </c>
      <c r="L10" s="433" t="s">
        <v>496</v>
      </c>
      <c r="M10" s="433" t="s">
        <v>652</v>
      </c>
      <c r="N10" s="433" t="s">
        <v>650</v>
      </c>
      <c r="O10" s="433" t="s">
        <v>328</v>
      </c>
      <c r="P10" s="433" t="s">
        <v>7</v>
      </c>
      <c r="Q10" s="433" t="s">
        <v>485</v>
      </c>
      <c r="R10" s="433" t="s">
        <v>496</v>
      </c>
      <c r="S10" s="433" t="s">
        <v>652</v>
      </c>
      <c r="T10" s="433" t="s">
        <v>650</v>
      </c>
    </row>
    <row r="11" spans="1:20" ht="27" customHeight="1">
      <c r="A11" s="297" t="s">
        <v>551</v>
      </c>
      <c r="B11" s="298" t="s">
        <v>316</v>
      </c>
      <c r="C11" s="299">
        <v>225000</v>
      </c>
      <c r="D11" s="299">
        <v>225000</v>
      </c>
      <c r="E11" s="299">
        <v>225000</v>
      </c>
      <c r="F11" s="299">
        <v>90000</v>
      </c>
      <c r="G11" s="299">
        <v>90000</v>
      </c>
      <c r="H11" s="976">
        <f>+G11/F11</f>
        <v>1</v>
      </c>
      <c r="I11" s="299">
        <v>225000</v>
      </c>
      <c r="J11" s="299">
        <v>225000</v>
      </c>
      <c r="K11" s="299">
        <v>225000</v>
      </c>
      <c r="L11" s="299">
        <v>90000</v>
      </c>
      <c r="M11" s="299">
        <v>90000</v>
      </c>
      <c r="N11" s="976">
        <f>+M11/L11</f>
        <v>1</v>
      </c>
      <c r="O11" s="299"/>
      <c r="P11" s="299"/>
      <c r="Q11" s="299"/>
      <c r="R11" s="299"/>
      <c r="S11" s="299"/>
      <c r="T11" s="299"/>
    </row>
    <row r="12" spans="1:20" ht="28.5" customHeight="1">
      <c r="A12" s="297" t="s">
        <v>552</v>
      </c>
      <c r="B12" s="298" t="s">
        <v>316</v>
      </c>
      <c r="C12" s="299">
        <v>480000</v>
      </c>
      <c r="D12" s="299">
        <v>480000</v>
      </c>
      <c r="E12" s="299">
        <v>480000</v>
      </c>
      <c r="F12" s="299">
        <v>120000</v>
      </c>
      <c r="G12" s="299">
        <v>120000</v>
      </c>
      <c r="H12" s="976">
        <f aca="true" t="shared" si="0" ref="H12:H19">+G12/F12</f>
        <v>1</v>
      </c>
      <c r="I12" s="299">
        <v>480000</v>
      </c>
      <c r="J12" s="299">
        <v>480000</v>
      </c>
      <c r="K12" s="299">
        <v>480000</v>
      </c>
      <c r="L12" s="299">
        <v>120000</v>
      </c>
      <c r="M12" s="299">
        <v>120000</v>
      </c>
      <c r="N12" s="976">
        <f aca="true" t="shared" si="1" ref="N12:N19">+M12/L12</f>
        <v>1</v>
      </c>
      <c r="O12" s="299"/>
      <c r="P12" s="299"/>
      <c r="Q12" s="299"/>
      <c r="R12" s="299"/>
      <c r="S12" s="299"/>
      <c r="T12" s="299"/>
    </row>
    <row r="13" spans="1:20" ht="27" customHeight="1">
      <c r="A13" s="297" t="s">
        <v>553</v>
      </c>
      <c r="B13" s="298" t="s">
        <v>316</v>
      </c>
      <c r="C13" s="299">
        <v>514000</v>
      </c>
      <c r="D13" s="299">
        <v>514000</v>
      </c>
      <c r="E13" s="299">
        <v>514000</v>
      </c>
      <c r="F13" s="299">
        <v>318000</v>
      </c>
      <c r="G13" s="299">
        <v>318000</v>
      </c>
      <c r="H13" s="976">
        <f t="shared" si="0"/>
        <v>1</v>
      </c>
      <c r="I13" s="299">
        <v>514000</v>
      </c>
      <c r="J13" s="299">
        <v>514000</v>
      </c>
      <c r="K13" s="299">
        <v>514000</v>
      </c>
      <c r="L13" s="299">
        <v>318000</v>
      </c>
      <c r="M13" s="299">
        <v>318000</v>
      </c>
      <c r="N13" s="976">
        <f t="shared" si="1"/>
        <v>1</v>
      </c>
      <c r="O13" s="299"/>
      <c r="P13" s="299"/>
      <c r="Q13" s="299"/>
      <c r="R13" s="299"/>
      <c r="S13" s="299"/>
      <c r="T13" s="299"/>
    </row>
    <row r="14" spans="1:20" ht="28.5" customHeight="1">
      <c r="A14" s="297" t="s">
        <v>313</v>
      </c>
      <c r="B14" s="298" t="s">
        <v>316</v>
      </c>
      <c r="C14" s="299">
        <f>250000+300000</f>
        <v>550000</v>
      </c>
      <c r="D14" s="299">
        <f>250000+300000</f>
        <v>550000</v>
      </c>
      <c r="E14" s="299">
        <f>250000+300000</f>
        <v>550000</v>
      </c>
      <c r="F14" s="299">
        <f>2927000+90000-16000</f>
        <v>3001000</v>
      </c>
      <c r="G14" s="299">
        <f>2927000+90000-16000</f>
        <v>3001000</v>
      </c>
      <c r="H14" s="976">
        <f t="shared" si="0"/>
        <v>1</v>
      </c>
      <c r="I14" s="299">
        <f>250000+300000</f>
        <v>550000</v>
      </c>
      <c r="J14" s="299">
        <f>250000+300000</f>
        <v>550000</v>
      </c>
      <c r="K14" s="299">
        <f>250000+300000</f>
        <v>550000</v>
      </c>
      <c r="L14" s="299">
        <f>2927000+90000-16000</f>
        <v>3001000</v>
      </c>
      <c r="M14" s="299">
        <f>2927000+90000-16000</f>
        <v>3001000</v>
      </c>
      <c r="N14" s="976">
        <f t="shared" si="1"/>
        <v>1</v>
      </c>
      <c r="O14" s="299"/>
      <c r="P14" s="299"/>
      <c r="Q14" s="299"/>
      <c r="R14" s="299"/>
      <c r="S14" s="299"/>
      <c r="T14" s="299"/>
    </row>
    <row r="15" spans="1:20" ht="32.25" customHeight="1" hidden="1">
      <c r="A15" s="297" t="s">
        <v>461</v>
      </c>
      <c r="B15" s="298" t="s">
        <v>312</v>
      </c>
      <c r="C15" s="299"/>
      <c r="D15" s="299"/>
      <c r="E15" s="299"/>
      <c r="F15" s="299"/>
      <c r="G15" s="299"/>
      <c r="H15" s="976" t="e">
        <f t="shared" si="0"/>
        <v>#DIV/0!</v>
      </c>
      <c r="I15" s="299"/>
      <c r="J15" s="299"/>
      <c r="K15" s="299"/>
      <c r="L15" s="299"/>
      <c r="M15" s="299"/>
      <c r="N15" s="976" t="e">
        <f t="shared" si="1"/>
        <v>#DIV/0!</v>
      </c>
      <c r="O15" s="299"/>
      <c r="P15" s="299"/>
      <c r="Q15" s="299"/>
      <c r="R15" s="299"/>
      <c r="S15" s="299"/>
      <c r="T15" s="299"/>
    </row>
    <row r="16" spans="1:20" ht="32.25" customHeight="1" hidden="1">
      <c r="A16" s="297" t="s">
        <v>460</v>
      </c>
      <c r="B16" s="298" t="s">
        <v>316</v>
      </c>
      <c r="C16" s="299"/>
      <c r="D16" s="299"/>
      <c r="E16" s="299"/>
      <c r="F16" s="299"/>
      <c r="G16" s="299"/>
      <c r="H16" s="976" t="e">
        <f t="shared" si="0"/>
        <v>#DIV/0!</v>
      </c>
      <c r="I16" s="299"/>
      <c r="J16" s="299"/>
      <c r="K16" s="299"/>
      <c r="L16" s="299"/>
      <c r="M16" s="299"/>
      <c r="N16" s="976" t="e">
        <f t="shared" si="1"/>
        <v>#DIV/0!</v>
      </c>
      <c r="O16" s="299"/>
      <c r="P16" s="299"/>
      <c r="Q16" s="299"/>
      <c r="R16" s="299"/>
      <c r="S16" s="299"/>
      <c r="T16" s="299"/>
    </row>
    <row r="17" spans="1:20" ht="32.25" customHeight="1">
      <c r="A17" s="297" t="s">
        <v>554</v>
      </c>
      <c r="B17" s="298" t="s">
        <v>312</v>
      </c>
      <c r="C17" s="299">
        <v>90000</v>
      </c>
      <c r="D17" s="299">
        <v>90000</v>
      </c>
      <c r="E17" s="299">
        <v>90000</v>
      </c>
      <c r="F17" s="299">
        <v>0</v>
      </c>
      <c r="G17" s="299">
        <v>0</v>
      </c>
      <c r="H17" s="976"/>
      <c r="I17" s="299"/>
      <c r="J17" s="299"/>
      <c r="K17" s="299"/>
      <c r="L17" s="299"/>
      <c r="M17" s="299"/>
      <c r="N17" s="976"/>
      <c r="O17" s="299">
        <v>90000</v>
      </c>
      <c r="P17" s="299">
        <v>90000</v>
      </c>
      <c r="Q17" s="299">
        <v>90000</v>
      </c>
      <c r="R17" s="299">
        <v>0</v>
      </c>
      <c r="S17" s="299">
        <v>0</v>
      </c>
      <c r="T17" s="299">
        <v>0</v>
      </c>
    </row>
    <row r="18" spans="1:20" ht="33" customHeight="1" thickBot="1">
      <c r="A18" s="297" t="s">
        <v>555</v>
      </c>
      <c r="B18" s="298" t="s">
        <v>312</v>
      </c>
      <c r="C18" s="302">
        <v>720000</v>
      </c>
      <c r="D18" s="302">
        <v>720000</v>
      </c>
      <c r="E18" s="302">
        <v>720000</v>
      </c>
      <c r="F18" s="302">
        <v>0</v>
      </c>
      <c r="G18" s="302">
        <v>0</v>
      </c>
      <c r="H18" s="976"/>
      <c r="I18" s="299"/>
      <c r="J18" s="299"/>
      <c r="K18" s="299"/>
      <c r="L18" s="299"/>
      <c r="M18" s="299"/>
      <c r="N18" s="976"/>
      <c r="O18" s="302">
        <v>720000</v>
      </c>
      <c r="P18" s="302">
        <v>720000</v>
      </c>
      <c r="Q18" s="302">
        <v>720000</v>
      </c>
      <c r="R18" s="302">
        <v>0</v>
      </c>
      <c r="S18" s="302">
        <v>0</v>
      </c>
      <c r="T18" s="302">
        <v>0</v>
      </c>
    </row>
    <row r="19" spans="1:20" ht="39" customHeight="1" thickBot="1" thickTop="1">
      <c r="A19" s="303" t="s">
        <v>314</v>
      </c>
      <c r="B19" s="304"/>
      <c r="C19" s="430">
        <f aca="true" t="shared" si="2" ref="C19:R19">SUM(C11:C18)</f>
        <v>2579000</v>
      </c>
      <c r="D19" s="430">
        <f t="shared" si="2"/>
        <v>2579000</v>
      </c>
      <c r="E19" s="430">
        <f t="shared" si="2"/>
        <v>2579000</v>
      </c>
      <c r="F19" s="430">
        <f>SUM(F11:F18)</f>
        <v>3529000</v>
      </c>
      <c r="G19" s="430">
        <f>SUM(G11:G18)</f>
        <v>3529000</v>
      </c>
      <c r="H19" s="977">
        <f t="shared" si="0"/>
        <v>1</v>
      </c>
      <c r="I19" s="430">
        <f t="shared" si="2"/>
        <v>1769000</v>
      </c>
      <c r="J19" s="430">
        <f t="shared" si="2"/>
        <v>1769000</v>
      </c>
      <c r="K19" s="430">
        <f t="shared" si="2"/>
        <v>1769000</v>
      </c>
      <c r="L19" s="430">
        <f>SUM(L11:L18)</f>
        <v>3529000</v>
      </c>
      <c r="M19" s="430">
        <f>SUM(M11:M18)</f>
        <v>3529000</v>
      </c>
      <c r="N19" s="977">
        <f t="shared" si="1"/>
        <v>1</v>
      </c>
      <c r="O19" s="430">
        <f t="shared" si="2"/>
        <v>810000</v>
      </c>
      <c r="P19" s="430">
        <f t="shared" si="2"/>
        <v>810000</v>
      </c>
      <c r="Q19" s="430">
        <f t="shared" si="2"/>
        <v>810000</v>
      </c>
      <c r="R19" s="430">
        <f t="shared" si="2"/>
        <v>0</v>
      </c>
      <c r="S19" s="430">
        <f>SUM(S11:S18)</f>
        <v>0</v>
      </c>
      <c r="T19" s="430">
        <f>SUM(T11:T18)</f>
        <v>0</v>
      </c>
    </row>
    <row r="20" spans="1:14" ht="19.5" customHeight="1">
      <c r="A20" s="306"/>
      <c r="B20" s="306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</row>
    <row r="21" spans="1:14" ht="28.5" customHeight="1" hidden="1" thickBot="1">
      <c r="A21" s="1395" t="s">
        <v>148</v>
      </c>
      <c r="B21" s="1395"/>
      <c r="C21" s="1395"/>
      <c r="D21" s="1395"/>
      <c r="E21" s="1395"/>
      <c r="F21" s="1395"/>
      <c r="G21" s="1395"/>
      <c r="H21" s="1395"/>
      <c r="I21" s="1395"/>
      <c r="J21" s="654"/>
      <c r="K21" s="654"/>
      <c r="L21" s="654"/>
      <c r="M21" s="654"/>
      <c r="N21" s="654"/>
    </row>
    <row r="22" spans="1:14" ht="19.5" customHeight="1" hidden="1" thickBot="1">
      <c r="A22" s="1396" t="s">
        <v>309</v>
      </c>
      <c r="B22" s="1397" t="s">
        <v>310</v>
      </c>
      <c r="C22" s="502"/>
      <c r="D22" s="502"/>
      <c r="E22" s="502"/>
      <c r="F22" s="502"/>
      <c r="G22" s="502"/>
      <c r="H22" s="502"/>
      <c r="I22" s="502"/>
      <c r="J22" s="508"/>
      <c r="K22" s="508"/>
      <c r="L22" s="508"/>
      <c r="M22" s="508"/>
      <c r="N22" s="508"/>
    </row>
    <row r="23" spans="1:14" ht="19.5" customHeight="1" hidden="1" thickBot="1" thickTop="1">
      <c r="A23" s="1396"/>
      <c r="B23" s="1397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</row>
    <row r="24" spans="1:14" ht="19.5" customHeight="1" hidden="1" thickBot="1" thickTop="1">
      <c r="A24" s="1396"/>
      <c r="B24" s="1397"/>
      <c r="C24" s="509"/>
      <c r="D24" s="509"/>
      <c r="E24" s="509"/>
      <c r="F24" s="509"/>
      <c r="G24" s="509"/>
      <c r="H24" s="509"/>
      <c r="I24" s="509"/>
      <c r="J24" s="508"/>
      <c r="K24" s="508"/>
      <c r="L24" s="508"/>
      <c r="M24" s="508"/>
      <c r="N24" s="508"/>
    </row>
    <row r="25" spans="1:14" ht="57.75" customHeight="1" hidden="1" thickTop="1">
      <c r="A25" s="308"/>
      <c r="B25" s="309"/>
      <c r="C25" s="296"/>
      <c r="D25" s="434"/>
      <c r="E25" s="434"/>
      <c r="F25" s="434"/>
      <c r="G25" s="434"/>
      <c r="H25" s="434"/>
      <c r="I25" s="434"/>
      <c r="J25" s="719"/>
      <c r="K25" s="719"/>
      <c r="L25" s="719"/>
      <c r="M25" s="719"/>
      <c r="N25" s="719"/>
    </row>
    <row r="26" spans="1:14" ht="31.5" customHeight="1" hidden="1">
      <c r="A26" s="435"/>
      <c r="B26" s="436"/>
      <c r="C26" s="434"/>
      <c r="D26" s="434"/>
      <c r="E26" s="434"/>
      <c r="F26" s="434"/>
      <c r="G26" s="434"/>
      <c r="H26" s="434"/>
      <c r="I26" s="434"/>
      <c r="J26" s="719"/>
      <c r="K26" s="719"/>
      <c r="L26" s="719"/>
      <c r="M26" s="719"/>
      <c r="N26" s="719"/>
    </row>
    <row r="27" spans="1:14" ht="34.5" customHeight="1" hidden="1">
      <c r="A27" s="310" t="s">
        <v>315</v>
      </c>
      <c r="B27" s="311" t="s">
        <v>316</v>
      </c>
      <c r="C27" s="300"/>
      <c r="D27" s="300"/>
      <c r="E27" s="300"/>
      <c r="F27" s="300"/>
      <c r="G27" s="300"/>
      <c r="H27" s="300"/>
      <c r="I27" s="300"/>
      <c r="J27" s="720"/>
      <c r="K27" s="720"/>
      <c r="L27" s="720"/>
      <c r="M27" s="720"/>
      <c r="N27" s="720"/>
    </row>
    <row r="28" spans="1:14" ht="30.75" customHeight="1" hidden="1">
      <c r="A28" s="297" t="s">
        <v>317</v>
      </c>
      <c r="B28" s="298" t="s">
        <v>316</v>
      </c>
      <c r="C28" s="301"/>
      <c r="D28" s="300"/>
      <c r="E28" s="300"/>
      <c r="F28" s="300"/>
      <c r="G28" s="300"/>
      <c r="H28" s="300"/>
      <c r="I28" s="300"/>
      <c r="J28" s="720"/>
      <c r="K28" s="720"/>
      <c r="L28" s="720"/>
      <c r="M28" s="720"/>
      <c r="N28" s="720"/>
    </row>
    <row r="29" spans="1:14" ht="31.5" customHeight="1" hidden="1">
      <c r="A29" s="297" t="s">
        <v>318</v>
      </c>
      <c r="B29" s="298" t="s">
        <v>316</v>
      </c>
      <c r="C29" s="301"/>
      <c r="D29" s="300"/>
      <c r="E29" s="300"/>
      <c r="F29" s="300"/>
      <c r="G29" s="300"/>
      <c r="H29" s="300"/>
      <c r="I29" s="300"/>
      <c r="J29" s="720"/>
      <c r="K29" s="720"/>
      <c r="L29" s="720"/>
      <c r="M29" s="720"/>
      <c r="N29" s="720"/>
    </row>
    <row r="30" spans="1:14" ht="31.5" customHeight="1" hidden="1">
      <c r="A30" s="297" t="s">
        <v>319</v>
      </c>
      <c r="B30" s="298" t="s">
        <v>316</v>
      </c>
      <c r="C30" s="301"/>
      <c r="D30" s="301"/>
      <c r="E30" s="301"/>
      <c r="F30" s="301"/>
      <c r="G30" s="301"/>
      <c r="H30" s="301"/>
      <c r="I30" s="301"/>
      <c r="J30" s="720"/>
      <c r="K30" s="720"/>
      <c r="L30" s="720"/>
      <c r="M30" s="720"/>
      <c r="N30" s="720"/>
    </row>
    <row r="31" spans="1:14" ht="27.75" customHeight="1" hidden="1">
      <c r="A31" s="297" t="s">
        <v>320</v>
      </c>
      <c r="B31" s="298" t="s">
        <v>316</v>
      </c>
      <c r="C31" s="301"/>
      <c r="D31" s="301"/>
      <c r="E31" s="301"/>
      <c r="F31" s="301"/>
      <c r="G31" s="301"/>
      <c r="H31" s="301"/>
      <c r="I31" s="301"/>
      <c r="J31" s="720"/>
      <c r="K31" s="720"/>
      <c r="L31" s="720"/>
      <c r="M31" s="720"/>
      <c r="N31" s="720"/>
    </row>
    <row r="32" spans="1:14" ht="33" customHeight="1" hidden="1" thickBot="1">
      <c r="A32" s="312" t="s">
        <v>321</v>
      </c>
      <c r="B32" s="313" t="s">
        <v>316</v>
      </c>
      <c r="C32" s="431"/>
      <c r="D32" s="431"/>
      <c r="E32" s="431"/>
      <c r="F32" s="431"/>
      <c r="G32" s="431"/>
      <c r="H32" s="431"/>
      <c r="I32" s="431"/>
      <c r="J32" s="720"/>
      <c r="K32" s="720"/>
      <c r="L32" s="720"/>
      <c r="M32" s="720"/>
      <c r="N32" s="720"/>
    </row>
    <row r="33" spans="1:14" ht="33" customHeight="1" hidden="1" thickBot="1" thickTop="1">
      <c r="A33" s="314"/>
      <c r="B33" s="315"/>
      <c r="C33" s="432"/>
      <c r="D33" s="432"/>
      <c r="E33" s="432"/>
      <c r="F33" s="432"/>
      <c r="G33" s="432"/>
      <c r="H33" s="432"/>
      <c r="I33" s="432"/>
      <c r="J33" s="720"/>
      <c r="K33" s="720"/>
      <c r="L33" s="720"/>
      <c r="M33" s="720"/>
      <c r="N33" s="720"/>
    </row>
    <row r="34" spans="1:14" ht="33" customHeight="1" hidden="1" thickBot="1" thickTop="1">
      <c r="A34" s="303" t="s">
        <v>314</v>
      </c>
      <c r="B34" s="304"/>
      <c r="C34" s="305"/>
      <c r="D34" s="305"/>
      <c r="E34" s="305"/>
      <c r="F34" s="305"/>
      <c r="G34" s="305"/>
      <c r="H34" s="305"/>
      <c r="I34" s="305"/>
      <c r="J34" s="721"/>
      <c r="K34" s="721"/>
      <c r="L34" s="721"/>
      <c r="M34" s="721"/>
      <c r="N34" s="721"/>
    </row>
    <row r="36" ht="31.5" customHeight="1" thickBot="1">
      <c r="B36" s="316" t="s">
        <v>322</v>
      </c>
    </row>
    <row r="37" spans="1:20" ht="12.75" customHeight="1" thickBot="1">
      <c r="A37" s="1396" t="s">
        <v>322</v>
      </c>
      <c r="B37" s="1397" t="s">
        <v>310</v>
      </c>
      <c r="C37" s="1386" t="s">
        <v>4</v>
      </c>
      <c r="D37" s="1387"/>
      <c r="E37" s="1387"/>
      <c r="F37" s="1387"/>
      <c r="G37" s="970"/>
      <c r="H37" s="971"/>
      <c r="I37" s="1386" t="s">
        <v>475</v>
      </c>
      <c r="J37" s="1387"/>
      <c r="K37" s="1387"/>
      <c r="L37" s="1387"/>
      <c r="M37" s="1387"/>
      <c r="N37" s="1388"/>
      <c r="O37" s="1386" t="s">
        <v>311</v>
      </c>
      <c r="P37" s="1387"/>
      <c r="Q37" s="1387"/>
      <c r="R37" s="1387"/>
      <c r="S37" s="1387"/>
      <c r="T37" s="1388"/>
    </row>
    <row r="38" spans="1:20" ht="14.25" customHeight="1" thickBot="1" thickTop="1">
      <c r="A38" s="1396"/>
      <c r="B38" s="1397"/>
      <c r="C38" s="1389"/>
      <c r="D38" s="1390"/>
      <c r="E38" s="1390"/>
      <c r="F38" s="1390"/>
      <c r="G38" s="972"/>
      <c r="H38" s="973"/>
      <c r="I38" s="1389"/>
      <c r="J38" s="1390"/>
      <c r="K38" s="1390"/>
      <c r="L38" s="1390"/>
      <c r="M38" s="1390"/>
      <c r="N38" s="1391"/>
      <c r="O38" s="1389"/>
      <c r="P38" s="1390"/>
      <c r="Q38" s="1390"/>
      <c r="R38" s="1390"/>
      <c r="S38" s="1390"/>
      <c r="T38" s="1391"/>
    </row>
    <row r="39" spans="1:20" ht="14.25" customHeight="1" thickBot="1" thickTop="1">
      <c r="A39" s="1396"/>
      <c r="B39" s="1397"/>
      <c r="C39" s="1392"/>
      <c r="D39" s="1393"/>
      <c r="E39" s="1393"/>
      <c r="F39" s="1393"/>
      <c r="G39" s="974"/>
      <c r="H39" s="975"/>
      <c r="I39" s="1392"/>
      <c r="J39" s="1393"/>
      <c r="K39" s="1393"/>
      <c r="L39" s="1393"/>
      <c r="M39" s="1393"/>
      <c r="N39" s="1394"/>
      <c r="O39" s="1392"/>
      <c r="P39" s="1393"/>
      <c r="Q39" s="1393"/>
      <c r="R39" s="1393"/>
      <c r="S39" s="1393"/>
      <c r="T39" s="1394"/>
    </row>
    <row r="40" spans="1:20" ht="33" customHeight="1" thickTop="1">
      <c r="A40" s="293"/>
      <c r="B40" s="294"/>
      <c r="C40" s="433" t="s">
        <v>328</v>
      </c>
      <c r="D40" s="433" t="s">
        <v>7</v>
      </c>
      <c r="E40" s="433" t="s">
        <v>485</v>
      </c>
      <c r="F40" s="433" t="s">
        <v>496</v>
      </c>
      <c r="G40" s="433" t="s">
        <v>652</v>
      </c>
      <c r="H40" s="433" t="s">
        <v>650</v>
      </c>
      <c r="I40" s="433" t="s">
        <v>328</v>
      </c>
      <c r="J40" s="433" t="s">
        <v>7</v>
      </c>
      <c r="K40" s="433" t="s">
        <v>485</v>
      </c>
      <c r="L40" s="433" t="s">
        <v>496</v>
      </c>
      <c r="M40" s="433" t="s">
        <v>652</v>
      </c>
      <c r="N40" s="433" t="s">
        <v>650</v>
      </c>
      <c r="O40" s="433" t="s">
        <v>328</v>
      </c>
      <c r="P40" s="433" t="s">
        <v>7</v>
      </c>
      <c r="Q40" s="433" t="s">
        <v>485</v>
      </c>
      <c r="R40" s="433" t="s">
        <v>496</v>
      </c>
      <c r="S40" s="433" t="s">
        <v>652</v>
      </c>
      <c r="T40" s="433" t="s">
        <v>650</v>
      </c>
    </row>
    <row r="41" spans="1:20" ht="30.75" thickBot="1">
      <c r="A41" s="297" t="s">
        <v>486</v>
      </c>
      <c r="B41" s="298" t="s">
        <v>316</v>
      </c>
      <c r="C41" s="299"/>
      <c r="D41" s="299"/>
      <c r="E41" s="299">
        <v>30000</v>
      </c>
      <c r="F41" s="299">
        <v>48000</v>
      </c>
      <c r="G41" s="299">
        <v>48000</v>
      </c>
      <c r="H41" s="976">
        <f>+G41/F41</f>
        <v>1</v>
      </c>
      <c r="I41" s="299"/>
      <c r="J41" s="299"/>
      <c r="K41" s="299">
        <v>30000</v>
      </c>
      <c r="L41" s="299">
        <v>48000</v>
      </c>
      <c r="M41" s="299">
        <v>48000</v>
      </c>
      <c r="N41" s="976">
        <f>+M41/L41</f>
        <v>1</v>
      </c>
      <c r="O41" s="299"/>
      <c r="P41" s="299"/>
      <c r="Q41" s="299"/>
      <c r="R41" s="299"/>
      <c r="S41" s="299"/>
      <c r="T41" s="299"/>
    </row>
    <row r="42" spans="1:20" ht="24" customHeight="1" hidden="1">
      <c r="A42" s="297" t="s">
        <v>323</v>
      </c>
      <c r="B42" s="298" t="s">
        <v>316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</row>
    <row r="43" spans="1:20" ht="27" customHeight="1" hidden="1" thickBot="1">
      <c r="A43" s="297" t="s">
        <v>465</v>
      </c>
      <c r="B43" s="298" t="s">
        <v>316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</row>
    <row r="44" spans="1:20" ht="30" customHeight="1" thickBot="1" thickTop="1">
      <c r="A44" s="303" t="s">
        <v>314</v>
      </c>
      <c r="B44" s="304"/>
      <c r="C44" s="430"/>
      <c r="D44" s="430"/>
      <c r="E44" s="430">
        <f>SUM(E41:E43)</f>
        <v>30000</v>
      </c>
      <c r="F44" s="430">
        <f>SUM(F41:F43)</f>
        <v>48000</v>
      </c>
      <c r="G44" s="430">
        <f>SUM(G41:G43)</f>
        <v>48000</v>
      </c>
      <c r="H44" s="977">
        <f>+G44/F44</f>
        <v>1</v>
      </c>
      <c r="I44" s="430"/>
      <c r="J44" s="430"/>
      <c r="K44" s="430">
        <f>SUM(K41:K43)</f>
        <v>30000</v>
      </c>
      <c r="L44" s="430">
        <f>SUM(L41:L43)</f>
        <v>48000</v>
      </c>
      <c r="M44" s="430">
        <f>SUM(M41:M43)</f>
        <v>48000</v>
      </c>
      <c r="N44" s="977">
        <f>+M44/L44</f>
        <v>1</v>
      </c>
      <c r="O44" s="430"/>
      <c r="P44" s="430"/>
      <c r="Q44" s="430">
        <f>SUM(Q41:Q43)</f>
        <v>0</v>
      </c>
      <c r="R44" s="430">
        <f>SUM(R41:R43)</f>
        <v>0</v>
      </c>
      <c r="S44" s="430">
        <f>SUM(S41:S43)</f>
        <v>0</v>
      </c>
      <c r="T44" s="430">
        <f>SUM(T41:T43)</f>
        <v>0</v>
      </c>
    </row>
  </sheetData>
  <sheetProtection selectLockedCells="1" selectUnlockedCells="1"/>
  <mergeCells count="16">
    <mergeCell ref="A2:I2"/>
    <mergeCell ref="A3:I3"/>
    <mergeCell ref="A4:I4"/>
    <mergeCell ref="A6:A8"/>
    <mergeCell ref="B6:B8"/>
    <mergeCell ref="C6:F8"/>
    <mergeCell ref="I37:N39"/>
    <mergeCell ref="I6:N8"/>
    <mergeCell ref="O6:T8"/>
    <mergeCell ref="O37:T39"/>
    <mergeCell ref="A21:I21"/>
    <mergeCell ref="A22:A24"/>
    <mergeCell ref="B22:B24"/>
    <mergeCell ref="C37:F39"/>
    <mergeCell ref="A37:A39"/>
    <mergeCell ref="B37:B39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46" r:id="rId1"/>
  <headerFooter alignWithMargins="0">
    <oddHeader>&amp;R8.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zoomScale="70" zoomScaleNormal="70" workbookViewId="0" topLeftCell="A15">
      <pane xSplit="1" topLeftCell="F1" activePane="topRight" state="frozen"/>
      <selection pane="topLeft" activeCell="A5" sqref="A5"/>
      <selection pane="topRight" activeCell="AK8" sqref="AK8"/>
    </sheetView>
  </sheetViews>
  <sheetFormatPr defaultColWidth="9.140625" defaultRowHeight="12.75"/>
  <cols>
    <col min="1" max="1" width="47.57421875" style="317" customWidth="1"/>
    <col min="2" max="2" width="15.57421875" style="287" customWidth="1"/>
    <col min="3" max="3" width="13.8515625" style="287" hidden="1" customWidth="1"/>
    <col min="4" max="4" width="14.140625" style="287" hidden="1" customWidth="1"/>
    <col min="5" max="7" width="14.140625" style="287" customWidth="1"/>
    <col min="8" max="8" width="13.421875" style="287" customWidth="1"/>
    <col min="9" max="10" width="13.421875" style="287" hidden="1" customWidth="1"/>
    <col min="11" max="13" width="13.421875" style="287" customWidth="1"/>
    <col min="14" max="15" width="12.00390625" style="287" customWidth="1"/>
    <col min="16" max="17" width="9.140625" style="287" customWidth="1"/>
    <col min="18" max="19" width="9.140625" style="287" hidden="1" customWidth="1"/>
    <col min="20" max="20" width="14.140625" style="287" customWidth="1"/>
    <col min="21" max="21" width="13.8515625" style="287" hidden="1" customWidth="1"/>
    <col min="22" max="22" width="16.28125" style="287" hidden="1" customWidth="1"/>
    <col min="23" max="23" width="13.140625" style="287" customWidth="1"/>
    <col min="24" max="25" width="13.8515625" style="287" bestFit="1" customWidth="1"/>
    <col min="26" max="27" width="0" style="287" hidden="1" customWidth="1"/>
    <col min="28" max="16384" width="9.140625" style="287" customWidth="1"/>
  </cols>
  <sheetData>
    <row r="1" spans="14:15" ht="12.75" customHeight="1">
      <c r="N1" s="632"/>
      <c r="O1" s="632"/>
    </row>
    <row r="2" spans="1:15" ht="30">
      <c r="A2" s="1400" t="s">
        <v>432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659"/>
    </row>
    <row r="3" spans="1:15" ht="15.75">
      <c r="A3" s="1401" t="s">
        <v>513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503"/>
    </row>
    <row r="4" spans="1:15" ht="15.7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ht="15.75">
      <c r="A5" s="503" t="s">
        <v>433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</row>
    <row r="6" spans="1:15" ht="14.25" customHeight="1">
      <c r="A6" s="1402" t="s">
        <v>324</v>
      </c>
      <c r="B6" s="1402"/>
      <c r="C6" s="1402"/>
      <c r="D6" s="1402"/>
      <c r="E6" s="1402"/>
      <c r="F6" s="1402"/>
      <c r="G6" s="1402"/>
      <c r="H6" s="1402"/>
      <c r="I6" s="1402"/>
      <c r="J6" s="1402"/>
      <c r="K6" s="1402"/>
      <c r="L6" s="1402"/>
      <c r="M6" s="1402"/>
      <c r="N6" s="1402"/>
      <c r="O6" s="658"/>
    </row>
    <row r="7" ht="13.5" thickBot="1">
      <c r="T7" s="287" t="s">
        <v>478</v>
      </c>
    </row>
    <row r="8" spans="1:25" ht="24.75" customHeight="1">
      <c r="A8" s="1404" t="s">
        <v>325</v>
      </c>
      <c r="B8" s="1408" t="s">
        <v>326</v>
      </c>
      <c r="C8" s="1409"/>
      <c r="D8" s="1409"/>
      <c r="E8" s="1409"/>
      <c r="F8" s="1409"/>
      <c r="G8" s="1409"/>
      <c r="H8" s="1409"/>
      <c r="I8" s="1409"/>
      <c r="J8" s="1409"/>
      <c r="K8" s="1409"/>
      <c r="L8" s="1409"/>
      <c r="M8" s="1410"/>
      <c r="N8" s="1408" t="s">
        <v>467</v>
      </c>
      <c r="O8" s="1409"/>
      <c r="P8" s="1409"/>
      <c r="Q8" s="1409"/>
      <c r="R8" s="1409"/>
      <c r="S8" s="1409"/>
      <c r="T8" s="1409"/>
      <c r="U8" s="1409"/>
      <c r="V8" s="1409"/>
      <c r="W8" s="1409"/>
      <c r="X8" s="1409"/>
      <c r="Y8" s="1418"/>
    </row>
    <row r="9" spans="1:25" ht="36.75" customHeight="1">
      <c r="A9" s="1405"/>
      <c r="B9" s="1406" t="s">
        <v>327</v>
      </c>
      <c r="C9" s="1407"/>
      <c r="D9" s="1407"/>
      <c r="E9" s="771"/>
      <c r="F9" s="771"/>
      <c r="G9" s="771"/>
      <c r="H9" s="1406" t="s">
        <v>468</v>
      </c>
      <c r="I9" s="1407"/>
      <c r="J9" s="1407"/>
      <c r="K9" s="1407"/>
      <c r="L9" s="1407"/>
      <c r="M9" s="1425"/>
      <c r="N9" s="1411" t="s">
        <v>327</v>
      </c>
      <c r="O9" s="1411"/>
      <c r="P9" s="1411"/>
      <c r="Q9" s="1411"/>
      <c r="R9" s="768"/>
      <c r="S9" s="768"/>
      <c r="T9" s="1406" t="s">
        <v>468</v>
      </c>
      <c r="U9" s="1407"/>
      <c r="V9" s="1407"/>
      <c r="W9" s="1407"/>
      <c r="X9" s="1407"/>
      <c r="Y9" s="1416"/>
    </row>
    <row r="10" spans="1:23" ht="42" customHeight="1" hidden="1">
      <c r="A10" s="513"/>
      <c r="B10" s="318"/>
      <c r="C10" s="318"/>
      <c r="D10" s="318"/>
      <c r="E10" s="318"/>
      <c r="F10" s="318"/>
      <c r="G10" s="318"/>
      <c r="H10" s="318"/>
      <c r="I10" s="318"/>
      <c r="J10" s="318"/>
      <c r="K10" s="320"/>
      <c r="L10" s="320"/>
      <c r="M10" s="320"/>
      <c r="N10" s="320"/>
      <c r="O10" s="320"/>
      <c r="P10" s="320" t="s">
        <v>7</v>
      </c>
      <c r="Q10" s="767" t="s">
        <v>329</v>
      </c>
      <c r="R10" s="320" t="s">
        <v>330</v>
      </c>
      <c r="S10" s="320" t="s">
        <v>9</v>
      </c>
      <c r="T10" s="723"/>
      <c r="U10" s="439"/>
      <c r="W10" s="773"/>
    </row>
    <row r="11" spans="1:25" ht="18" customHeight="1">
      <c r="A11" s="513"/>
      <c r="B11" s="318" t="s">
        <v>328</v>
      </c>
      <c r="C11" s="318" t="s">
        <v>7</v>
      </c>
      <c r="D11" s="318" t="s">
        <v>485</v>
      </c>
      <c r="E11" s="318" t="s">
        <v>496</v>
      </c>
      <c r="F11" s="318" t="s">
        <v>652</v>
      </c>
      <c r="G11" s="318" t="s">
        <v>650</v>
      </c>
      <c r="H11" s="318" t="s">
        <v>328</v>
      </c>
      <c r="I11" s="318" t="s">
        <v>7</v>
      </c>
      <c r="J11" s="318" t="s">
        <v>485</v>
      </c>
      <c r="K11" s="318" t="s">
        <v>496</v>
      </c>
      <c r="L11" s="318" t="s">
        <v>652</v>
      </c>
      <c r="M11" s="318" t="s">
        <v>650</v>
      </c>
      <c r="N11" s="318" t="s">
        <v>328</v>
      </c>
      <c r="O11" s="318" t="s">
        <v>7</v>
      </c>
      <c r="P11" s="318" t="s">
        <v>485</v>
      </c>
      <c r="Q11" s="318" t="s">
        <v>496</v>
      </c>
      <c r="R11" s="318"/>
      <c r="S11" s="318"/>
      <c r="T11" s="318" t="s">
        <v>328</v>
      </c>
      <c r="U11" s="318" t="s">
        <v>7</v>
      </c>
      <c r="V11" s="722" t="s">
        <v>485</v>
      </c>
      <c r="W11" s="722" t="s">
        <v>496</v>
      </c>
      <c r="X11" s="318" t="s">
        <v>652</v>
      </c>
      <c r="Y11" s="318" t="s">
        <v>650</v>
      </c>
    </row>
    <row r="12" spans="1:25" ht="18" hidden="1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3"/>
      <c r="O12" s="323"/>
      <c r="P12" s="322"/>
      <c r="Q12" s="322"/>
      <c r="R12" s="322"/>
      <c r="S12" s="322"/>
      <c r="T12" s="322"/>
      <c r="U12" s="322"/>
      <c r="V12" s="724"/>
      <c r="W12" s="437"/>
      <c r="X12" s="437"/>
      <c r="Y12" s="437"/>
    </row>
    <row r="13" spans="1:25" ht="18" hidden="1">
      <c r="A13" s="321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323"/>
      <c r="P13" s="322"/>
      <c r="Q13" s="322"/>
      <c r="R13" s="322"/>
      <c r="S13" s="322"/>
      <c r="T13" s="724"/>
      <c r="U13" s="724"/>
      <c r="V13" s="724"/>
      <c r="W13" s="437"/>
      <c r="X13" s="437"/>
      <c r="Y13" s="437"/>
    </row>
    <row r="14" spans="1:25" ht="18" hidden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3"/>
      <c r="O14" s="323"/>
      <c r="P14" s="322"/>
      <c r="Q14" s="322"/>
      <c r="R14" s="322"/>
      <c r="S14" s="322"/>
      <c r="T14" s="724"/>
      <c r="U14" s="724"/>
      <c r="V14" s="724"/>
      <c r="W14" s="437"/>
      <c r="X14" s="437"/>
      <c r="Y14" s="437"/>
    </row>
    <row r="15" spans="1:25" ht="18">
      <c r="A15" s="321" t="s">
        <v>331</v>
      </c>
      <c r="B15" s="322"/>
      <c r="C15" s="322"/>
      <c r="D15" s="322"/>
      <c r="E15" s="322"/>
      <c r="F15" s="322"/>
      <c r="G15" s="322"/>
      <c r="H15" s="322">
        <v>18000</v>
      </c>
      <c r="I15" s="322">
        <v>18000</v>
      </c>
      <c r="J15" s="322">
        <v>18000</v>
      </c>
      <c r="K15" s="322">
        <v>15000</v>
      </c>
      <c r="L15" s="322">
        <v>15000</v>
      </c>
      <c r="M15" s="978">
        <f>+L15/K15</f>
        <v>1</v>
      </c>
      <c r="N15" s="323"/>
      <c r="O15" s="323"/>
      <c r="P15" s="322"/>
      <c r="Q15" s="322"/>
      <c r="R15" s="322"/>
      <c r="S15" s="322"/>
      <c r="T15" s="724"/>
      <c r="U15" s="724"/>
      <c r="V15" s="724"/>
      <c r="W15" s="437"/>
      <c r="X15" s="437"/>
      <c r="Y15" s="437"/>
    </row>
    <row r="16" spans="1:25" ht="45.75">
      <c r="A16" s="321" t="s">
        <v>477</v>
      </c>
      <c r="B16" s="322"/>
      <c r="C16" s="322"/>
      <c r="D16" s="322"/>
      <c r="E16" s="322"/>
      <c r="F16" s="322"/>
      <c r="G16" s="322"/>
      <c r="H16" s="322">
        <v>1400000</v>
      </c>
      <c r="I16" s="322">
        <v>1400000</v>
      </c>
      <c r="J16" s="322">
        <v>1400000</v>
      </c>
      <c r="K16" s="322">
        <v>1534733</v>
      </c>
      <c r="L16" s="322">
        <v>1534733</v>
      </c>
      <c r="M16" s="978">
        <f>+L16/K16</f>
        <v>1</v>
      </c>
      <c r="N16" s="323"/>
      <c r="O16" s="323"/>
      <c r="P16" s="322"/>
      <c r="Q16" s="322"/>
      <c r="R16" s="322"/>
      <c r="S16" s="322"/>
      <c r="T16" s="724"/>
      <c r="U16" s="724"/>
      <c r="V16" s="724"/>
      <c r="W16" s="437"/>
      <c r="X16" s="437"/>
      <c r="Y16" s="437"/>
    </row>
    <row r="17" spans="1:25" ht="18">
      <c r="A17" s="321" t="s">
        <v>332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978"/>
      <c r="N17" s="323"/>
      <c r="O17" s="323"/>
      <c r="P17" s="322"/>
      <c r="Q17" s="322"/>
      <c r="R17" s="322"/>
      <c r="S17" s="322"/>
      <c r="T17" s="322">
        <v>1570000</v>
      </c>
      <c r="U17" s="322">
        <v>1570000</v>
      </c>
      <c r="V17" s="322">
        <v>1570000</v>
      </c>
      <c r="W17" s="324">
        <v>1200000</v>
      </c>
      <c r="X17" s="324">
        <v>1200000</v>
      </c>
      <c r="Y17" s="978">
        <f>+X17/W17</f>
        <v>1</v>
      </c>
    </row>
    <row r="18" spans="1:25" ht="34.5" customHeight="1">
      <c r="A18" s="321" t="s">
        <v>481</v>
      </c>
      <c r="B18" s="322"/>
      <c r="C18" s="322"/>
      <c r="D18" s="322"/>
      <c r="E18" s="322"/>
      <c r="F18" s="322"/>
      <c r="G18" s="322"/>
      <c r="H18" s="322">
        <v>250000</v>
      </c>
      <c r="I18" s="322">
        <v>250000</v>
      </c>
      <c r="J18" s="322">
        <v>250000</v>
      </c>
      <c r="K18" s="322"/>
      <c r="L18" s="322"/>
      <c r="M18" s="978"/>
      <c r="N18" s="322"/>
      <c r="O18" s="322"/>
      <c r="P18" s="322"/>
      <c r="Q18" s="322"/>
      <c r="R18" s="322"/>
      <c r="S18" s="322"/>
      <c r="T18" s="322"/>
      <c r="U18" s="322"/>
      <c r="V18" s="322"/>
      <c r="W18" s="324"/>
      <c r="X18" s="324"/>
      <c r="Y18" s="324"/>
    </row>
    <row r="19" spans="1:25" ht="17.25" customHeight="1" hidden="1">
      <c r="A19" s="510" t="s">
        <v>425</v>
      </c>
      <c r="B19" s="511"/>
      <c r="C19" s="511"/>
      <c r="D19" s="511"/>
      <c r="E19" s="511"/>
      <c r="F19" s="511"/>
      <c r="G19" s="511"/>
      <c r="H19" s="640"/>
      <c r="I19" s="640"/>
      <c r="J19" s="640"/>
      <c r="K19" s="640"/>
      <c r="L19" s="640"/>
      <c r="M19" s="979"/>
      <c r="N19" s="322"/>
      <c r="O19" s="322"/>
      <c r="P19" s="322"/>
      <c r="Q19" s="322"/>
      <c r="R19" s="322"/>
      <c r="S19" s="322"/>
      <c r="T19" s="322"/>
      <c r="U19" s="322"/>
      <c r="V19" s="322"/>
      <c r="W19" s="324"/>
      <c r="X19" s="324"/>
      <c r="Y19" s="324"/>
    </row>
    <row r="20" spans="1:25" ht="39" customHeight="1" hidden="1">
      <c r="A20" s="510" t="s">
        <v>426</v>
      </c>
      <c r="B20" s="511"/>
      <c r="C20" s="511"/>
      <c r="D20" s="511"/>
      <c r="E20" s="511"/>
      <c r="F20" s="511"/>
      <c r="G20" s="511"/>
      <c r="H20" s="640"/>
      <c r="I20" s="640"/>
      <c r="J20" s="640"/>
      <c r="K20" s="640"/>
      <c r="L20" s="640"/>
      <c r="M20" s="979"/>
      <c r="N20" s="322"/>
      <c r="O20" s="322"/>
      <c r="P20" s="322"/>
      <c r="Q20" s="322"/>
      <c r="R20" s="322"/>
      <c r="S20" s="322"/>
      <c r="T20" s="322"/>
      <c r="U20" s="322"/>
      <c r="V20" s="322"/>
      <c r="W20" s="324"/>
      <c r="X20" s="324"/>
      <c r="Y20" s="324"/>
    </row>
    <row r="21" spans="1:25" ht="18.75" hidden="1">
      <c r="A21" s="510" t="s">
        <v>427</v>
      </c>
      <c r="B21" s="511"/>
      <c r="C21" s="511"/>
      <c r="D21" s="511"/>
      <c r="E21" s="511"/>
      <c r="F21" s="511"/>
      <c r="G21" s="511"/>
      <c r="H21" s="640"/>
      <c r="I21" s="640"/>
      <c r="J21" s="640"/>
      <c r="K21" s="640"/>
      <c r="L21" s="640"/>
      <c r="M21" s="979"/>
      <c r="N21" s="322"/>
      <c r="O21" s="322"/>
      <c r="P21" s="322"/>
      <c r="Q21" s="322"/>
      <c r="R21" s="322"/>
      <c r="S21" s="322"/>
      <c r="T21" s="322"/>
      <c r="U21" s="322"/>
      <c r="V21" s="322"/>
      <c r="W21" s="324"/>
      <c r="X21" s="324"/>
      <c r="Y21" s="324"/>
    </row>
    <row r="22" spans="1:25" ht="31.5" hidden="1">
      <c r="A22" s="510" t="s">
        <v>483</v>
      </c>
      <c r="B22" s="511"/>
      <c r="C22" s="511"/>
      <c r="D22" s="511"/>
      <c r="E22" s="511"/>
      <c r="F22" s="511"/>
      <c r="G22" s="511"/>
      <c r="H22" s="640"/>
      <c r="I22" s="640"/>
      <c r="J22" s="640"/>
      <c r="K22" s="640"/>
      <c r="L22" s="640"/>
      <c r="M22" s="979"/>
      <c r="N22" s="322"/>
      <c r="O22" s="322"/>
      <c r="P22" s="322"/>
      <c r="Q22" s="322"/>
      <c r="R22" s="322"/>
      <c r="S22" s="322"/>
      <c r="T22" s="322"/>
      <c r="U22" s="322"/>
      <c r="V22" s="322"/>
      <c r="W22" s="324"/>
      <c r="X22" s="324"/>
      <c r="Y22" s="324"/>
    </row>
    <row r="23" spans="1:25" ht="18.75" hidden="1">
      <c r="A23" s="510" t="s">
        <v>428</v>
      </c>
      <c r="B23" s="511"/>
      <c r="C23" s="511"/>
      <c r="D23" s="511"/>
      <c r="E23" s="511"/>
      <c r="F23" s="511"/>
      <c r="G23" s="511"/>
      <c r="H23" s="640"/>
      <c r="I23" s="640"/>
      <c r="J23" s="640"/>
      <c r="K23" s="640"/>
      <c r="L23" s="640"/>
      <c r="M23" s="979"/>
      <c r="N23" s="322"/>
      <c r="O23" s="322"/>
      <c r="P23" s="322"/>
      <c r="Q23" s="322"/>
      <c r="R23" s="322"/>
      <c r="S23" s="322"/>
      <c r="T23" s="322"/>
      <c r="U23" s="322"/>
      <c r="V23" s="322"/>
      <c r="W23" s="324"/>
      <c r="X23" s="324"/>
      <c r="Y23" s="324"/>
    </row>
    <row r="24" spans="1:25" ht="18.75" hidden="1">
      <c r="A24" s="510" t="s">
        <v>429</v>
      </c>
      <c r="B24" s="511"/>
      <c r="C24" s="511"/>
      <c r="D24" s="511"/>
      <c r="E24" s="511"/>
      <c r="F24" s="511"/>
      <c r="G24" s="511"/>
      <c r="H24" s="640"/>
      <c r="I24" s="640"/>
      <c r="J24" s="640"/>
      <c r="K24" s="640"/>
      <c r="L24" s="640"/>
      <c r="M24" s="979"/>
      <c r="N24" s="322"/>
      <c r="O24" s="322"/>
      <c r="P24" s="322"/>
      <c r="Q24" s="322"/>
      <c r="R24" s="322"/>
      <c r="S24" s="322"/>
      <c r="T24" s="322"/>
      <c r="U24" s="322"/>
      <c r="V24" s="322"/>
      <c r="W24" s="324"/>
      <c r="X24" s="324"/>
      <c r="Y24" s="324"/>
    </row>
    <row r="25" spans="1:25" ht="18.75" hidden="1">
      <c r="A25" s="510" t="s">
        <v>482</v>
      </c>
      <c r="B25" s="511"/>
      <c r="C25" s="511"/>
      <c r="D25" s="511"/>
      <c r="E25" s="511"/>
      <c r="F25" s="511"/>
      <c r="G25" s="511"/>
      <c r="H25" s="640"/>
      <c r="I25" s="640"/>
      <c r="J25" s="640"/>
      <c r="K25" s="640"/>
      <c r="L25" s="640"/>
      <c r="M25" s="979"/>
      <c r="N25" s="322"/>
      <c r="O25" s="322"/>
      <c r="P25" s="322"/>
      <c r="Q25" s="322"/>
      <c r="R25" s="322"/>
      <c r="S25" s="322"/>
      <c r="T25" s="322"/>
      <c r="U25" s="322"/>
      <c r="V25" s="322"/>
      <c r="W25" s="324"/>
      <c r="X25" s="324"/>
      <c r="Y25" s="324"/>
    </row>
    <row r="26" spans="1:25" ht="39" customHeight="1" hidden="1">
      <c r="A26" s="510" t="s">
        <v>430</v>
      </c>
      <c r="B26" s="511"/>
      <c r="C26" s="511"/>
      <c r="D26" s="511"/>
      <c r="E26" s="511"/>
      <c r="F26" s="511"/>
      <c r="G26" s="511"/>
      <c r="H26" s="640"/>
      <c r="I26" s="640"/>
      <c r="J26" s="640"/>
      <c r="K26" s="640"/>
      <c r="L26" s="640"/>
      <c r="M26" s="979"/>
      <c r="N26" s="322"/>
      <c r="O26" s="322"/>
      <c r="P26" s="322"/>
      <c r="Q26" s="322"/>
      <c r="R26" s="322"/>
      <c r="S26" s="322"/>
      <c r="T26" s="322"/>
      <c r="U26" s="322"/>
      <c r="V26" s="322"/>
      <c r="W26" s="324"/>
      <c r="X26" s="324"/>
      <c r="Y26" s="324"/>
    </row>
    <row r="27" spans="1:25" ht="17.25" customHeight="1" hidden="1">
      <c r="A27" s="510" t="s">
        <v>431</v>
      </c>
      <c r="B27" s="511"/>
      <c r="C27" s="511"/>
      <c r="D27" s="511"/>
      <c r="E27" s="511"/>
      <c r="F27" s="511"/>
      <c r="G27" s="511"/>
      <c r="H27" s="640"/>
      <c r="I27" s="640"/>
      <c r="J27" s="640"/>
      <c r="K27" s="640"/>
      <c r="L27" s="640"/>
      <c r="M27" s="979"/>
      <c r="N27" s="322"/>
      <c r="O27" s="322"/>
      <c r="P27" s="322"/>
      <c r="Q27" s="322"/>
      <c r="R27" s="322"/>
      <c r="S27" s="322"/>
      <c r="T27" s="322"/>
      <c r="U27" s="322"/>
      <c r="V27" s="322"/>
      <c r="W27" s="324"/>
      <c r="X27" s="324"/>
      <c r="Y27" s="324"/>
    </row>
    <row r="28" spans="1:25" ht="33" customHeight="1">
      <c r="A28" s="325" t="s">
        <v>333</v>
      </c>
      <c r="B28" s="322"/>
      <c r="C28" s="322"/>
      <c r="D28" s="322"/>
      <c r="E28" s="322"/>
      <c r="F28" s="322"/>
      <c r="G28" s="322"/>
      <c r="H28" s="322">
        <v>12000</v>
      </c>
      <c r="I28" s="322">
        <v>12000</v>
      </c>
      <c r="J28" s="322">
        <v>12000</v>
      </c>
      <c r="K28" s="322"/>
      <c r="L28" s="322"/>
      <c r="M28" s="978"/>
      <c r="N28" s="322"/>
      <c r="O28" s="322"/>
      <c r="P28" s="322"/>
      <c r="Q28" s="322"/>
      <c r="R28" s="322"/>
      <c r="S28" s="322"/>
      <c r="T28" s="322"/>
      <c r="U28" s="322"/>
      <c r="V28" s="322"/>
      <c r="W28" s="324"/>
      <c r="X28" s="324"/>
      <c r="Y28" s="324"/>
    </row>
    <row r="29" spans="1:25" ht="18">
      <c r="A29" s="325" t="s">
        <v>436</v>
      </c>
      <c r="B29" s="322"/>
      <c r="C29" s="322"/>
      <c r="D29" s="322"/>
      <c r="E29" s="322"/>
      <c r="F29" s="322"/>
      <c r="G29" s="322"/>
      <c r="H29" s="322">
        <v>250000</v>
      </c>
      <c r="I29" s="322">
        <v>250000</v>
      </c>
      <c r="J29" s="322">
        <v>250000</v>
      </c>
      <c r="K29" s="322"/>
      <c r="L29" s="322"/>
      <c r="M29" s="978"/>
      <c r="N29" s="322"/>
      <c r="O29" s="322"/>
      <c r="P29" s="322"/>
      <c r="Q29" s="322"/>
      <c r="R29" s="322"/>
      <c r="S29" s="322"/>
      <c r="T29" s="322"/>
      <c r="U29" s="322">
        <v>432046</v>
      </c>
      <c r="V29" s="322">
        <v>432046</v>
      </c>
      <c r="W29" s="324">
        <v>432046</v>
      </c>
      <c r="X29" s="324">
        <v>432046</v>
      </c>
      <c r="Y29" s="978">
        <f>+X29/W29</f>
        <v>1</v>
      </c>
    </row>
    <row r="30" spans="1:25" ht="18">
      <c r="A30" s="321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978"/>
      <c r="N30" s="322"/>
      <c r="O30" s="322"/>
      <c r="P30" s="322"/>
      <c r="Q30" s="322"/>
      <c r="R30" s="322"/>
      <c r="S30" s="322"/>
      <c r="T30" s="322"/>
      <c r="U30" s="322"/>
      <c r="V30" s="322"/>
      <c r="W30" s="324"/>
      <c r="X30" s="324"/>
      <c r="Y30" s="324"/>
    </row>
    <row r="31" spans="1:25" ht="18">
      <c r="A31" s="321" t="s">
        <v>342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>
        <v>17825</v>
      </c>
      <c r="L31" s="322">
        <v>17825</v>
      </c>
      <c r="M31" s="978">
        <f aca="true" t="shared" si="0" ref="M31:M36">+L31/K31</f>
        <v>1</v>
      </c>
      <c r="N31" s="322"/>
      <c r="O31" s="322"/>
      <c r="P31" s="322"/>
      <c r="Q31" s="322"/>
      <c r="R31" s="322"/>
      <c r="S31" s="322"/>
      <c r="T31" s="322"/>
      <c r="U31" s="322"/>
      <c r="V31" s="322"/>
      <c r="W31" s="324"/>
      <c r="X31" s="324"/>
      <c r="Y31" s="324"/>
    </row>
    <row r="32" spans="1:25" ht="30.75" hidden="1">
      <c r="A32" s="512" t="s">
        <v>487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980" t="e">
        <f t="shared" si="0"/>
        <v>#DIV/0!</v>
      </c>
      <c r="N32" s="329"/>
      <c r="O32" s="329"/>
      <c r="P32" s="329"/>
      <c r="Q32" s="329"/>
      <c r="R32" s="329"/>
      <c r="S32" s="329"/>
      <c r="T32" s="329"/>
      <c r="U32" s="329"/>
      <c r="V32" s="329"/>
      <c r="W32" s="438"/>
      <c r="X32" s="438"/>
      <c r="Y32" s="438"/>
    </row>
    <row r="33" spans="1:25" ht="18">
      <c r="A33" s="512" t="s">
        <v>464</v>
      </c>
      <c r="B33" s="329"/>
      <c r="C33" s="329"/>
      <c r="D33" s="329"/>
      <c r="E33" s="329"/>
      <c r="F33" s="329"/>
      <c r="G33" s="329"/>
      <c r="H33" s="329">
        <v>43000</v>
      </c>
      <c r="I33" s="329">
        <v>43000</v>
      </c>
      <c r="J33" s="329">
        <v>43000</v>
      </c>
      <c r="K33" s="329">
        <v>43000</v>
      </c>
      <c r="L33" s="329">
        <v>43000</v>
      </c>
      <c r="M33" s="980">
        <f t="shared" si="0"/>
        <v>1</v>
      </c>
      <c r="N33" s="329"/>
      <c r="O33" s="329"/>
      <c r="P33" s="329"/>
      <c r="Q33" s="329"/>
      <c r="R33" s="329"/>
      <c r="S33" s="329"/>
      <c r="T33" s="329"/>
      <c r="U33" s="329"/>
      <c r="V33" s="329"/>
      <c r="W33" s="438"/>
      <c r="X33" s="438"/>
      <c r="Y33" s="438"/>
    </row>
    <row r="34" spans="1:25" ht="18" hidden="1">
      <c r="A34" s="512" t="s">
        <v>509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980" t="e">
        <f t="shared" si="0"/>
        <v>#DIV/0!</v>
      </c>
      <c r="N34" s="329"/>
      <c r="O34" s="329"/>
      <c r="P34" s="329"/>
      <c r="Q34" s="329"/>
      <c r="R34" s="329"/>
      <c r="S34" s="329"/>
      <c r="T34" s="329"/>
      <c r="U34" s="329"/>
      <c r="V34" s="329"/>
      <c r="W34" s="438"/>
      <c r="X34" s="438"/>
      <c r="Y34" s="438"/>
    </row>
    <row r="35" spans="1:25" ht="18">
      <c r="A35" s="325" t="s">
        <v>398</v>
      </c>
      <c r="B35" s="329"/>
      <c r="C35" s="329"/>
      <c r="D35" s="329"/>
      <c r="E35" s="329"/>
      <c r="F35" s="329"/>
      <c r="G35" s="329"/>
      <c r="H35" s="329"/>
      <c r="I35" s="329">
        <v>30000</v>
      </c>
      <c r="J35" s="329">
        <v>30000</v>
      </c>
      <c r="K35" s="329">
        <v>30000</v>
      </c>
      <c r="L35" s="329">
        <v>30000</v>
      </c>
      <c r="M35" s="980">
        <f t="shared" si="0"/>
        <v>1</v>
      </c>
      <c r="N35" s="329"/>
      <c r="O35" s="329"/>
      <c r="P35" s="329"/>
      <c r="Q35" s="329"/>
      <c r="R35" s="329"/>
      <c r="S35" s="329"/>
      <c r="T35" s="329"/>
      <c r="U35" s="329"/>
      <c r="V35" s="329"/>
      <c r="W35" s="438"/>
      <c r="X35" s="438"/>
      <c r="Y35" s="438"/>
    </row>
    <row r="36" spans="1:25" ht="23.25" customHeight="1" thickBot="1">
      <c r="A36" s="443" t="s">
        <v>290</v>
      </c>
      <c r="B36" s="444"/>
      <c r="C36" s="444"/>
      <c r="D36" s="444"/>
      <c r="E36" s="444"/>
      <c r="F36" s="444"/>
      <c r="G36" s="444"/>
      <c r="H36" s="444">
        <f>H12+H15+H18+H28+H29+H35+H32+H16+H33</f>
        <v>1973000</v>
      </c>
      <c r="I36" s="444">
        <f>I12+I15+I18+I28+I29+I35+I32+I16+I33</f>
        <v>2003000</v>
      </c>
      <c r="J36" s="444">
        <f>J12+J15+J18+J28+J29+J35+J32+J16+J33</f>
        <v>2003000</v>
      </c>
      <c r="K36" s="444">
        <f>K12+K15+K18+K28+K29+K35+K32+K16+K33+K34+K31</f>
        <v>1640558</v>
      </c>
      <c r="L36" s="444">
        <f>L12+L15+L18+L28+L29+L35+L32+L16+L33+L34+L31</f>
        <v>1640558</v>
      </c>
      <c r="M36" s="981">
        <f t="shared" si="0"/>
        <v>1</v>
      </c>
      <c r="N36" s="444"/>
      <c r="O36" s="444"/>
      <c r="P36" s="444">
        <f>SUM(P12:P31)</f>
        <v>0</v>
      </c>
      <c r="Q36" s="444">
        <f>SUM(Q12:Q31)</f>
        <v>0</v>
      </c>
      <c r="R36" s="444">
        <f>SUM(R12:R31)</f>
        <v>0</v>
      </c>
      <c r="S36" s="444">
        <f>SUM(S12:S31)</f>
        <v>0</v>
      </c>
      <c r="T36" s="444">
        <f>SUM(T17:T31)</f>
        <v>1570000</v>
      </c>
      <c r="U36" s="444">
        <f>SUM(U17:U31)+U12</f>
        <v>2002046</v>
      </c>
      <c r="V36" s="444">
        <f>SUM(V17:V31)+V12</f>
        <v>2002046</v>
      </c>
      <c r="W36" s="445">
        <f>SUM(W17:W31)</f>
        <v>1632046</v>
      </c>
      <c r="X36" s="445">
        <f>SUM(X17:X31)</f>
        <v>1632046</v>
      </c>
      <c r="Y36" s="981">
        <f>+X36/W36</f>
        <v>1</v>
      </c>
    </row>
    <row r="37" spans="1:24" ht="15">
      <c r="A37" s="326"/>
      <c r="B37" s="327"/>
      <c r="C37" s="327"/>
      <c r="D37" s="327"/>
      <c r="E37" s="327"/>
      <c r="F37" s="327"/>
      <c r="G37" s="327"/>
      <c r="H37" s="328"/>
      <c r="I37" s="288"/>
      <c r="J37" s="328"/>
      <c r="K37" s="328"/>
      <c r="L37" s="328"/>
      <c r="M37" s="328"/>
      <c r="N37" s="327"/>
      <c r="O37" s="327"/>
      <c r="R37" s="288"/>
      <c r="S37" s="288"/>
      <c r="X37" s="288"/>
    </row>
    <row r="38" spans="1:15" ht="14.25" customHeight="1">
      <c r="A38" s="1403" t="s">
        <v>334</v>
      </c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660"/>
    </row>
    <row r="39" ht="13.5" thickBot="1"/>
    <row r="40" spans="1:27" ht="29.25" customHeight="1">
      <c r="A40" s="1404" t="s">
        <v>335</v>
      </c>
      <c r="B40" s="1408" t="s">
        <v>326</v>
      </c>
      <c r="C40" s="1409"/>
      <c r="D40" s="1409"/>
      <c r="E40" s="1409"/>
      <c r="F40" s="1409"/>
      <c r="G40" s="1409"/>
      <c r="H40" s="1409"/>
      <c r="I40" s="1409"/>
      <c r="J40" s="1409"/>
      <c r="K40" s="1409"/>
      <c r="L40" s="1409"/>
      <c r="M40" s="1410"/>
      <c r="N40" s="1408" t="s">
        <v>467</v>
      </c>
      <c r="O40" s="1409"/>
      <c r="P40" s="1409"/>
      <c r="Q40" s="1409"/>
      <c r="R40" s="1409"/>
      <c r="S40" s="1409"/>
      <c r="T40" s="1409"/>
      <c r="U40" s="1409"/>
      <c r="V40" s="1409"/>
      <c r="W40" s="1409"/>
      <c r="X40" s="1409"/>
      <c r="Y40" s="1409"/>
      <c r="Z40" s="982"/>
      <c r="AA40" s="983"/>
    </row>
    <row r="41" spans="1:27" ht="36" customHeight="1">
      <c r="A41" s="1405"/>
      <c r="B41" s="1419" t="s">
        <v>327</v>
      </c>
      <c r="C41" s="1420"/>
      <c r="D41" s="1420"/>
      <c r="E41" s="1420"/>
      <c r="F41" s="1420"/>
      <c r="G41" s="1421"/>
      <c r="H41" s="1419" t="s">
        <v>468</v>
      </c>
      <c r="I41" s="1420"/>
      <c r="J41" s="1420"/>
      <c r="K41" s="1420"/>
      <c r="L41" s="1420"/>
      <c r="M41" s="1421"/>
      <c r="N41" s="1411" t="s">
        <v>327</v>
      </c>
      <c r="O41" s="1411"/>
      <c r="P41" s="1411"/>
      <c r="Q41" s="1411"/>
      <c r="R41" s="768"/>
      <c r="S41" s="768"/>
      <c r="T41" s="1422" t="s">
        <v>468</v>
      </c>
      <c r="U41" s="1423"/>
      <c r="V41" s="1423"/>
      <c r="W41" s="1423"/>
      <c r="X41" s="1423"/>
      <c r="Y41" s="1423"/>
      <c r="Z41" s="1423"/>
      <c r="AA41" s="1424"/>
    </row>
    <row r="42" spans="1:23" ht="29.25" customHeight="1" hidden="1">
      <c r="A42" s="319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18"/>
      <c r="O42" s="318"/>
      <c r="P42" s="318" t="s">
        <v>7</v>
      </c>
      <c r="Q42" s="514" t="s">
        <v>329</v>
      </c>
      <c r="R42" s="318" t="s">
        <v>8</v>
      </c>
      <c r="S42" s="318" t="s">
        <v>9</v>
      </c>
      <c r="T42" s="724"/>
      <c r="U42" s="724"/>
      <c r="V42" s="724"/>
      <c r="W42" s="437"/>
    </row>
    <row r="43" spans="1:23" ht="18" customHeight="1" hidden="1">
      <c r="A43" s="321" t="s">
        <v>336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18"/>
      <c r="O43" s="318"/>
      <c r="P43" s="318"/>
      <c r="Q43" s="514"/>
      <c r="R43" s="318"/>
      <c r="S43" s="318"/>
      <c r="T43" s="318"/>
      <c r="U43" s="318"/>
      <c r="V43" s="724"/>
      <c r="W43" s="437"/>
    </row>
    <row r="44" spans="1:23" ht="18" customHeight="1" hidden="1">
      <c r="A44" s="325" t="s">
        <v>337</v>
      </c>
      <c r="B44" s="329"/>
      <c r="C44" s="329"/>
      <c r="D44" s="329"/>
      <c r="E44" s="329"/>
      <c r="F44" s="329"/>
      <c r="G44" s="329"/>
      <c r="H44" s="329"/>
      <c r="I44" s="329"/>
      <c r="J44" s="766"/>
      <c r="K44" s="772"/>
      <c r="L44" s="772"/>
      <c r="M44" s="772"/>
      <c r="N44" s="1417"/>
      <c r="O44" s="1417"/>
      <c r="P44" s="1417"/>
      <c r="Q44" s="1417"/>
      <c r="R44" s="1417"/>
      <c r="S44" s="1417"/>
      <c r="T44" s="1417"/>
      <c r="U44" s="1417"/>
      <c r="V44" s="724"/>
      <c r="W44" s="437"/>
    </row>
    <row r="45" spans="1:25" ht="15.75">
      <c r="A45" s="513"/>
      <c r="B45" s="318" t="s">
        <v>328</v>
      </c>
      <c r="C45" s="318" t="s">
        <v>7</v>
      </c>
      <c r="D45" s="318" t="s">
        <v>485</v>
      </c>
      <c r="E45" s="318" t="s">
        <v>496</v>
      </c>
      <c r="F45" s="318" t="s">
        <v>652</v>
      </c>
      <c r="G45" s="318" t="s">
        <v>650</v>
      </c>
      <c r="H45" s="318" t="s">
        <v>328</v>
      </c>
      <c r="I45" s="318" t="s">
        <v>7</v>
      </c>
      <c r="J45" s="318" t="s">
        <v>485</v>
      </c>
      <c r="K45" s="318" t="s">
        <v>496</v>
      </c>
      <c r="L45" s="318" t="s">
        <v>652</v>
      </c>
      <c r="M45" s="318" t="s">
        <v>650</v>
      </c>
      <c r="N45" s="318" t="s">
        <v>328</v>
      </c>
      <c r="O45" s="318" t="s">
        <v>7</v>
      </c>
      <c r="P45" s="318" t="s">
        <v>485</v>
      </c>
      <c r="Q45" s="318" t="s">
        <v>496</v>
      </c>
      <c r="R45" s="318"/>
      <c r="S45" s="318"/>
      <c r="T45" s="318" t="s">
        <v>328</v>
      </c>
      <c r="U45" s="318" t="s">
        <v>7</v>
      </c>
      <c r="V45" s="318" t="s">
        <v>485</v>
      </c>
      <c r="W45" s="318" t="s">
        <v>496</v>
      </c>
      <c r="X45" s="318" t="s">
        <v>496</v>
      </c>
      <c r="Y45" s="722" t="s">
        <v>496</v>
      </c>
    </row>
    <row r="46" spans="1:25" ht="18">
      <c r="A46" s="325" t="s">
        <v>640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>
        <v>20000</v>
      </c>
      <c r="L46" s="329">
        <v>20000</v>
      </c>
      <c r="M46" s="978">
        <f>+L46/K46</f>
        <v>1</v>
      </c>
      <c r="N46" s="322"/>
      <c r="O46" s="322"/>
      <c r="P46" s="322"/>
      <c r="Q46" s="322"/>
      <c r="R46" s="322"/>
      <c r="S46" s="322"/>
      <c r="T46" s="724"/>
      <c r="U46" s="724"/>
      <c r="V46" s="724"/>
      <c r="W46" s="724"/>
      <c r="X46" s="724"/>
      <c r="Y46" s="437"/>
    </row>
    <row r="47" spans="1:25" ht="30.75">
      <c r="A47" s="325" t="s">
        <v>556</v>
      </c>
      <c r="B47" s="329"/>
      <c r="C47" s="329"/>
      <c r="D47" s="329"/>
      <c r="E47" s="329"/>
      <c r="F47" s="329"/>
      <c r="G47" s="329"/>
      <c r="H47" s="329">
        <v>233280</v>
      </c>
      <c r="I47" s="329">
        <v>233280</v>
      </c>
      <c r="J47" s="329">
        <v>233280</v>
      </c>
      <c r="K47" s="329">
        <v>241917</v>
      </c>
      <c r="L47" s="329">
        <v>241917</v>
      </c>
      <c r="M47" s="978">
        <f>+L47/K47</f>
        <v>1</v>
      </c>
      <c r="N47" s="322"/>
      <c r="O47" s="322"/>
      <c r="P47" s="322"/>
      <c r="Q47" s="322"/>
      <c r="R47" s="322"/>
      <c r="S47" s="322"/>
      <c r="T47" s="724"/>
      <c r="U47" s="724"/>
      <c r="V47" s="724"/>
      <c r="W47" s="724"/>
      <c r="X47" s="724"/>
      <c r="Y47" s="437"/>
    </row>
    <row r="48" spans="1:25" ht="18" hidden="1">
      <c r="A48" s="325" t="s">
        <v>339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2"/>
      <c r="O48" s="322"/>
      <c r="P48" s="322"/>
      <c r="Q48" s="322"/>
      <c r="R48" s="322"/>
      <c r="S48" s="322"/>
      <c r="T48" s="724"/>
      <c r="U48" s="724"/>
      <c r="V48" s="724"/>
      <c r="W48" s="724"/>
      <c r="X48" s="724"/>
      <c r="Y48" s="437"/>
    </row>
    <row r="49" spans="1:25" ht="18" hidden="1">
      <c r="A49" s="325" t="s">
        <v>462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2"/>
      <c r="O49" s="322"/>
      <c r="P49" s="322"/>
      <c r="Q49" s="322"/>
      <c r="R49" s="322"/>
      <c r="S49" s="322"/>
      <c r="T49" s="724"/>
      <c r="U49" s="724"/>
      <c r="V49" s="724"/>
      <c r="W49" s="724"/>
      <c r="X49" s="724"/>
      <c r="Y49" s="437"/>
    </row>
    <row r="50" spans="1:25" ht="18">
      <c r="A50" s="325" t="s">
        <v>463</v>
      </c>
      <c r="B50" s="329">
        <v>93600</v>
      </c>
      <c r="C50" s="329">
        <v>93600</v>
      </c>
      <c r="D50" s="329">
        <v>93600</v>
      </c>
      <c r="E50" s="329">
        <v>92690</v>
      </c>
      <c r="F50" s="329">
        <v>92690</v>
      </c>
      <c r="G50" s="978">
        <f>+F50/E50</f>
        <v>1</v>
      </c>
      <c r="H50" s="329"/>
      <c r="I50" s="329"/>
      <c r="J50" s="329"/>
      <c r="K50" s="329"/>
      <c r="L50" s="329"/>
      <c r="M50" s="329"/>
      <c r="N50" s="322"/>
      <c r="O50" s="322"/>
      <c r="P50" s="322"/>
      <c r="Q50" s="322"/>
      <c r="R50" s="322"/>
      <c r="S50" s="322"/>
      <c r="T50" s="724"/>
      <c r="U50" s="724"/>
      <c r="V50" s="724"/>
      <c r="W50" s="724"/>
      <c r="X50" s="724"/>
      <c r="Y50" s="437"/>
    </row>
    <row r="51" spans="1:25" ht="18">
      <c r="A51" s="325" t="s">
        <v>342</v>
      </c>
      <c r="B51" s="329"/>
      <c r="C51" s="329"/>
      <c r="D51" s="329"/>
      <c r="E51" s="329"/>
      <c r="F51" s="329"/>
      <c r="G51" s="329"/>
      <c r="H51" s="329">
        <v>17825</v>
      </c>
      <c r="I51" s="329">
        <v>17825</v>
      </c>
      <c r="J51" s="329">
        <v>17825</v>
      </c>
      <c r="K51" s="329"/>
      <c r="L51" s="329"/>
      <c r="M51" s="329"/>
      <c r="N51" s="322"/>
      <c r="O51" s="322"/>
      <c r="P51" s="322"/>
      <c r="Q51" s="322"/>
      <c r="R51" s="322"/>
      <c r="S51" s="322"/>
      <c r="T51" s="724"/>
      <c r="U51" s="724"/>
      <c r="V51" s="724"/>
      <c r="W51" s="724"/>
      <c r="X51" s="724"/>
      <c r="Y51" s="437"/>
    </row>
    <row r="52" spans="1:25" ht="30.75">
      <c r="A52" s="325" t="s">
        <v>641</v>
      </c>
      <c r="B52" s="329"/>
      <c r="C52" s="329"/>
      <c r="D52" s="329"/>
      <c r="E52" s="329">
        <v>35850</v>
      </c>
      <c r="F52" s="329">
        <v>35850</v>
      </c>
      <c r="G52" s="978">
        <f>+F52/E52</f>
        <v>1</v>
      </c>
      <c r="H52" s="329"/>
      <c r="I52" s="329"/>
      <c r="J52" s="329"/>
      <c r="K52" s="329"/>
      <c r="L52" s="329"/>
      <c r="M52" s="329"/>
      <c r="N52" s="322"/>
      <c r="O52" s="322"/>
      <c r="P52" s="322"/>
      <c r="Q52" s="322"/>
      <c r="R52" s="322"/>
      <c r="S52" s="322"/>
      <c r="T52" s="724"/>
      <c r="U52" s="724"/>
      <c r="V52" s="724"/>
      <c r="W52" s="724"/>
      <c r="X52" s="724"/>
      <c r="Y52" s="437"/>
    </row>
    <row r="53" spans="1:25" ht="30.75">
      <c r="A53" s="325" t="s">
        <v>476</v>
      </c>
      <c r="B53" s="329"/>
      <c r="C53" s="329"/>
      <c r="D53" s="329"/>
      <c r="E53" s="329"/>
      <c r="F53" s="329"/>
      <c r="G53" s="329"/>
      <c r="H53" s="329">
        <v>50000</v>
      </c>
      <c r="I53" s="329">
        <v>50000</v>
      </c>
      <c r="J53" s="329">
        <v>50000</v>
      </c>
      <c r="K53" s="329"/>
      <c r="L53" s="329"/>
      <c r="M53" s="329"/>
      <c r="N53" s="322"/>
      <c r="O53" s="322"/>
      <c r="P53" s="322"/>
      <c r="Q53" s="322"/>
      <c r="R53" s="322"/>
      <c r="S53" s="322"/>
      <c r="T53" s="724"/>
      <c r="U53" s="724"/>
      <c r="V53" s="724"/>
      <c r="W53" s="724"/>
      <c r="X53" s="724"/>
      <c r="Y53" s="437"/>
    </row>
    <row r="54" spans="1:25" ht="39" customHeight="1">
      <c r="A54" s="321" t="s">
        <v>517</v>
      </c>
      <c r="B54" s="329">
        <v>1400000</v>
      </c>
      <c r="C54" s="329">
        <v>1400000</v>
      </c>
      <c r="D54" s="329">
        <v>1400000</v>
      </c>
      <c r="E54" s="329">
        <v>308796</v>
      </c>
      <c r="F54" s="329">
        <v>308796</v>
      </c>
      <c r="G54" s="978">
        <f>+F54/E54</f>
        <v>1</v>
      </c>
      <c r="H54" s="329"/>
      <c r="I54" s="329"/>
      <c r="J54" s="329"/>
      <c r="K54" s="329"/>
      <c r="L54" s="329"/>
      <c r="M54" s="329"/>
      <c r="N54" s="322"/>
      <c r="O54" s="322"/>
      <c r="P54" s="322"/>
      <c r="Q54" s="322"/>
      <c r="R54" s="322"/>
      <c r="S54" s="322"/>
      <c r="T54" s="724"/>
      <c r="U54" s="724"/>
      <c r="V54" s="724"/>
      <c r="W54" s="724"/>
      <c r="X54" s="724"/>
      <c r="Y54" s="437"/>
    </row>
    <row r="55" spans="1:25" ht="30.75" hidden="1">
      <c r="A55" s="321" t="s">
        <v>527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2"/>
      <c r="O55" s="322"/>
      <c r="P55" s="322"/>
      <c r="Q55" s="322"/>
      <c r="R55" s="322"/>
      <c r="S55" s="322"/>
      <c r="T55" s="724"/>
      <c r="U55" s="724"/>
      <c r="V55" s="724"/>
      <c r="W55" s="724"/>
      <c r="X55" s="724"/>
      <c r="Y55" s="437"/>
    </row>
    <row r="56" spans="1:25" ht="46.5" customHeight="1">
      <c r="A56" s="325" t="s">
        <v>508</v>
      </c>
      <c r="B56" s="329">
        <v>332000</v>
      </c>
      <c r="C56" s="329">
        <v>332000</v>
      </c>
      <c r="D56" s="329">
        <v>332000</v>
      </c>
      <c r="E56" s="329">
        <v>335000</v>
      </c>
      <c r="F56" s="329">
        <v>335000</v>
      </c>
      <c r="G56" s="329"/>
      <c r="H56" s="329"/>
      <c r="I56" s="329"/>
      <c r="J56" s="329"/>
      <c r="K56" s="329"/>
      <c r="L56" s="329"/>
      <c r="M56" s="329"/>
      <c r="N56" s="322"/>
      <c r="O56" s="322"/>
      <c r="P56" s="322"/>
      <c r="Q56" s="322"/>
      <c r="R56" s="322"/>
      <c r="S56" s="322"/>
      <c r="T56" s="724"/>
      <c r="U56" s="724"/>
      <c r="V56" s="724"/>
      <c r="W56" s="724"/>
      <c r="X56" s="724"/>
      <c r="Y56" s="437"/>
    </row>
    <row r="57" spans="1:25" ht="47.25" customHeight="1">
      <c r="A57" s="325" t="s">
        <v>598</v>
      </c>
      <c r="B57" s="329"/>
      <c r="C57" s="329"/>
      <c r="D57" s="329"/>
      <c r="E57" s="329"/>
      <c r="F57" s="329"/>
      <c r="G57" s="329"/>
      <c r="H57" s="329"/>
      <c r="I57" s="329">
        <v>1610400</v>
      </c>
      <c r="J57" s="329">
        <v>1610400</v>
      </c>
      <c r="K57" s="329">
        <v>525800</v>
      </c>
      <c r="L57" s="329">
        <v>525800</v>
      </c>
      <c r="M57" s="329"/>
      <c r="N57" s="322"/>
      <c r="O57" s="322"/>
      <c r="P57" s="322"/>
      <c r="Q57" s="322"/>
      <c r="R57" s="322"/>
      <c r="S57" s="322"/>
      <c r="T57" s="724"/>
      <c r="U57" s="724"/>
      <c r="V57" s="724"/>
      <c r="W57" s="724"/>
      <c r="X57" s="724"/>
      <c r="Y57" s="437"/>
    </row>
    <row r="58" spans="1:25" ht="39" customHeight="1" hidden="1">
      <c r="A58" s="325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2"/>
      <c r="O58" s="322"/>
      <c r="P58" s="322"/>
      <c r="Q58" s="322"/>
      <c r="R58" s="322"/>
      <c r="S58" s="322"/>
      <c r="T58" s="724"/>
      <c r="U58" s="724"/>
      <c r="V58" s="724"/>
      <c r="W58" s="724"/>
      <c r="X58" s="724"/>
      <c r="Y58" s="437"/>
    </row>
    <row r="59" spans="1:25" ht="39" customHeight="1" hidden="1">
      <c r="A59" s="32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2"/>
      <c r="O59" s="322"/>
      <c r="P59" s="322"/>
      <c r="Q59" s="322"/>
      <c r="R59" s="322"/>
      <c r="S59" s="322"/>
      <c r="T59" s="724"/>
      <c r="U59" s="724"/>
      <c r="V59" s="724"/>
      <c r="W59" s="724"/>
      <c r="X59" s="724"/>
      <c r="Y59" s="437"/>
    </row>
    <row r="60" spans="1:25" ht="39" customHeight="1" hidden="1">
      <c r="A60" s="325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2"/>
      <c r="O60" s="322"/>
      <c r="P60" s="322"/>
      <c r="Q60" s="322"/>
      <c r="R60" s="322"/>
      <c r="S60" s="322"/>
      <c r="T60" s="724"/>
      <c r="U60" s="724"/>
      <c r="V60" s="724"/>
      <c r="W60" s="724"/>
      <c r="X60" s="724"/>
      <c r="Y60" s="437"/>
    </row>
    <row r="61" spans="1:25" ht="39" customHeight="1" hidden="1">
      <c r="A61" s="325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2"/>
      <c r="O61" s="322"/>
      <c r="P61" s="322"/>
      <c r="Q61" s="322"/>
      <c r="R61" s="322"/>
      <c r="S61" s="322"/>
      <c r="T61" s="724"/>
      <c r="U61" s="724"/>
      <c r="V61" s="724"/>
      <c r="W61" s="724"/>
      <c r="X61" s="724"/>
      <c r="Y61" s="437"/>
    </row>
    <row r="62" spans="1:25" ht="39" customHeight="1" hidden="1">
      <c r="A62" s="325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2"/>
      <c r="O62" s="322"/>
      <c r="P62" s="322"/>
      <c r="Q62" s="322"/>
      <c r="R62" s="322"/>
      <c r="S62" s="322"/>
      <c r="T62" s="724"/>
      <c r="U62" s="724"/>
      <c r="V62" s="724"/>
      <c r="W62" s="724"/>
      <c r="X62" s="724"/>
      <c r="Y62" s="437"/>
    </row>
    <row r="63" spans="1:25" ht="39" customHeight="1" hidden="1">
      <c r="A63" s="325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2"/>
      <c r="O63" s="322"/>
      <c r="P63" s="322"/>
      <c r="Q63" s="322"/>
      <c r="R63" s="322"/>
      <c r="S63" s="322"/>
      <c r="T63" s="724"/>
      <c r="U63" s="724"/>
      <c r="V63" s="724"/>
      <c r="W63" s="724"/>
      <c r="X63" s="724"/>
      <c r="Y63" s="437"/>
    </row>
    <row r="64" spans="1:25" s="330" customFormat="1" ht="27" customHeight="1" thickBot="1">
      <c r="A64" s="440" t="s">
        <v>290</v>
      </c>
      <c r="B64" s="441">
        <f aca="true" t="shared" si="1" ref="B64:K64">SUM(B46:B63)</f>
        <v>1825600</v>
      </c>
      <c r="C64" s="441">
        <f t="shared" si="1"/>
        <v>1825600</v>
      </c>
      <c r="D64" s="441">
        <f t="shared" si="1"/>
        <v>1825600</v>
      </c>
      <c r="E64" s="441">
        <f t="shared" si="1"/>
        <v>772336</v>
      </c>
      <c r="F64" s="441">
        <f>SUM(F46:F63)</f>
        <v>772336</v>
      </c>
      <c r="G64" s="981">
        <f>+F64/E64</f>
        <v>1</v>
      </c>
      <c r="H64" s="441">
        <f t="shared" si="1"/>
        <v>301105</v>
      </c>
      <c r="I64" s="441">
        <f t="shared" si="1"/>
        <v>1911505</v>
      </c>
      <c r="J64" s="441">
        <f t="shared" si="1"/>
        <v>1911505</v>
      </c>
      <c r="K64" s="441">
        <f t="shared" si="1"/>
        <v>787717</v>
      </c>
      <c r="L64" s="441">
        <f>SUM(L46:L63)</f>
        <v>787717</v>
      </c>
      <c r="M64" s="981">
        <f>+L64/K64</f>
        <v>1</v>
      </c>
      <c r="N64" s="441"/>
      <c r="O64" s="441"/>
      <c r="P64" s="441"/>
      <c r="Q64" s="441"/>
      <c r="R64" s="441"/>
      <c r="S64" s="441"/>
      <c r="T64" s="725"/>
      <c r="U64" s="725"/>
      <c r="V64" s="725"/>
      <c r="W64" s="725"/>
      <c r="X64" s="725"/>
      <c r="Y64" s="442"/>
    </row>
    <row r="65" spans="8:13" ht="12.75" hidden="1">
      <c r="H65" s="288">
        <f>SUM(B64:H64)</f>
        <v>7322578</v>
      </c>
      <c r="I65" s="288"/>
      <c r="J65" s="288"/>
      <c r="K65" s="288"/>
      <c r="L65" s="288"/>
      <c r="M65" s="288"/>
    </row>
    <row r="66" spans="8:13" ht="12.75" hidden="1">
      <c r="H66" s="288">
        <f>'4.sz.m.ÖNK kiadás'!F14</f>
        <v>2126705</v>
      </c>
      <c r="I66" s="288"/>
      <c r="J66" s="288"/>
      <c r="K66" s="288"/>
      <c r="L66" s="288"/>
      <c r="M66" s="288"/>
    </row>
    <row r="67" spans="1:7" ht="15.75" hidden="1">
      <c r="A67" s="1415" t="s">
        <v>434</v>
      </c>
      <c r="B67" s="1415"/>
      <c r="C67" s="657"/>
      <c r="D67" s="657"/>
      <c r="E67" s="657"/>
      <c r="F67" s="657"/>
      <c r="G67" s="657"/>
    </row>
    <row r="68" spans="1:15" ht="14.25" hidden="1">
      <c r="A68" s="1402" t="s">
        <v>435</v>
      </c>
      <c r="B68" s="1402"/>
      <c r="C68" s="1402"/>
      <c r="D68" s="1402"/>
      <c r="E68" s="1402"/>
      <c r="F68" s="1402"/>
      <c r="G68" s="1402"/>
      <c r="H68" s="1402"/>
      <c r="I68" s="1402"/>
      <c r="J68" s="1402"/>
      <c r="K68" s="1402"/>
      <c r="L68" s="1402"/>
      <c r="M68" s="1402"/>
      <c r="N68" s="1402"/>
      <c r="O68" s="658"/>
    </row>
    <row r="69" ht="12.75" hidden="1"/>
    <row r="70" spans="1:20" ht="15.75" hidden="1">
      <c r="A70" s="1404" t="s">
        <v>325</v>
      </c>
      <c r="B70" s="1409" t="s">
        <v>326</v>
      </c>
      <c r="C70" s="1409"/>
      <c r="D70" s="1409"/>
      <c r="E70" s="1409"/>
      <c r="F70" s="1409"/>
      <c r="G70" s="1409"/>
      <c r="H70" s="1410"/>
      <c r="I70" s="656"/>
      <c r="J70" s="656"/>
      <c r="K70" s="656"/>
      <c r="L70" s="656"/>
      <c r="M70" s="656"/>
      <c r="N70" s="1413" t="s">
        <v>467</v>
      </c>
      <c r="O70" s="1413"/>
      <c r="P70" s="1413"/>
      <c r="Q70" s="1413"/>
      <c r="R70" s="1413"/>
      <c r="S70" s="1413"/>
      <c r="T70" s="1414"/>
    </row>
    <row r="71" spans="1:20" ht="31.5" hidden="1">
      <c r="A71" s="1405"/>
      <c r="B71" s="631" t="s">
        <v>327</v>
      </c>
      <c r="C71" s="631"/>
      <c r="D71" s="631"/>
      <c r="E71" s="631"/>
      <c r="F71" s="631"/>
      <c r="G71" s="631"/>
      <c r="H71" s="634" t="s">
        <v>468</v>
      </c>
      <c r="I71" s="634"/>
      <c r="J71" s="634"/>
      <c r="K71" s="634"/>
      <c r="L71" s="634"/>
      <c r="M71" s="634"/>
      <c r="N71" s="634" t="s">
        <v>327</v>
      </c>
      <c r="O71" s="634"/>
      <c r="P71" s="1411" t="s">
        <v>468</v>
      </c>
      <c r="Q71" s="1411"/>
      <c r="R71" s="1411"/>
      <c r="S71" s="1411"/>
      <c r="T71" s="1412"/>
    </row>
    <row r="72" spans="1:20" ht="15.75" hidden="1">
      <c r="A72" s="513"/>
      <c r="B72" s="318" t="s">
        <v>328</v>
      </c>
      <c r="C72" s="318"/>
      <c r="D72" s="318"/>
      <c r="E72" s="318"/>
      <c r="F72" s="318"/>
      <c r="G72" s="318"/>
      <c r="H72" s="318" t="s">
        <v>328</v>
      </c>
      <c r="I72" s="318"/>
      <c r="J72" s="318"/>
      <c r="K72" s="318"/>
      <c r="L72" s="318"/>
      <c r="M72" s="318"/>
      <c r="N72" s="318" t="s">
        <v>328</v>
      </c>
      <c r="O72" s="318"/>
      <c r="P72" s="318"/>
      <c r="Q72" s="514"/>
      <c r="R72" s="318"/>
      <c r="S72" s="318"/>
      <c r="T72" s="318" t="s">
        <v>328</v>
      </c>
    </row>
    <row r="73" spans="1:20" ht="18" hidden="1">
      <c r="A73" s="325" t="s">
        <v>436</v>
      </c>
      <c r="B73" s="329"/>
      <c r="C73" s="329"/>
      <c r="D73" s="329"/>
      <c r="E73" s="329"/>
      <c r="F73" s="329"/>
      <c r="G73" s="329"/>
      <c r="H73" s="596"/>
      <c r="I73" s="596"/>
      <c r="J73" s="596"/>
      <c r="K73" s="596"/>
      <c r="L73" s="596"/>
      <c r="M73" s="596"/>
      <c r="N73" s="322"/>
      <c r="O73" s="322"/>
      <c r="P73" s="322"/>
      <c r="Q73" s="322"/>
      <c r="R73" s="322"/>
      <c r="S73" s="322"/>
      <c r="T73" s="322"/>
    </row>
    <row r="74" spans="1:20" ht="18" customHeight="1" hidden="1">
      <c r="A74" s="325" t="s">
        <v>338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2"/>
      <c r="O74" s="322"/>
      <c r="P74" s="322"/>
      <c r="Q74" s="322"/>
      <c r="R74" s="322"/>
      <c r="S74" s="322"/>
      <c r="T74" s="322"/>
    </row>
    <row r="75" spans="1:20" ht="18" customHeight="1" hidden="1">
      <c r="A75" s="325" t="s">
        <v>339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2"/>
      <c r="O75" s="322"/>
      <c r="P75" s="322"/>
      <c r="Q75" s="322"/>
      <c r="R75" s="322"/>
      <c r="S75" s="322"/>
      <c r="T75" s="322"/>
    </row>
    <row r="76" spans="1:20" ht="18" customHeight="1" hidden="1">
      <c r="A76" s="325" t="s">
        <v>340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2"/>
      <c r="O76" s="322"/>
      <c r="P76" s="322"/>
      <c r="Q76" s="322"/>
      <c r="R76" s="322"/>
      <c r="S76" s="322"/>
      <c r="T76" s="322"/>
    </row>
    <row r="77" spans="1:20" ht="18" customHeight="1" hidden="1">
      <c r="A77" s="325" t="s">
        <v>341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2"/>
      <c r="O77" s="322"/>
      <c r="P77" s="322"/>
      <c r="Q77" s="322"/>
      <c r="R77" s="322"/>
      <c r="S77" s="322"/>
      <c r="T77" s="322"/>
    </row>
    <row r="78" spans="1:20" ht="18" customHeight="1" hidden="1">
      <c r="A78" s="325" t="s">
        <v>342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2"/>
      <c r="O78" s="322"/>
      <c r="P78" s="322"/>
      <c r="Q78" s="322"/>
      <c r="R78" s="322"/>
      <c r="S78" s="322"/>
      <c r="T78" s="322"/>
    </row>
    <row r="79" spans="1:20" ht="18" customHeight="1" hidden="1">
      <c r="A79" s="325" t="s">
        <v>343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2"/>
      <c r="O79" s="322"/>
      <c r="P79" s="322"/>
      <c r="Q79" s="322"/>
      <c r="R79" s="322"/>
      <c r="S79" s="322"/>
      <c r="T79" s="322"/>
    </row>
    <row r="80" spans="1:20" ht="18" customHeight="1" hidden="1">
      <c r="A80" s="325" t="s">
        <v>344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2"/>
      <c r="O80" s="322"/>
      <c r="P80" s="322"/>
      <c r="Q80" s="322"/>
      <c r="R80" s="322"/>
      <c r="S80" s="322"/>
      <c r="T80" s="322"/>
    </row>
    <row r="81" spans="1:20" ht="30.75" customHeight="1" hidden="1">
      <c r="A81" s="321" t="s">
        <v>345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2"/>
      <c r="O81" s="322"/>
      <c r="P81" s="322"/>
      <c r="Q81" s="322"/>
      <c r="R81" s="322"/>
      <c r="S81" s="322"/>
      <c r="T81" s="322"/>
    </row>
    <row r="82" spans="1:20" ht="18" customHeight="1" hidden="1">
      <c r="A82" s="515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2"/>
      <c r="O82" s="322"/>
      <c r="P82" s="322"/>
      <c r="Q82" s="322"/>
      <c r="R82" s="322"/>
      <c r="S82" s="322"/>
      <c r="T82" s="322"/>
    </row>
    <row r="83" spans="1:20" ht="18" customHeight="1" hidden="1">
      <c r="A83" s="325" t="s">
        <v>346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2"/>
      <c r="O83" s="322"/>
      <c r="P83" s="322"/>
      <c r="Q83" s="322"/>
      <c r="R83" s="322"/>
      <c r="S83" s="322"/>
      <c r="T83" s="322"/>
    </row>
    <row r="84" spans="1:20" ht="30.75" customHeight="1" hidden="1">
      <c r="A84" s="325" t="s">
        <v>347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2"/>
      <c r="O84" s="322"/>
      <c r="P84" s="322"/>
      <c r="Q84" s="322"/>
      <c r="R84" s="322"/>
      <c r="S84" s="322"/>
      <c r="T84" s="322"/>
    </row>
    <row r="85" spans="1:20" ht="18" customHeight="1" hidden="1">
      <c r="A85" s="325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2"/>
      <c r="O85" s="322"/>
      <c r="P85" s="322"/>
      <c r="Q85" s="322"/>
      <c r="R85" s="322"/>
      <c r="S85" s="322"/>
      <c r="T85" s="322"/>
    </row>
    <row r="86" spans="1:20" ht="18" customHeight="1" hidden="1">
      <c r="A86" s="325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2"/>
      <c r="O86" s="322"/>
      <c r="P86" s="322"/>
      <c r="Q86" s="322"/>
      <c r="R86" s="322"/>
      <c r="S86" s="322"/>
      <c r="T86" s="322"/>
    </row>
    <row r="87" spans="1:20" ht="18" customHeight="1" hidden="1">
      <c r="A87" s="325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2"/>
      <c r="O87" s="322"/>
      <c r="P87" s="322"/>
      <c r="Q87" s="322"/>
      <c r="R87" s="322"/>
      <c r="S87" s="322"/>
      <c r="T87" s="322"/>
    </row>
    <row r="88" spans="1:20" ht="18" customHeight="1" hidden="1">
      <c r="A88" s="325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2"/>
      <c r="O88" s="322"/>
      <c r="P88" s="322"/>
      <c r="Q88" s="322"/>
      <c r="R88" s="322"/>
      <c r="S88" s="322"/>
      <c r="T88" s="322"/>
    </row>
    <row r="89" spans="1:20" ht="18" customHeight="1" hidden="1">
      <c r="A89" s="325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2"/>
      <c r="O89" s="322"/>
      <c r="P89" s="322"/>
      <c r="Q89" s="322"/>
      <c r="R89" s="322"/>
      <c r="S89" s="322"/>
      <c r="T89" s="322"/>
    </row>
    <row r="90" spans="1:20" ht="18" customHeight="1" hidden="1">
      <c r="A90" s="325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2"/>
      <c r="O90" s="322"/>
      <c r="P90" s="322"/>
      <c r="Q90" s="322"/>
      <c r="R90" s="322"/>
      <c r="S90" s="322"/>
      <c r="T90" s="322"/>
    </row>
    <row r="91" spans="1:20" ht="18.75" hidden="1" thickBot="1">
      <c r="A91" s="440" t="s">
        <v>290</v>
      </c>
      <c r="B91" s="441"/>
      <c r="C91" s="441"/>
      <c r="D91" s="441"/>
      <c r="E91" s="441"/>
      <c r="F91" s="441"/>
      <c r="G91" s="441"/>
      <c r="H91" s="441">
        <f>SUM(H73:H90)</f>
        <v>0</v>
      </c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</row>
    <row r="92" spans="8:13" ht="12.75" hidden="1">
      <c r="H92" s="288">
        <f>H66-H65</f>
        <v>-5195873</v>
      </c>
      <c r="I92" s="288"/>
      <c r="J92" s="288"/>
      <c r="K92" s="288"/>
      <c r="L92" s="288"/>
      <c r="M92" s="288"/>
    </row>
    <row r="95" spans="2:13" ht="12.75">
      <c r="B95" s="288"/>
      <c r="C95" s="288"/>
      <c r="E95" s="288"/>
      <c r="F95" s="288"/>
      <c r="G95" s="288"/>
      <c r="I95" s="288"/>
      <c r="J95" s="288"/>
      <c r="K95" s="288"/>
      <c r="L95" s="288"/>
      <c r="M95" s="288"/>
    </row>
    <row r="96" spans="5:13" ht="12.75">
      <c r="E96" s="288"/>
      <c r="F96" s="288"/>
      <c r="G96" s="288"/>
      <c r="J96" s="288"/>
      <c r="K96" s="288"/>
      <c r="L96" s="288"/>
      <c r="M96" s="288"/>
    </row>
    <row r="97" spans="3:13" ht="12.75">
      <c r="C97" s="288"/>
      <c r="E97" s="288"/>
      <c r="F97" s="288"/>
      <c r="G97" s="288"/>
      <c r="J97" s="288"/>
      <c r="K97" s="288"/>
      <c r="L97" s="288"/>
      <c r="M97" s="288"/>
    </row>
    <row r="98" spans="5:7" ht="12.75">
      <c r="E98" s="288"/>
      <c r="F98" s="288"/>
      <c r="G98" s="288"/>
    </row>
  </sheetData>
  <sheetProtection selectLockedCells="1" selectUnlockedCells="1"/>
  <mergeCells count="25">
    <mergeCell ref="B41:G41"/>
    <mergeCell ref="B40:M40"/>
    <mergeCell ref="T41:AA41"/>
    <mergeCell ref="N40:Y40"/>
    <mergeCell ref="N9:Q9"/>
    <mergeCell ref="N41:Q41"/>
    <mergeCell ref="H9:M9"/>
    <mergeCell ref="P71:T71"/>
    <mergeCell ref="N70:T70"/>
    <mergeCell ref="B70:H70"/>
    <mergeCell ref="A67:B67"/>
    <mergeCell ref="A70:A71"/>
    <mergeCell ref="T9:Y9"/>
    <mergeCell ref="A68:N68"/>
    <mergeCell ref="A40:A41"/>
    <mergeCell ref="N44:U44"/>
    <mergeCell ref="H41:M41"/>
    <mergeCell ref="A2:N2"/>
    <mergeCell ref="A3:N3"/>
    <mergeCell ref="A6:N6"/>
    <mergeCell ref="A38:N38"/>
    <mergeCell ref="A8:A9"/>
    <mergeCell ref="B9:D9"/>
    <mergeCell ref="B8:M8"/>
    <mergeCell ref="N8:Y8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55" r:id="rId1"/>
  <headerFooter alignWithMargins="0">
    <oddHeader>&amp;R9.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J17" sqref="J17:J19"/>
    </sheetView>
  </sheetViews>
  <sheetFormatPr defaultColWidth="9.140625" defaultRowHeight="12.75"/>
  <cols>
    <col min="1" max="1" width="48.28125" style="261" customWidth="1"/>
    <col min="2" max="3" width="14.8515625" style="262" customWidth="1"/>
    <col min="4" max="4" width="20.57421875" style="262" customWidth="1"/>
    <col min="5" max="5" width="31.00390625" style="262" customWidth="1"/>
    <col min="6" max="7" width="15.57421875" style="262" customWidth="1"/>
    <col min="8" max="8" width="19.421875" style="262" customWidth="1"/>
    <col min="9" max="9" width="15.57421875" style="262" customWidth="1"/>
    <col min="10" max="20" width="9.140625" style="262" customWidth="1"/>
    <col min="21" max="16384" width="9.140625" style="262" customWidth="1"/>
  </cols>
  <sheetData>
    <row r="2" spans="2:9" ht="12.75">
      <c r="B2" s="7"/>
      <c r="D2" s="1428" t="s">
        <v>945</v>
      </c>
      <c r="E2" s="1428"/>
      <c r="F2" s="1428"/>
      <c r="G2" s="1428"/>
      <c r="H2" s="1428"/>
      <c r="I2" s="1428"/>
    </row>
    <row r="4" spans="1:9" ht="19.5" customHeight="1">
      <c r="A4" s="1426" t="s">
        <v>514</v>
      </c>
      <c r="B4" s="1426"/>
      <c r="C4" s="1426"/>
      <c r="D4" s="1426"/>
      <c r="E4" s="1426"/>
      <c r="F4" s="1426"/>
      <c r="G4" s="1426"/>
      <c r="H4" s="1426"/>
      <c r="I4" s="1426"/>
    </row>
    <row r="5" spans="1:9" ht="19.5">
      <c r="A5" s="263"/>
      <c r="B5" s="263"/>
      <c r="C5" s="263"/>
      <c r="D5" s="1427" t="s">
        <v>439</v>
      </c>
      <c r="E5" s="1427"/>
      <c r="F5" s="1427"/>
      <c r="G5" s="1427"/>
      <c r="H5" s="1427"/>
      <c r="I5" s="1427"/>
    </row>
    <row r="6" spans="2:11" ht="20.25" customHeight="1" thickBot="1">
      <c r="B6" s="1432" t="s">
        <v>4</v>
      </c>
      <c r="C6" s="1432"/>
      <c r="D6" s="1432"/>
      <c r="E6" s="1432"/>
      <c r="F6" s="1432"/>
      <c r="G6" s="1432"/>
      <c r="H6" s="1432"/>
      <c r="I6" s="1432"/>
      <c r="J6" s="1433" t="s">
        <v>286</v>
      </c>
      <c r="K6" s="1433"/>
    </row>
    <row r="7" spans="1:11" ht="36.75" customHeight="1">
      <c r="A7" s="1434" t="s">
        <v>133</v>
      </c>
      <c r="B7" s="1435" t="s">
        <v>515</v>
      </c>
      <c r="C7" s="1435"/>
      <c r="D7" s="1435"/>
      <c r="E7" s="1435"/>
      <c r="F7" s="1436" t="s">
        <v>516</v>
      </c>
      <c r="G7" s="1436"/>
      <c r="H7" s="1436"/>
      <c r="I7" s="1436"/>
      <c r="J7" s="1437" t="s">
        <v>516</v>
      </c>
      <c r="K7" s="1437"/>
    </row>
    <row r="8" spans="1:11" ht="41.25" customHeight="1">
      <c r="A8" s="1434"/>
      <c r="B8" s="264" t="s">
        <v>287</v>
      </c>
      <c r="C8" s="264" t="s">
        <v>288</v>
      </c>
      <c r="D8" s="264" t="s">
        <v>289</v>
      </c>
      <c r="E8" s="265" t="s">
        <v>290</v>
      </c>
      <c r="F8" s="266" t="s">
        <v>287</v>
      </c>
      <c r="G8" s="264" t="s">
        <v>288</v>
      </c>
      <c r="H8" s="264" t="s">
        <v>289</v>
      </c>
      <c r="I8" s="265" t="s">
        <v>290</v>
      </c>
      <c r="J8" s="267" t="s">
        <v>286</v>
      </c>
      <c r="K8" s="268" t="s">
        <v>291</v>
      </c>
    </row>
    <row r="9" spans="1:11" ht="30" customHeight="1">
      <c r="A9" s="269"/>
      <c r="B9" s="270"/>
      <c r="C9" s="270"/>
      <c r="D9" s="271"/>
      <c r="E9" s="272"/>
      <c r="F9" s="273"/>
      <c r="G9" s="270"/>
      <c r="H9" s="271"/>
      <c r="I9" s="274"/>
      <c r="J9" s="1261"/>
      <c r="K9" s="275"/>
    </row>
    <row r="10" spans="1:11" ht="30" customHeight="1">
      <c r="A10" s="269" t="s">
        <v>292</v>
      </c>
      <c r="B10" s="270">
        <f>1+3.5</f>
        <v>4.5</v>
      </c>
      <c r="C10" s="270">
        <v>1.92</v>
      </c>
      <c r="D10" s="270"/>
      <c r="E10" s="661">
        <f>B10+C10</f>
        <v>6.42</v>
      </c>
      <c r="F10" s="270">
        <v>3</v>
      </c>
      <c r="G10" s="270">
        <v>2.12</v>
      </c>
      <c r="H10" s="270"/>
      <c r="I10" s="661">
        <f>F10+G10</f>
        <v>5.12</v>
      </c>
      <c r="J10" s="1262">
        <v>5.12</v>
      </c>
      <c r="K10" s="276">
        <f>J10/E10</f>
        <v>0.7975077881619937</v>
      </c>
    </row>
    <row r="11" spans="1:11" ht="30" customHeight="1" thickBot="1">
      <c r="A11" s="277" t="s">
        <v>629</v>
      </c>
      <c r="B11" s="278">
        <v>2.5</v>
      </c>
      <c r="C11" s="278">
        <v>2</v>
      </c>
      <c r="D11" s="278"/>
      <c r="E11" s="645">
        <f>SUM(B11:C11)</f>
        <v>4.5</v>
      </c>
      <c r="F11" s="278">
        <v>2.58</v>
      </c>
      <c r="G11" s="278">
        <v>2</v>
      </c>
      <c r="H11" s="278"/>
      <c r="I11" s="645">
        <f>SUM(F11:G11)</f>
        <v>4.58</v>
      </c>
      <c r="J11" s="1263">
        <v>4.58</v>
      </c>
      <c r="K11" s="279">
        <f>J11/E11</f>
        <v>1.017777777777778</v>
      </c>
    </row>
    <row r="12" spans="1:11" ht="54.75" customHeight="1" thickBot="1">
      <c r="A12" s="280" t="s">
        <v>293</v>
      </c>
      <c r="B12" s="281">
        <f aca="true" t="shared" si="0" ref="B12:I12">SUM(B10:B11)</f>
        <v>7</v>
      </c>
      <c r="C12" s="281">
        <f t="shared" si="0"/>
        <v>3.92</v>
      </c>
      <c r="D12" s="281">
        <f t="shared" si="0"/>
        <v>0</v>
      </c>
      <c r="E12" s="646">
        <f t="shared" si="0"/>
        <v>10.92</v>
      </c>
      <c r="F12" s="281">
        <f t="shared" si="0"/>
        <v>5.58</v>
      </c>
      <c r="G12" s="281">
        <f t="shared" si="0"/>
        <v>4.12</v>
      </c>
      <c r="H12" s="281">
        <f t="shared" si="0"/>
        <v>0</v>
      </c>
      <c r="I12" s="646">
        <f t="shared" si="0"/>
        <v>9.7</v>
      </c>
      <c r="J12" s="1264">
        <f>SUM(J9:J11)</f>
        <v>9.7</v>
      </c>
      <c r="K12" s="282">
        <f>J12/E12</f>
        <v>0.8882783882783882</v>
      </c>
    </row>
    <row r="13" spans="1:11" ht="39" customHeight="1">
      <c r="A13" s="406"/>
      <c r="B13" s="407"/>
      <c r="C13" s="407"/>
      <c r="D13" s="407"/>
      <c r="E13" s="407"/>
      <c r="F13" s="408"/>
      <c r="G13" s="408"/>
      <c r="H13" s="408"/>
      <c r="I13" s="407"/>
      <c r="J13" s="407"/>
      <c r="K13" s="283"/>
    </row>
    <row r="14" ht="13.5" thickBot="1">
      <c r="K14" s="283"/>
    </row>
    <row r="15" spans="1:11" ht="20.25" customHeight="1" thickBot="1">
      <c r="A15" s="1429" t="s">
        <v>389</v>
      </c>
      <c r="B15" s="1430"/>
      <c r="C15" s="1430"/>
      <c r="D15" s="1430"/>
      <c r="E15" s="1431"/>
      <c r="F15" s="284"/>
      <c r="G15" s="285"/>
      <c r="H15" s="286"/>
      <c r="I15" s="286"/>
      <c r="J15" s="286"/>
      <c r="K15" s="286"/>
    </row>
    <row r="16" spans="1:14" ht="18.75" customHeight="1">
      <c r="A16" s="409"/>
      <c r="B16" s="410"/>
      <c r="C16" s="410"/>
      <c r="D16" s="410"/>
      <c r="E16" s="411"/>
      <c r="F16" s="410"/>
      <c r="G16" s="410"/>
      <c r="H16" s="410"/>
      <c r="I16" s="411"/>
      <c r="J16" s="411"/>
      <c r="K16" s="411"/>
      <c r="N16" s="416"/>
    </row>
    <row r="17" spans="1:11" ht="24" customHeight="1">
      <c r="A17" s="415" t="s">
        <v>292</v>
      </c>
      <c r="B17" s="412"/>
      <c r="C17" s="412"/>
      <c r="D17" s="412"/>
      <c r="E17" s="272">
        <v>3</v>
      </c>
      <c r="F17" s="412"/>
      <c r="G17" s="412"/>
      <c r="H17" s="412"/>
      <c r="I17" s="272">
        <v>3</v>
      </c>
      <c r="J17" s="1265">
        <v>3</v>
      </c>
      <c r="K17" s="276">
        <f>J17/E17</f>
        <v>1</v>
      </c>
    </row>
    <row r="18" spans="1:11" ht="35.25" customHeight="1" thickBot="1">
      <c r="A18" s="277" t="s">
        <v>630</v>
      </c>
      <c r="B18" s="414"/>
      <c r="C18" s="414"/>
      <c r="D18" s="414"/>
      <c r="E18" s="647">
        <v>1</v>
      </c>
      <c r="F18" s="414"/>
      <c r="G18" s="414"/>
      <c r="H18" s="414"/>
      <c r="I18" s="647">
        <v>1</v>
      </c>
      <c r="J18" s="1266">
        <v>1</v>
      </c>
      <c r="K18" s="276">
        <f>J18/E18</f>
        <v>1</v>
      </c>
    </row>
    <row r="19" spans="1:11" ht="36.75" customHeight="1" thickBot="1">
      <c r="A19" s="413" t="s">
        <v>390</v>
      </c>
      <c r="B19" s="648"/>
      <c r="C19" s="648"/>
      <c r="D19" s="648"/>
      <c r="E19" s="649">
        <f>SUM(E17:E18)</f>
        <v>4</v>
      </c>
      <c r="F19" s="648"/>
      <c r="G19" s="648"/>
      <c r="H19" s="648"/>
      <c r="I19" s="649">
        <f>SUM(I17:I18)</f>
        <v>4</v>
      </c>
      <c r="J19" s="1267">
        <f>SUM(J17:J18)</f>
        <v>4</v>
      </c>
      <c r="K19" s="276">
        <f>J19/E19</f>
        <v>1</v>
      </c>
    </row>
    <row r="20" spans="1:11" ht="18.75" customHeight="1">
      <c r="A20" s="404"/>
      <c r="B20" s="404"/>
      <c r="C20" s="404"/>
      <c r="D20" s="404"/>
      <c r="E20" s="405"/>
      <c r="F20" s="405"/>
      <c r="G20" s="405"/>
      <c r="H20" s="405"/>
      <c r="I20" s="405"/>
      <c r="K20" s="283"/>
    </row>
    <row r="21" spans="1:11" ht="18.75" customHeight="1">
      <c r="A21" s="261" t="s">
        <v>294</v>
      </c>
      <c r="B21" s="404"/>
      <c r="C21" s="404"/>
      <c r="D21" s="404"/>
      <c r="E21" s="405"/>
      <c r="F21" s="405"/>
      <c r="G21" s="405"/>
      <c r="H21" s="405"/>
      <c r="I21" s="405"/>
      <c r="K21" s="283"/>
    </row>
    <row r="22" ht="12.75" hidden="1"/>
    <row r="23" ht="12.75" hidden="1">
      <c r="A23" s="262"/>
    </row>
    <row r="24" spans="1:7" ht="12.75" hidden="1">
      <c r="A24" s="261" t="s">
        <v>529</v>
      </c>
      <c r="B24" s="262" t="s">
        <v>533</v>
      </c>
      <c r="C24" s="262" t="s">
        <v>534</v>
      </c>
      <c r="D24" s="262">
        <v>1.5</v>
      </c>
      <c r="F24" s="262" t="s">
        <v>500</v>
      </c>
      <c r="G24" s="262">
        <v>8</v>
      </c>
    </row>
    <row r="25" spans="1:7" ht="12.75" hidden="1">
      <c r="A25" s="261" t="s">
        <v>530</v>
      </c>
      <c r="B25" s="262" t="s">
        <v>535</v>
      </c>
      <c r="D25" s="262">
        <f>1/12*5</f>
        <v>0.41666666666666663</v>
      </c>
      <c r="F25" s="262" t="s">
        <v>501</v>
      </c>
      <c r="G25" s="262">
        <v>8</v>
      </c>
    </row>
    <row r="26" spans="1:7" ht="12.75" hidden="1">
      <c r="A26" s="261" t="s">
        <v>531</v>
      </c>
      <c r="B26" s="262" t="s">
        <v>536</v>
      </c>
      <c r="D26" s="262">
        <v>2</v>
      </c>
      <c r="F26" s="262" t="s">
        <v>504</v>
      </c>
      <c r="G26" s="262">
        <v>4</v>
      </c>
    </row>
    <row r="27" spans="1:7" ht="12.75" hidden="1">
      <c r="A27" s="261" t="s">
        <v>502</v>
      </c>
      <c r="B27" s="262" t="s">
        <v>537</v>
      </c>
      <c r="D27" s="262">
        <v>3</v>
      </c>
      <c r="F27" s="262" t="s">
        <v>505</v>
      </c>
      <c r="G27" s="262">
        <v>8</v>
      </c>
    </row>
    <row r="28" spans="1:7" ht="12.75" hidden="1">
      <c r="A28" s="261" t="s">
        <v>532</v>
      </c>
      <c r="B28" s="262" t="s">
        <v>538</v>
      </c>
      <c r="D28" s="262">
        <v>1.5</v>
      </c>
      <c r="F28" s="262" t="s">
        <v>506</v>
      </c>
      <c r="G28" s="262">
        <v>4</v>
      </c>
    </row>
    <row r="29" spans="4:7" ht="12.75" hidden="1">
      <c r="D29" s="262">
        <f>0.5+D25+1</f>
        <v>1.9166666666666665</v>
      </c>
      <c r="F29" s="262" t="s">
        <v>507</v>
      </c>
      <c r="G29" s="262">
        <v>8</v>
      </c>
    </row>
    <row r="30" spans="4:7" ht="12.75" hidden="1">
      <c r="D30" s="262">
        <f>SUM(D24:D28)</f>
        <v>8.416666666666666</v>
      </c>
      <c r="G30" s="262">
        <f>SUM(G24:G29)</f>
        <v>40</v>
      </c>
    </row>
    <row r="31" ht="12.75" hidden="1">
      <c r="G31" s="262">
        <f>+G30/8</f>
        <v>5</v>
      </c>
    </row>
    <row r="32" ht="12.75" hidden="1"/>
    <row r="33" spans="1:6" ht="12.75" hidden="1">
      <c r="A33" s="261" t="s">
        <v>539</v>
      </c>
      <c r="B33" s="262">
        <v>8</v>
      </c>
      <c r="C33" s="262">
        <v>8</v>
      </c>
      <c r="F33" s="262" t="s">
        <v>502</v>
      </c>
    </row>
    <row r="34" spans="1:7" ht="12.75" hidden="1">
      <c r="A34" s="261" t="s">
        <v>540</v>
      </c>
      <c r="B34" s="262">
        <v>6</v>
      </c>
      <c r="C34" s="262">
        <v>6</v>
      </c>
      <c r="F34" s="262" t="s">
        <v>503</v>
      </c>
      <c r="G34" s="262">
        <v>8</v>
      </c>
    </row>
    <row r="35" spans="1:3" ht="12.75" hidden="1">
      <c r="A35" s="261" t="s">
        <v>541</v>
      </c>
      <c r="B35" s="262">
        <v>8</v>
      </c>
      <c r="C35" s="262">
        <v>8</v>
      </c>
    </row>
    <row r="36" spans="1:3" ht="12.75" hidden="1">
      <c r="A36" s="261" t="s">
        <v>542</v>
      </c>
      <c r="B36" s="262">
        <f>8/12*9</f>
        <v>6</v>
      </c>
      <c r="C36" s="262">
        <f>8/12*9</f>
        <v>6</v>
      </c>
    </row>
    <row r="37" spans="1:3" ht="12.75" hidden="1">
      <c r="A37" s="261" t="s">
        <v>543</v>
      </c>
      <c r="B37" s="262">
        <f>SUM(B33:B36)</f>
        <v>28</v>
      </c>
      <c r="C37" s="262">
        <v>8</v>
      </c>
    </row>
    <row r="38" spans="2:3" ht="12.75" hidden="1">
      <c r="B38" s="262">
        <f>+B37/8</f>
        <v>3.5</v>
      </c>
      <c r="C38" s="262">
        <f>SUM(C33:C37)</f>
        <v>36</v>
      </c>
    </row>
    <row r="39" ht="12.75" hidden="1">
      <c r="C39" s="262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ySplit="7" topLeftCell="A8" activePane="bottomLeft" state="frozen"/>
      <selection pane="topLeft" activeCell="A1" sqref="A1:E1"/>
      <selection pane="bottomLeft" activeCell="D18" sqref="D18"/>
    </sheetView>
  </sheetViews>
  <sheetFormatPr defaultColWidth="9.140625" defaultRowHeight="12.75"/>
  <cols>
    <col min="1" max="1" width="8.140625" style="987" customWidth="1"/>
    <col min="2" max="2" width="41.00390625" style="987" customWidth="1"/>
    <col min="3" max="3" width="32.8515625" style="987" customWidth="1"/>
    <col min="4" max="4" width="10.7109375" style="987" bestFit="1" customWidth="1"/>
    <col min="5" max="5" width="11.140625" style="987" bestFit="1" customWidth="1"/>
    <col min="6" max="16384" width="9.140625" style="987" customWidth="1"/>
  </cols>
  <sheetData>
    <row r="1" spans="1:5" ht="12.75">
      <c r="A1" s="1438" t="s">
        <v>720</v>
      </c>
      <c r="B1" s="1438"/>
      <c r="C1" s="1438"/>
      <c r="D1" s="1438"/>
      <c r="E1" s="1438"/>
    </row>
    <row r="2" spans="1:5" ht="12.75">
      <c r="A2" s="989"/>
      <c r="B2" s="989"/>
      <c r="C2" s="989"/>
      <c r="D2" s="989"/>
      <c r="E2" s="989"/>
    </row>
    <row r="3" spans="1:5" ht="18">
      <c r="A3" s="1439" t="s">
        <v>721</v>
      </c>
      <c r="B3" s="1439"/>
      <c r="C3" s="1439"/>
      <c r="D3" s="1439"/>
      <c r="E3" s="1439"/>
    </row>
    <row r="4" spans="1:5" ht="12.75">
      <c r="A4" s="1438" t="s">
        <v>478</v>
      </c>
      <c r="B4" s="1438"/>
      <c r="C4" s="1438"/>
      <c r="D4" s="1438"/>
      <c r="E4" s="1438"/>
    </row>
    <row r="5" spans="1:5" ht="17.25" customHeight="1">
      <c r="A5" s="1440" t="s">
        <v>721</v>
      </c>
      <c r="B5" s="1441"/>
      <c r="C5" s="1441"/>
      <c r="D5" s="1441"/>
      <c r="E5" s="1442"/>
    </row>
    <row r="6" spans="1:5" ht="30">
      <c r="A6" s="988" t="s">
        <v>719</v>
      </c>
      <c r="B6" s="988" t="s">
        <v>133</v>
      </c>
      <c r="C6" s="988" t="s">
        <v>292</v>
      </c>
      <c r="D6" s="988" t="s">
        <v>613</v>
      </c>
      <c r="E6" s="988" t="s">
        <v>290</v>
      </c>
    </row>
    <row r="7" spans="1:5" ht="15">
      <c r="A7" s="988">
        <v>1</v>
      </c>
      <c r="B7" s="988">
        <v>2</v>
      </c>
      <c r="C7" s="988">
        <v>3</v>
      </c>
      <c r="D7" s="990"/>
      <c r="E7" s="990"/>
    </row>
    <row r="8" spans="1:5" ht="12.75">
      <c r="A8" s="991" t="s">
        <v>658</v>
      </c>
      <c r="B8" s="992" t="s">
        <v>946</v>
      </c>
      <c r="C8" s="993">
        <v>134228010</v>
      </c>
      <c r="D8" s="993">
        <v>6090871</v>
      </c>
      <c r="E8" s="994">
        <f>+C8+D8</f>
        <v>140318881</v>
      </c>
    </row>
    <row r="9" spans="1:5" ht="12.75">
      <c r="A9" s="991" t="s">
        <v>659</v>
      </c>
      <c r="B9" s="992" t="s">
        <v>947</v>
      </c>
      <c r="C9" s="993">
        <v>110628334</v>
      </c>
      <c r="D9" s="993">
        <v>24886718</v>
      </c>
      <c r="E9" s="994">
        <f aca="true" t="shared" si="0" ref="E9:E17">+C9+D9</f>
        <v>135515052</v>
      </c>
    </row>
    <row r="10" spans="1:5" ht="12.75">
      <c r="A10" s="995" t="s">
        <v>660</v>
      </c>
      <c r="B10" s="996" t="s">
        <v>948</v>
      </c>
      <c r="C10" s="997">
        <v>23599676</v>
      </c>
      <c r="D10" s="997">
        <v>-18795847</v>
      </c>
      <c r="E10" s="998">
        <f t="shared" si="0"/>
        <v>4803829</v>
      </c>
    </row>
    <row r="11" spans="1:5" ht="12.75">
      <c r="A11" s="991" t="s">
        <v>661</v>
      </c>
      <c r="B11" s="992" t="s">
        <v>949</v>
      </c>
      <c r="C11" s="993">
        <v>16398269</v>
      </c>
      <c r="D11" s="993">
        <v>19081817</v>
      </c>
      <c r="E11" s="994">
        <f t="shared" si="0"/>
        <v>35480086</v>
      </c>
    </row>
    <row r="12" spans="1:5" ht="12.75">
      <c r="A12" s="991" t="s">
        <v>662</v>
      </c>
      <c r="B12" s="992" t="s">
        <v>950</v>
      </c>
      <c r="C12" s="990">
        <v>19402709</v>
      </c>
      <c r="D12" s="990">
        <v>0</v>
      </c>
      <c r="E12" s="994">
        <f t="shared" si="0"/>
        <v>19402709</v>
      </c>
    </row>
    <row r="13" spans="1:5" ht="12.75">
      <c r="A13" s="995" t="s">
        <v>663</v>
      </c>
      <c r="B13" s="996" t="s">
        <v>951</v>
      </c>
      <c r="C13" s="997">
        <v>-3004440</v>
      </c>
      <c r="D13" s="997">
        <v>19081817</v>
      </c>
      <c r="E13" s="998">
        <f t="shared" si="0"/>
        <v>16077377</v>
      </c>
    </row>
    <row r="14" spans="1:5" ht="12.75">
      <c r="A14" s="995" t="s">
        <v>664</v>
      </c>
      <c r="B14" s="996" t="s">
        <v>952</v>
      </c>
      <c r="C14" s="997">
        <v>20595236</v>
      </c>
      <c r="D14" s="997">
        <v>285970</v>
      </c>
      <c r="E14" s="998">
        <f t="shared" si="0"/>
        <v>20881206</v>
      </c>
    </row>
    <row r="15" spans="1:5" ht="12.75">
      <c r="A15" s="995" t="s">
        <v>665</v>
      </c>
      <c r="B15" s="996" t="s">
        <v>953</v>
      </c>
      <c r="C15" s="997">
        <v>20595236</v>
      </c>
      <c r="D15" s="997">
        <v>285970</v>
      </c>
      <c r="E15" s="998">
        <f t="shared" si="0"/>
        <v>20881206</v>
      </c>
    </row>
    <row r="16" spans="1:5" ht="25.5">
      <c r="A16" s="995" t="s">
        <v>666</v>
      </c>
      <c r="B16" s="996" t="s">
        <v>954</v>
      </c>
      <c r="C16" s="990">
        <v>76000</v>
      </c>
      <c r="D16" s="990">
        <v>0</v>
      </c>
      <c r="E16" s="990">
        <f t="shared" si="0"/>
        <v>76000</v>
      </c>
    </row>
    <row r="17" spans="1:5" ht="12.75">
      <c r="A17" s="995" t="s">
        <v>667</v>
      </c>
      <c r="B17" s="996" t="s">
        <v>955</v>
      </c>
      <c r="C17" s="997">
        <v>20519236</v>
      </c>
      <c r="D17" s="997">
        <v>285970</v>
      </c>
      <c r="E17" s="998">
        <f t="shared" si="0"/>
        <v>20805206</v>
      </c>
    </row>
  </sheetData>
  <sheetProtection/>
  <mergeCells count="4">
    <mergeCell ref="A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-55-12-2f1c55-68-6b-7d-302c-6a57-17-4b-18-4a-4013-746f&amp;C&amp;R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8.140625" style="1002" customWidth="1"/>
    <col min="2" max="2" width="41.00390625" style="1002" customWidth="1"/>
    <col min="3" max="4" width="32.8515625" style="1002" customWidth="1"/>
    <col min="5" max="5" width="9.7109375" style="1002" bestFit="1" customWidth="1"/>
    <col min="6" max="6" width="9.140625" style="1002" customWidth="1"/>
    <col min="7" max="8" width="11.140625" style="1002" bestFit="1" customWidth="1"/>
    <col min="9" max="16384" width="9.140625" style="1002" customWidth="1"/>
  </cols>
  <sheetData>
    <row r="1" spans="1:8" ht="12.75">
      <c r="A1" s="1438" t="s">
        <v>727</v>
      </c>
      <c r="B1" s="1438"/>
      <c r="C1" s="1438"/>
      <c r="D1" s="1438"/>
      <c r="E1" s="1438"/>
      <c r="F1" s="1438"/>
      <c r="G1" s="1001"/>
      <c r="H1" s="1001"/>
    </row>
    <row r="2" spans="1:8" ht="12.75">
      <c r="A2" s="1001"/>
      <c r="B2" s="1001"/>
      <c r="C2" s="1001"/>
      <c r="D2" s="1001"/>
      <c r="E2" s="1001"/>
      <c r="F2" s="1001"/>
      <c r="G2" s="1001"/>
      <c r="H2" s="1001"/>
    </row>
    <row r="3" spans="1:8" ht="18">
      <c r="A3" s="1439" t="s">
        <v>728</v>
      </c>
      <c r="B3" s="1439"/>
      <c r="C3" s="1439"/>
      <c r="D3" s="1439"/>
      <c r="E3" s="1439"/>
      <c r="F3" s="1439"/>
      <c r="G3" s="1001"/>
      <c r="H3" s="1001"/>
    </row>
    <row r="4" spans="1:8" ht="12.75">
      <c r="A4" s="1446" t="s">
        <v>478</v>
      </c>
      <c r="B4" s="1446"/>
      <c r="C4" s="1446"/>
      <c r="D4" s="1446"/>
      <c r="E4" s="1446"/>
      <c r="F4" s="1446"/>
      <c r="G4" s="1446"/>
      <c r="H4" s="1446"/>
    </row>
    <row r="7" spans="1:4" ht="15">
      <c r="A7" s="1443"/>
      <c r="B7" s="1444"/>
      <c r="C7" s="1444"/>
      <c r="D7" s="1444"/>
    </row>
    <row r="8" spans="1:8" ht="15.75">
      <c r="A8" s="1003"/>
      <c r="B8" s="999" t="s">
        <v>133</v>
      </c>
      <c r="C8" s="1445" t="s">
        <v>292</v>
      </c>
      <c r="D8" s="1445"/>
      <c r="E8" s="1445" t="s">
        <v>613</v>
      </c>
      <c r="F8" s="1445"/>
      <c r="G8" s="1445" t="s">
        <v>722</v>
      </c>
      <c r="H8" s="1445"/>
    </row>
    <row r="9" spans="1:8" ht="31.5">
      <c r="A9" s="1003"/>
      <c r="B9" s="1000"/>
      <c r="C9" s="1000" t="s">
        <v>668</v>
      </c>
      <c r="D9" s="1000" t="s">
        <v>723</v>
      </c>
      <c r="E9" s="1000" t="s">
        <v>668</v>
      </c>
      <c r="F9" s="1000" t="s">
        <v>723</v>
      </c>
      <c r="G9" s="1000" t="s">
        <v>668</v>
      </c>
      <c r="H9" s="1000" t="s">
        <v>723</v>
      </c>
    </row>
    <row r="10" spans="1:8" ht="12.75">
      <c r="A10" s="1004">
        <v>1</v>
      </c>
      <c r="B10" s="1005" t="s">
        <v>669</v>
      </c>
      <c r="C10" s="1006">
        <v>990055</v>
      </c>
      <c r="D10" s="1006">
        <v>660055</v>
      </c>
      <c r="E10" s="1006">
        <v>0</v>
      </c>
      <c r="F10" s="1006">
        <v>0</v>
      </c>
      <c r="G10" s="1006">
        <f aca="true" t="shared" si="0" ref="G10:G29">+C10+E10</f>
        <v>990055</v>
      </c>
      <c r="H10" s="1006">
        <f aca="true" t="shared" si="1" ref="H10:H29">+D10+F10</f>
        <v>660055</v>
      </c>
    </row>
    <row r="11" spans="1:8" ht="12.75">
      <c r="A11" s="1007">
        <v>2</v>
      </c>
      <c r="B11" s="1008" t="s">
        <v>670</v>
      </c>
      <c r="C11" s="1009">
        <v>990055</v>
      </c>
      <c r="D11" s="1009">
        <v>660055</v>
      </c>
      <c r="E11" s="1009">
        <v>0</v>
      </c>
      <c r="F11" s="1009">
        <v>0</v>
      </c>
      <c r="G11" s="1009">
        <f t="shared" si="0"/>
        <v>990055</v>
      </c>
      <c r="H11" s="1009">
        <f t="shared" si="1"/>
        <v>660055</v>
      </c>
    </row>
    <row r="12" spans="1:8" ht="25.5">
      <c r="A12" s="1004">
        <v>3</v>
      </c>
      <c r="B12" s="1005" t="s">
        <v>671</v>
      </c>
      <c r="C12" s="1006">
        <v>191702628</v>
      </c>
      <c r="D12" s="1006">
        <v>250938232</v>
      </c>
      <c r="E12" s="1006">
        <v>0</v>
      </c>
      <c r="F12" s="1006">
        <v>0</v>
      </c>
      <c r="G12" s="1006">
        <f t="shared" si="0"/>
        <v>191702628</v>
      </c>
      <c r="H12" s="1006">
        <f t="shared" si="1"/>
        <v>250938232</v>
      </c>
    </row>
    <row r="13" spans="1:8" ht="25.5">
      <c r="A13" s="1004">
        <v>4</v>
      </c>
      <c r="B13" s="1005" t="s">
        <v>672</v>
      </c>
      <c r="C13" s="1006">
        <v>747666</v>
      </c>
      <c r="D13" s="1006">
        <v>1094199</v>
      </c>
      <c r="E13" s="1006">
        <v>330434</v>
      </c>
      <c r="F13" s="1006">
        <v>272014</v>
      </c>
      <c r="G13" s="1006">
        <f t="shared" si="0"/>
        <v>1078100</v>
      </c>
      <c r="H13" s="1006">
        <f t="shared" si="1"/>
        <v>1366213</v>
      </c>
    </row>
    <row r="14" spans="1:8" ht="12.75">
      <c r="A14" s="1004">
        <v>5</v>
      </c>
      <c r="B14" s="1005" t="s">
        <v>673</v>
      </c>
      <c r="C14" s="1006">
        <v>870000</v>
      </c>
      <c r="D14" s="1006">
        <v>170000</v>
      </c>
      <c r="E14" s="1006">
        <v>0</v>
      </c>
      <c r="F14" s="1006">
        <v>0</v>
      </c>
      <c r="G14" s="1006">
        <f t="shared" si="0"/>
        <v>870000</v>
      </c>
      <c r="H14" s="1006">
        <f t="shared" si="1"/>
        <v>170000</v>
      </c>
    </row>
    <row r="15" spans="1:8" ht="12.75">
      <c r="A15" s="1007">
        <v>6</v>
      </c>
      <c r="B15" s="1008" t="s">
        <v>674</v>
      </c>
      <c r="C15" s="1009">
        <v>193320294</v>
      </c>
      <c r="D15" s="1009">
        <v>252202431</v>
      </c>
      <c r="E15" s="1009">
        <v>330434</v>
      </c>
      <c r="F15" s="1009">
        <v>272014</v>
      </c>
      <c r="G15" s="1009">
        <f t="shared" si="0"/>
        <v>193650728</v>
      </c>
      <c r="H15" s="1009">
        <f t="shared" si="1"/>
        <v>252474445</v>
      </c>
    </row>
    <row r="16" spans="1:8" ht="25.5">
      <c r="A16" s="1004">
        <v>7</v>
      </c>
      <c r="B16" s="1005" t="s">
        <v>675</v>
      </c>
      <c r="C16" s="1006">
        <v>4130000</v>
      </c>
      <c r="D16" s="1006">
        <v>4130000</v>
      </c>
      <c r="E16" s="1006">
        <v>0</v>
      </c>
      <c r="F16" s="1006">
        <v>0</v>
      </c>
      <c r="G16" s="1006">
        <f t="shared" si="0"/>
        <v>4130000</v>
      </c>
      <c r="H16" s="1006">
        <f t="shared" si="1"/>
        <v>4130000</v>
      </c>
    </row>
    <row r="17" spans="1:8" ht="25.5">
      <c r="A17" s="1004">
        <v>8</v>
      </c>
      <c r="B17" s="1005" t="s">
        <v>676</v>
      </c>
      <c r="C17" s="1006">
        <v>4130000</v>
      </c>
      <c r="D17" s="1006">
        <v>4130000</v>
      </c>
      <c r="E17" s="1006">
        <v>0</v>
      </c>
      <c r="F17" s="1006">
        <v>0</v>
      </c>
      <c r="G17" s="1006">
        <f t="shared" si="0"/>
        <v>4130000</v>
      </c>
      <c r="H17" s="1006">
        <f t="shared" si="1"/>
        <v>4130000</v>
      </c>
    </row>
    <row r="18" spans="1:8" ht="25.5">
      <c r="A18" s="1007">
        <v>9</v>
      </c>
      <c r="B18" s="1008" t="s">
        <v>677</v>
      </c>
      <c r="C18" s="1009">
        <v>4130000</v>
      </c>
      <c r="D18" s="1009">
        <v>4130000</v>
      </c>
      <c r="E18" s="1009">
        <v>0</v>
      </c>
      <c r="F18" s="1009">
        <v>0</v>
      </c>
      <c r="G18" s="1009">
        <f t="shared" si="0"/>
        <v>4130000</v>
      </c>
      <c r="H18" s="1009">
        <f t="shared" si="1"/>
        <v>4130000</v>
      </c>
    </row>
    <row r="19" spans="1:8" ht="25.5">
      <c r="A19" s="1004">
        <v>10</v>
      </c>
      <c r="B19" s="1005" t="s">
        <v>678</v>
      </c>
      <c r="C19" s="1006">
        <v>53644445</v>
      </c>
      <c r="D19" s="1006">
        <v>56490457</v>
      </c>
      <c r="E19" s="1006">
        <v>0</v>
      </c>
      <c r="F19" s="1006">
        <v>0</v>
      </c>
      <c r="G19" s="1006">
        <f t="shared" si="0"/>
        <v>53644445</v>
      </c>
      <c r="H19" s="1006">
        <f t="shared" si="1"/>
        <v>56490457</v>
      </c>
    </row>
    <row r="20" spans="1:8" ht="12.75">
      <c r="A20" s="1004">
        <v>11</v>
      </c>
      <c r="B20" s="1005" t="s">
        <v>679</v>
      </c>
      <c r="C20" s="1006">
        <v>53644445</v>
      </c>
      <c r="D20" s="1006">
        <v>56490457</v>
      </c>
      <c r="E20" s="1006">
        <v>0</v>
      </c>
      <c r="F20" s="1006">
        <v>0</v>
      </c>
      <c r="G20" s="1006">
        <f t="shared" si="0"/>
        <v>53644445</v>
      </c>
      <c r="H20" s="1006">
        <f t="shared" si="1"/>
        <v>56490457</v>
      </c>
    </row>
    <row r="21" spans="1:8" ht="25.5">
      <c r="A21" s="1007">
        <v>12</v>
      </c>
      <c r="B21" s="1008" t="s">
        <v>680</v>
      </c>
      <c r="C21" s="1009">
        <v>53644445</v>
      </c>
      <c r="D21" s="1009">
        <v>56490457</v>
      </c>
      <c r="E21" s="1009">
        <v>0</v>
      </c>
      <c r="F21" s="1009">
        <v>0</v>
      </c>
      <c r="G21" s="1009">
        <f t="shared" si="0"/>
        <v>53644445</v>
      </c>
      <c r="H21" s="1009">
        <f t="shared" si="1"/>
        <v>56490457</v>
      </c>
    </row>
    <row r="22" spans="1:8" ht="38.25">
      <c r="A22" s="1007">
        <v>13</v>
      </c>
      <c r="B22" s="1008" t="s">
        <v>681</v>
      </c>
      <c r="C22" s="1009">
        <v>252084794</v>
      </c>
      <c r="D22" s="1009">
        <v>313482943</v>
      </c>
      <c r="E22" s="1009">
        <v>330434</v>
      </c>
      <c r="F22" s="1009">
        <v>272014</v>
      </c>
      <c r="G22" s="1009">
        <f t="shared" si="0"/>
        <v>252415228</v>
      </c>
      <c r="H22" s="1009">
        <f t="shared" si="1"/>
        <v>313754957</v>
      </c>
    </row>
    <row r="23" spans="1:8" ht="12.75">
      <c r="A23" s="1004">
        <v>14</v>
      </c>
      <c r="B23" s="1005" t="s">
        <v>682</v>
      </c>
      <c r="C23" s="1006">
        <v>0</v>
      </c>
      <c r="D23" s="1006">
        <v>1200000</v>
      </c>
      <c r="E23" s="1006">
        <v>239591</v>
      </c>
      <c r="F23" s="1006">
        <v>284966</v>
      </c>
      <c r="G23" s="1006">
        <f t="shared" si="0"/>
        <v>239591</v>
      </c>
      <c r="H23" s="1006">
        <f t="shared" si="1"/>
        <v>1484966</v>
      </c>
    </row>
    <row r="24" spans="1:8" ht="12.75">
      <c r="A24" s="1007">
        <v>15</v>
      </c>
      <c r="B24" s="1008" t="s">
        <v>683</v>
      </c>
      <c r="C24" s="1009">
        <v>0</v>
      </c>
      <c r="D24" s="1009">
        <v>1200000</v>
      </c>
      <c r="E24" s="1009">
        <v>239591</v>
      </c>
      <c r="F24" s="1009">
        <v>284966</v>
      </c>
      <c r="G24" s="1009">
        <f t="shared" si="0"/>
        <v>239591</v>
      </c>
      <c r="H24" s="1009">
        <f t="shared" si="1"/>
        <v>1484966</v>
      </c>
    </row>
    <row r="25" spans="1:8" ht="25.5">
      <c r="A25" s="1007">
        <v>16</v>
      </c>
      <c r="B25" s="1008" t="s">
        <v>684</v>
      </c>
      <c r="C25" s="1009">
        <v>0</v>
      </c>
      <c r="D25" s="1009">
        <v>1200000</v>
      </c>
      <c r="E25" s="1009">
        <v>239591</v>
      </c>
      <c r="F25" s="1009">
        <v>284966</v>
      </c>
      <c r="G25" s="1009">
        <f t="shared" si="0"/>
        <v>239591</v>
      </c>
      <c r="H25" s="1009">
        <f t="shared" si="1"/>
        <v>1484966</v>
      </c>
    </row>
    <row r="26" spans="1:8" ht="12.75">
      <c r="A26" s="1004">
        <v>17</v>
      </c>
      <c r="B26" s="1005" t="s">
        <v>685</v>
      </c>
      <c r="C26" s="1006">
        <v>16237742</v>
      </c>
      <c r="D26" s="1006">
        <v>21456358</v>
      </c>
      <c r="E26" s="1006">
        <v>955083</v>
      </c>
      <c r="F26" s="1006">
        <v>285260</v>
      </c>
      <c r="G26" s="1006">
        <f t="shared" si="0"/>
        <v>17192825</v>
      </c>
      <c r="H26" s="1006">
        <f t="shared" si="1"/>
        <v>21741618</v>
      </c>
    </row>
    <row r="27" spans="1:8" ht="12.75">
      <c r="A27" s="1007">
        <v>18</v>
      </c>
      <c r="B27" s="1008" t="s">
        <v>686</v>
      </c>
      <c r="C27" s="1009">
        <v>16237742</v>
      </c>
      <c r="D27" s="1009">
        <v>21456358</v>
      </c>
      <c r="E27" s="1009">
        <v>955083</v>
      </c>
      <c r="F27" s="1009">
        <v>285260</v>
      </c>
      <c r="G27" s="1009">
        <f t="shared" si="0"/>
        <v>17192825</v>
      </c>
      <c r="H27" s="1009">
        <f t="shared" si="1"/>
        <v>21741618</v>
      </c>
    </row>
    <row r="28" spans="1:8" ht="12.75">
      <c r="A28" s="1007">
        <v>19</v>
      </c>
      <c r="B28" s="1008" t="s">
        <v>687</v>
      </c>
      <c r="C28" s="1009">
        <v>16237742</v>
      </c>
      <c r="D28" s="1009">
        <v>21456358</v>
      </c>
      <c r="E28" s="1009">
        <v>955083</v>
      </c>
      <c r="F28" s="1009">
        <v>285260</v>
      </c>
      <c r="G28" s="1009">
        <f t="shared" si="0"/>
        <v>17192825</v>
      </c>
      <c r="H28" s="1009">
        <f t="shared" si="1"/>
        <v>21741618</v>
      </c>
    </row>
    <row r="29" spans="1:8" ht="38.25">
      <c r="A29" s="1004">
        <v>20</v>
      </c>
      <c r="B29" s="1005" t="s">
        <v>688</v>
      </c>
      <c r="C29" s="1006">
        <v>492820</v>
      </c>
      <c r="D29" s="1006">
        <v>746690</v>
      </c>
      <c r="E29" s="1006">
        <v>0</v>
      </c>
      <c r="F29" s="1006">
        <v>0</v>
      </c>
      <c r="G29" s="1006">
        <f t="shared" si="0"/>
        <v>492820</v>
      </c>
      <c r="H29" s="1006">
        <f t="shared" si="1"/>
        <v>746690</v>
      </c>
    </row>
    <row r="30" spans="1:8" ht="25.5">
      <c r="A30" s="1004">
        <v>21</v>
      </c>
      <c r="B30" s="1005" t="s">
        <v>689</v>
      </c>
      <c r="C30" s="1006">
        <v>226309</v>
      </c>
      <c r="D30" s="1006">
        <v>185016</v>
      </c>
      <c r="E30" s="1006">
        <v>0</v>
      </c>
      <c r="F30" s="1006">
        <v>0</v>
      </c>
      <c r="G30" s="1006">
        <f aca="true" t="shared" si="2" ref="G30:G37">+C30+E30</f>
        <v>226309</v>
      </c>
      <c r="H30" s="1006">
        <f aca="true" t="shared" si="3" ref="H30:H37">+D30+F30</f>
        <v>185016</v>
      </c>
    </row>
    <row r="31" spans="1:8" ht="25.5">
      <c r="A31" s="1004">
        <v>22</v>
      </c>
      <c r="B31" s="1005" t="s">
        <v>690</v>
      </c>
      <c r="C31" s="1006">
        <v>54629</v>
      </c>
      <c r="D31" s="1006">
        <v>153732</v>
      </c>
      <c r="E31" s="1006">
        <v>0</v>
      </c>
      <c r="F31" s="1006">
        <v>0</v>
      </c>
      <c r="G31" s="1006">
        <f t="shared" si="2"/>
        <v>54629</v>
      </c>
      <c r="H31" s="1006">
        <f t="shared" si="3"/>
        <v>153732</v>
      </c>
    </row>
    <row r="32" spans="1:8" ht="25.5">
      <c r="A32" s="1004">
        <v>23</v>
      </c>
      <c r="B32" s="1005" t="s">
        <v>691</v>
      </c>
      <c r="C32" s="1006">
        <v>211882</v>
      </c>
      <c r="D32" s="1006">
        <v>407942</v>
      </c>
      <c r="E32" s="1006">
        <v>0</v>
      </c>
      <c r="F32" s="1006">
        <v>0</v>
      </c>
      <c r="G32" s="1006">
        <f t="shared" si="2"/>
        <v>211882</v>
      </c>
      <c r="H32" s="1006">
        <f t="shared" si="3"/>
        <v>407942</v>
      </c>
    </row>
    <row r="33" spans="1:8" ht="38.25">
      <c r="A33" s="1004">
        <v>24</v>
      </c>
      <c r="B33" s="1005" t="s">
        <v>692</v>
      </c>
      <c r="C33" s="1006">
        <v>143480</v>
      </c>
      <c r="D33" s="1006">
        <v>68480</v>
      </c>
      <c r="E33" s="1006">
        <v>5588</v>
      </c>
      <c r="F33" s="1006">
        <v>1160</v>
      </c>
      <c r="G33" s="1006">
        <f t="shared" si="2"/>
        <v>149068</v>
      </c>
      <c r="H33" s="1006">
        <f t="shared" si="3"/>
        <v>69640</v>
      </c>
    </row>
    <row r="34" spans="1:8" ht="51">
      <c r="A34" s="1004">
        <v>25</v>
      </c>
      <c r="B34" s="1005" t="s">
        <v>693</v>
      </c>
      <c r="C34" s="1006">
        <v>68480</v>
      </c>
      <c r="D34" s="1006">
        <v>68480</v>
      </c>
      <c r="E34" s="1006">
        <v>0</v>
      </c>
      <c r="F34" s="1006">
        <v>1160</v>
      </c>
      <c r="G34" s="1006">
        <f t="shared" si="2"/>
        <v>68480</v>
      </c>
      <c r="H34" s="1006">
        <f t="shared" si="3"/>
        <v>69640</v>
      </c>
    </row>
    <row r="35" spans="1:8" ht="25.5">
      <c r="A35" s="1004">
        <v>26</v>
      </c>
      <c r="B35" s="1005" t="s">
        <v>694</v>
      </c>
      <c r="C35" s="1006">
        <v>75000</v>
      </c>
      <c r="D35" s="1006">
        <v>0</v>
      </c>
      <c r="E35" s="1006">
        <v>0</v>
      </c>
      <c r="F35" s="1006">
        <v>0</v>
      </c>
      <c r="G35" s="1006">
        <f t="shared" si="2"/>
        <v>75000</v>
      </c>
      <c r="H35" s="1006">
        <f t="shared" si="3"/>
        <v>0</v>
      </c>
    </row>
    <row r="36" spans="1:8" ht="25.5">
      <c r="A36" s="1004">
        <v>27</v>
      </c>
      <c r="B36" s="1005" t="s">
        <v>724</v>
      </c>
      <c r="C36" s="1006">
        <v>0</v>
      </c>
      <c r="D36" s="1006">
        <v>0</v>
      </c>
      <c r="E36" s="1006">
        <v>5588</v>
      </c>
      <c r="F36" s="1006">
        <v>0</v>
      </c>
      <c r="G36" s="1006">
        <f t="shared" si="2"/>
        <v>5588</v>
      </c>
      <c r="H36" s="1006">
        <f t="shared" si="3"/>
        <v>0</v>
      </c>
    </row>
    <row r="37" spans="1:8" ht="25.5">
      <c r="A37" s="1007">
        <v>28</v>
      </c>
      <c r="B37" s="1008" t="s">
        <v>695</v>
      </c>
      <c r="C37" s="1009">
        <v>636300</v>
      </c>
      <c r="D37" s="1009">
        <v>815170</v>
      </c>
      <c r="E37" s="1009">
        <v>5588</v>
      </c>
      <c r="F37" s="1009">
        <v>1160</v>
      </c>
      <c r="G37" s="1009">
        <f t="shared" si="2"/>
        <v>641888</v>
      </c>
      <c r="H37" s="1009">
        <f t="shared" si="3"/>
        <v>816330</v>
      </c>
    </row>
    <row r="38" spans="1:8" ht="12.75">
      <c r="A38" s="1004">
        <v>29</v>
      </c>
      <c r="B38" s="1005" t="s">
        <v>696</v>
      </c>
      <c r="C38" s="1006">
        <v>81384</v>
      </c>
      <c r="D38" s="1006">
        <v>182824</v>
      </c>
      <c r="E38" s="1006">
        <v>0</v>
      </c>
      <c r="F38" s="1006">
        <v>0</v>
      </c>
      <c r="G38" s="1006">
        <f aca="true" t="shared" si="4" ref="G38:G51">+C38+E38</f>
        <v>81384</v>
      </c>
      <c r="H38" s="1006">
        <f aca="true" t="shared" si="5" ref="H38:H51">+D38+F38</f>
        <v>182824</v>
      </c>
    </row>
    <row r="39" spans="1:8" ht="12.75">
      <c r="A39" s="1004">
        <v>30</v>
      </c>
      <c r="B39" s="1005" t="s">
        <v>697</v>
      </c>
      <c r="C39" s="1006">
        <v>81384</v>
      </c>
      <c r="D39" s="1006">
        <v>182824</v>
      </c>
      <c r="E39" s="1006">
        <v>0</v>
      </c>
      <c r="F39" s="1006">
        <v>0</v>
      </c>
      <c r="G39" s="1006">
        <f t="shared" si="4"/>
        <v>81384</v>
      </c>
      <c r="H39" s="1006">
        <f t="shared" si="5"/>
        <v>182824</v>
      </c>
    </row>
    <row r="40" spans="1:8" ht="12.75">
      <c r="A40" s="1004">
        <v>31</v>
      </c>
      <c r="B40" s="1005" t="s">
        <v>698</v>
      </c>
      <c r="C40" s="1006">
        <v>20000</v>
      </c>
      <c r="D40" s="1006">
        <v>10000</v>
      </c>
      <c r="E40" s="1006">
        <v>0</v>
      </c>
      <c r="F40" s="1006">
        <v>0</v>
      </c>
      <c r="G40" s="1006">
        <f t="shared" si="4"/>
        <v>20000</v>
      </c>
      <c r="H40" s="1006">
        <f t="shared" si="5"/>
        <v>10000</v>
      </c>
    </row>
    <row r="41" spans="1:8" ht="38.25">
      <c r="A41" s="1004">
        <v>32</v>
      </c>
      <c r="B41" s="1005" t="s">
        <v>699</v>
      </c>
      <c r="C41" s="1006">
        <v>16123380</v>
      </c>
      <c r="D41" s="1006">
        <v>16123380</v>
      </c>
      <c r="E41" s="1006">
        <v>0</v>
      </c>
      <c r="F41" s="1006">
        <v>0</v>
      </c>
      <c r="G41" s="1006">
        <f t="shared" si="4"/>
        <v>16123380</v>
      </c>
      <c r="H41" s="1006">
        <f t="shared" si="5"/>
        <v>16123380</v>
      </c>
    </row>
    <row r="42" spans="1:8" ht="25.5">
      <c r="A42" s="1007">
        <v>33</v>
      </c>
      <c r="B42" s="1008" t="s">
        <v>700</v>
      </c>
      <c r="C42" s="1009">
        <v>16224764</v>
      </c>
      <c r="D42" s="1009">
        <v>16316204</v>
      </c>
      <c r="E42" s="1009">
        <v>0</v>
      </c>
      <c r="F42" s="1009">
        <v>0</v>
      </c>
      <c r="G42" s="1009">
        <f t="shared" si="4"/>
        <v>16224764</v>
      </c>
      <c r="H42" s="1009">
        <f t="shared" si="5"/>
        <v>16316204</v>
      </c>
    </row>
    <row r="43" spans="1:8" ht="12.75">
      <c r="A43" s="1007">
        <v>34</v>
      </c>
      <c r="B43" s="1008" t="s">
        <v>701</v>
      </c>
      <c r="C43" s="1009">
        <v>16861064</v>
      </c>
      <c r="D43" s="1009">
        <v>17131374</v>
      </c>
      <c r="E43" s="1009">
        <v>5588</v>
      </c>
      <c r="F43" s="1009">
        <v>1160</v>
      </c>
      <c r="G43" s="1009">
        <f t="shared" si="4"/>
        <v>16866652</v>
      </c>
      <c r="H43" s="1009">
        <f t="shared" si="5"/>
        <v>17132534</v>
      </c>
    </row>
    <row r="44" spans="1:8" ht="12.75">
      <c r="A44" s="1007">
        <v>35</v>
      </c>
      <c r="B44" s="1008" t="s">
        <v>702</v>
      </c>
      <c r="C44" s="1009">
        <v>285183600</v>
      </c>
      <c r="D44" s="1009">
        <v>353270675</v>
      </c>
      <c r="E44" s="1009">
        <v>1530696</v>
      </c>
      <c r="F44" s="1009">
        <v>843400</v>
      </c>
      <c r="G44" s="1009">
        <f t="shared" si="4"/>
        <v>286714296</v>
      </c>
      <c r="H44" s="1009">
        <f t="shared" si="5"/>
        <v>354114075</v>
      </c>
    </row>
    <row r="45" spans="1:8" ht="12.75">
      <c r="A45" s="1004">
        <v>36</v>
      </c>
      <c r="B45" s="1005" t="s">
        <v>703</v>
      </c>
      <c r="C45" s="1006">
        <v>189663144</v>
      </c>
      <c r="D45" s="1006">
        <v>211167679</v>
      </c>
      <c r="E45" s="1006">
        <v>0</v>
      </c>
      <c r="F45" s="1006">
        <v>0</v>
      </c>
      <c r="G45" s="1006">
        <f t="shared" si="4"/>
        <v>189663144</v>
      </c>
      <c r="H45" s="1006">
        <f t="shared" si="5"/>
        <v>211167679</v>
      </c>
    </row>
    <row r="46" spans="1:8" ht="12.75">
      <c r="A46" s="1004">
        <v>37</v>
      </c>
      <c r="B46" s="1005" t="s">
        <v>704</v>
      </c>
      <c r="C46" s="1006">
        <v>51889988</v>
      </c>
      <c r="D46" s="1006">
        <v>54736000</v>
      </c>
      <c r="E46" s="1006">
        <v>0</v>
      </c>
      <c r="F46" s="1006">
        <v>0</v>
      </c>
      <c r="G46" s="1006">
        <f t="shared" si="4"/>
        <v>51889988</v>
      </c>
      <c r="H46" s="1006">
        <f t="shared" si="5"/>
        <v>54736000</v>
      </c>
    </row>
    <row r="47" spans="1:8" ht="25.5">
      <c r="A47" s="1004">
        <v>38</v>
      </c>
      <c r="B47" s="1005" t="s">
        <v>705</v>
      </c>
      <c r="C47" s="1006">
        <v>9921112</v>
      </c>
      <c r="D47" s="1006">
        <v>9921112</v>
      </c>
      <c r="E47" s="1006">
        <v>774191</v>
      </c>
      <c r="F47" s="1006">
        <v>774191</v>
      </c>
      <c r="G47" s="1006">
        <f t="shared" si="4"/>
        <v>10695303</v>
      </c>
      <c r="H47" s="1006">
        <f t="shared" si="5"/>
        <v>10695303</v>
      </c>
    </row>
    <row r="48" spans="1:8" ht="12.75">
      <c r="A48" s="1004">
        <v>39</v>
      </c>
      <c r="B48" s="1005" t="s">
        <v>706</v>
      </c>
      <c r="C48" s="1006">
        <v>44492302</v>
      </c>
      <c r="D48" s="1006">
        <v>30239708</v>
      </c>
      <c r="E48" s="1006">
        <v>-1210131</v>
      </c>
      <c r="F48" s="1006">
        <v>-712562</v>
      </c>
      <c r="G48" s="1006">
        <f t="shared" si="4"/>
        <v>43282171</v>
      </c>
      <c r="H48" s="1006">
        <f t="shared" si="5"/>
        <v>29527146</v>
      </c>
    </row>
    <row r="49" spans="1:8" ht="12.75">
      <c r="A49" s="1004">
        <v>40</v>
      </c>
      <c r="B49" s="1005" t="s">
        <v>725</v>
      </c>
      <c r="C49" s="1006">
        <v>0</v>
      </c>
      <c r="D49" s="1006">
        <v>0</v>
      </c>
      <c r="E49" s="1006">
        <v>0</v>
      </c>
      <c r="F49" s="1006">
        <v>0</v>
      </c>
      <c r="G49" s="1006">
        <f t="shared" si="4"/>
        <v>0</v>
      </c>
      <c r="H49" s="1006">
        <f t="shared" si="5"/>
        <v>0</v>
      </c>
    </row>
    <row r="50" spans="1:8" ht="12.75">
      <c r="A50" s="1004">
        <v>41</v>
      </c>
      <c r="B50" s="1005" t="s">
        <v>707</v>
      </c>
      <c r="C50" s="1006">
        <v>-14252594</v>
      </c>
      <c r="D50" s="1006">
        <v>39544838</v>
      </c>
      <c r="E50" s="1006">
        <v>497569</v>
      </c>
      <c r="F50" s="1006">
        <v>-498613</v>
      </c>
      <c r="G50" s="1006">
        <f t="shared" si="4"/>
        <v>-13755025</v>
      </c>
      <c r="H50" s="1006">
        <f t="shared" si="5"/>
        <v>39046225</v>
      </c>
    </row>
    <row r="51" spans="1:8" ht="12.75">
      <c r="A51" s="1007">
        <v>42</v>
      </c>
      <c r="B51" s="1008" t="s">
        <v>708</v>
      </c>
      <c r="C51" s="1009">
        <v>281713952</v>
      </c>
      <c r="D51" s="1009">
        <v>345609337</v>
      </c>
      <c r="E51" s="1009">
        <v>61629</v>
      </c>
      <c r="F51" s="1009">
        <v>-436984</v>
      </c>
      <c r="G51" s="1009">
        <f t="shared" si="4"/>
        <v>281775581</v>
      </c>
      <c r="H51" s="1009">
        <f t="shared" si="5"/>
        <v>345172353</v>
      </c>
    </row>
    <row r="52" spans="1:8" ht="38.25">
      <c r="A52" s="1004">
        <v>43</v>
      </c>
      <c r="B52" s="1005" t="s">
        <v>709</v>
      </c>
      <c r="C52" s="1006">
        <v>1276685</v>
      </c>
      <c r="D52" s="1006">
        <v>1115380</v>
      </c>
      <c r="E52" s="1006">
        <v>0</v>
      </c>
      <c r="F52" s="1006">
        <v>0</v>
      </c>
      <c r="G52" s="1006">
        <f aca="true" t="shared" si="6" ref="G52:G61">+C52+E52</f>
        <v>1276685</v>
      </c>
      <c r="H52" s="1006">
        <f aca="true" t="shared" si="7" ref="H52:H61">+D52+F52</f>
        <v>1115380</v>
      </c>
    </row>
    <row r="53" spans="1:8" ht="38.25">
      <c r="A53" s="1004">
        <v>44</v>
      </c>
      <c r="B53" s="1005" t="s">
        <v>710</v>
      </c>
      <c r="C53" s="1006">
        <v>1276685</v>
      </c>
      <c r="D53" s="1006">
        <v>1115380</v>
      </c>
      <c r="E53" s="1006">
        <v>0</v>
      </c>
      <c r="F53" s="1006">
        <v>0</v>
      </c>
      <c r="G53" s="1006">
        <f t="shared" si="6"/>
        <v>1276685</v>
      </c>
      <c r="H53" s="1006">
        <f t="shared" si="7"/>
        <v>1115380</v>
      </c>
    </row>
    <row r="54" spans="1:8" ht="25.5">
      <c r="A54" s="1007">
        <v>45</v>
      </c>
      <c r="B54" s="1008" t="s">
        <v>711</v>
      </c>
      <c r="C54" s="1009">
        <v>1276685</v>
      </c>
      <c r="D54" s="1009">
        <v>1115380</v>
      </c>
      <c r="E54" s="1009">
        <v>0</v>
      </c>
      <c r="F54" s="1009">
        <v>0</v>
      </c>
      <c r="G54" s="1009">
        <f t="shared" si="6"/>
        <v>1276685</v>
      </c>
      <c r="H54" s="1009">
        <f t="shared" si="7"/>
        <v>1115380</v>
      </c>
    </row>
    <row r="55" spans="1:8" ht="25.5">
      <c r="A55" s="1004">
        <v>46</v>
      </c>
      <c r="B55" s="1005" t="s">
        <v>712</v>
      </c>
      <c r="C55" s="1006">
        <v>40077</v>
      </c>
      <c r="D55" s="1006">
        <v>37786</v>
      </c>
      <c r="E55" s="1006">
        <v>0</v>
      </c>
      <c r="F55" s="1006">
        <v>0</v>
      </c>
      <c r="G55" s="1006">
        <f t="shared" si="6"/>
        <v>40077</v>
      </c>
      <c r="H55" s="1006">
        <f t="shared" si="7"/>
        <v>37786</v>
      </c>
    </row>
    <row r="56" spans="1:8" ht="25.5">
      <c r="A56" s="1007">
        <v>47</v>
      </c>
      <c r="B56" s="1008" t="s">
        <v>713</v>
      </c>
      <c r="C56" s="1009">
        <v>40077</v>
      </c>
      <c r="D56" s="1009">
        <v>37786</v>
      </c>
      <c r="E56" s="1009">
        <v>0</v>
      </c>
      <c r="F56" s="1009">
        <v>0</v>
      </c>
      <c r="G56" s="1009">
        <f t="shared" si="6"/>
        <v>40077</v>
      </c>
      <c r="H56" s="1009">
        <f t="shared" si="7"/>
        <v>37786</v>
      </c>
    </row>
    <row r="57" spans="1:8" ht="12.75">
      <c r="A57" s="1007">
        <v>48</v>
      </c>
      <c r="B57" s="1008" t="s">
        <v>714</v>
      </c>
      <c r="C57" s="1009">
        <v>1316762</v>
      </c>
      <c r="D57" s="1009">
        <v>1153166</v>
      </c>
      <c r="E57" s="1009">
        <v>0</v>
      </c>
      <c r="F57" s="1009">
        <v>0</v>
      </c>
      <c r="G57" s="1009">
        <f t="shared" si="6"/>
        <v>1316762</v>
      </c>
      <c r="H57" s="1009">
        <f t="shared" si="7"/>
        <v>1153166</v>
      </c>
    </row>
    <row r="58" spans="1:8" ht="25.5">
      <c r="A58" s="1004">
        <v>49</v>
      </c>
      <c r="B58" s="1005" t="s">
        <v>715</v>
      </c>
      <c r="C58" s="1006">
        <v>1916235</v>
      </c>
      <c r="D58" s="1006">
        <v>1770412</v>
      </c>
      <c r="E58" s="1006">
        <v>1469067</v>
      </c>
      <c r="F58" s="1006">
        <v>1280384</v>
      </c>
      <c r="G58" s="1006">
        <f t="shared" si="6"/>
        <v>3385302</v>
      </c>
      <c r="H58" s="1006">
        <f t="shared" si="7"/>
        <v>3050796</v>
      </c>
    </row>
    <row r="59" spans="1:8" ht="12.75">
      <c r="A59" s="1004">
        <v>50</v>
      </c>
      <c r="B59" s="1005" t="s">
        <v>716</v>
      </c>
      <c r="C59" s="1006">
        <v>236651</v>
      </c>
      <c r="D59" s="1006">
        <v>4737760</v>
      </c>
      <c r="E59" s="1006">
        <v>0</v>
      </c>
      <c r="F59" s="1006">
        <v>0</v>
      </c>
      <c r="G59" s="1006">
        <f t="shared" si="6"/>
        <v>236651</v>
      </c>
      <c r="H59" s="1006">
        <f t="shared" si="7"/>
        <v>4737760</v>
      </c>
    </row>
    <row r="60" spans="1:8" ht="25.5">
      <c r="A60" s="1007">
        <v>51</v>
      </c>
      <c r="B60" s="1008" t="s">
        <v>717</v>
      </c>
      <c r="C60" s="1009">
        <v>2152886</v>
      </c>
      <c r="D60" s="1009">
        <v>6508172</v>
      </c>
      <c r="E60" s="1009">
        <v>1469067</v>
      </c>
      <c r="F60" s="1009">
        <v>1280384</v>
      </c>
      <c r="G60" s="1009">
        <f t="shared" si="6"/>
        <v>3621953</v>
      </c>
      <c r="H60" s="1009">
        <f t="shared" si="7"/>
        <v>7788556</v>
      </c>
    </row>
    <row r="61" spans="1:8" ht="12.75">
      <c r="A61" s="1007">
        <v>52</v>
      </c>
      <c r="B61" s="1008" t="s">
        <v>718</v>
      </c>
      <c r="C61" s="1009">
        <v>285183600</v>
      </c>
      <c r="D61" s="1009">
        <v>353270675</v>
      </c>
      <c r="E61" s="1009">
        <v>1530696</v>
      </c>
      <c r="F61" s="1009">
        <v>843400</v>
      </c>
      <c r="G61" s="1009">
        <f t="shared" si="6"/>
        <v>286714296</v>
      </c>
      <c r="H61" s="1009">
        <f t="shared" si="7"/>
        <v>354114075</v>
      </c>
    </row>
  </sheetData>
  <sheetProtection/>
  <mergeCells count="7">
    <mergeCell ref="A7:D7"/>
    <mergeCell ref="C8:D8"/>
    <mergeCell ref="E8:F8"/>
    <mergeCell ref="G8:H8"/>
    <mergeCell ref="A1:F1"/>
    <mergeCell ref="A3:F3"/>
    <mergeCell ref="A4:H4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-55-12-2f1c55-68-6b-7d-302c-6a57-17-4b-18-4a-4013-746f&amp;C&amp;R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70">
      <selection activeCell="G91" sqref="G91"/>
    </sheetView>
  </sheetViews>
  <sheetFormatPr defaultColWidth="60.421875" defaultRowHeight="12.75"/>
  <cols>
    <col min="1" max="1" width="60.421875" style="1034" customWidth="1"/>
    <col min="2" max="2" width="5.57421875" style="1035" customWidth="1"/>
    <col min="3" max="3" width="13.140625" style="1034" customWidth="1"/>
    <col min="4" max="4" width="14.8515625" style="1034" customWidth="1"/>
    <col min="5" max="255" width="10.7109375" style="1011" customWidth="1"/>
    <col min="256" max="16384" width="60.421875" style="1011" customWidth="1"/>
  </cols>
  <sheetData>
    <row r="1" spans="1:256" ht="49.5" customHeight="1">
      <c r="A1" s="1453" t="s">
        <v>904</v>
      </c>
      <c r="B1" s="1453"/>
      <c r="C1" s="1453"/>
      <c r="D1" s="1453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  <c r="AZ1" s="1010"/>
      <c r="BA1" s="1010"/>
      <c r="BB1" s="1010"/>
      <c r="BC1" s="1010"/>
      <c r="BD1" s="1010"/>
      <c r="BE1" s="1010"/>
      <c r="BF1" s="1010"/>
      <c r="BG1" s="1010"/>
      <c r="BH1" s="1010"/>
      <c r="BI1" s="1010"/>
      <c r="BJ1" s="1010"/>
      <c r="BK1" s="1010"/>
      <c r="BL1" s="1010"/>
      <c r="BM1" s="1010"/>
      <c r="BN1" s="1010"/>
      <c r="BO1" s="1010"/>
      <c r="BP1" s="1010"/>
      <c r="BQ1" s="1010"/>
      <c r="BR1" s="1010"/>
      <c r="BS1" s="1010"/>
      <c r="BT1" s="1010"/>
      <c r="BU1" s="1010"/>
      <c r="BV1" s="1010"/>
      <c r="BW1" s="1010"/>
      <c r="BX1" s="1010"/>
      <c r="BY1" s="1010"/>
      <c r="BZ1" s="1010"/>
      <c r="CA1" s="1010"/>
      <c r="CB1" s="1010"/>
      <c r="CC1" s="1010"/>
      <c r="CD1" s="1010"/>
      <c r="CE1" s="1010"/>
      <c r="CF1" s="1010"/>
      <c r="CG1" s="1010"/>
      <c r="CH1" s="1010"/>
      <c r="CI1" s="1010"/>
      <c r="CJ1" s="1010"/>
      <c r="CK1" s="1010"/>
      <c r="CL1" s="1010"/>
      <c r="CM1" s="1010"/>
      <c r="CN1" s="1010"/>
      <c r="CO1" s="1010"/>
      <c r="CP1" s="1010"/>
      <c r="CQ1" s="1010"/>
      <c r="CR1" s="1010"/>
      <c r="CS1" s="1010"/>
      <c r="CT1" s="1010"/>
      <c r="CU1" s="1010"/>
      <c r="CV1" s="1010"/>
      <c r="CW1" s="1010"/>
      <c r="CX1" s="1010"/>
      <c r="CY1" s="1010"/>
      <c r="CZ1" s="1010"/>
      <c r="DA1" s="1010"/>
      <c r="DB1" s="1010"/>
      <c r="DC1" s="1010"/>
      <c r="DD1" s="1010"/>
      <c r="DE1" s="1010"/>
      <c r="DF1" s="1010"/>
      <c r="DG1" s="1010"/>
      <c r="DH1" s="1010"/>
      <c r="DI1" s="1010"/>
      <c r="DJ1" s="1010"/>
      <c r="DK1" s="1010"/>
      <c r="DL1" s="1010"/>
      <c r="DM1" s="1010"/>
      <c r="DN1" s="1010"/>
      <c r="DO1" s="1010"/>
      <c r="DP1" s="1010"/>
      <c r="DQ1" s="1010"/>
      <c r="DR1" s="1010"/>
      <c r="DS1" s="1010"/>
      <c r="DT1" s="1010"/>
      <c r="DU1" s="1010"/>
      <c r="DV1" s="1010"/>
      <c r="DW1" s="1010"/>
      <c r="DX1" s="1010"/>
      <c r="DY1" s="1010"/>
      <c r="DZ1" s="1010"/>
      <c r="EA1" s="1010"/>
      <c r="EB1" s="1010"/>
      <c r="EC1" s="1010"/>
      <c r="ED1" s="1010"/>
      <c r="EE1" s="1010"/>
      <c r="EF1" s="1010"/>
      <c r="EG1" s="1010"/>
      <c r="EH1" s="1010"/>
      <c r="EI1" s="1010"/>
      <c r="EJ1" s="1010"/>
      <c r="EK1" s="1010"/>
      <c r="EL1" s="1010"/>
      <c r="EM1" s="1010"/>
      <c r="EN1" s="1010"/>
      <c r="EO1" s="1010"/>
      <c r="EP1" s="1010"/>
      <c r="EQ1" s="1010"/>
      <c r="ER1" s="1010"/>
      <c r="ES1" s="1010"/>
      <c r="ET1" s="1010"/>
      <c r="EU1" s="1010"/>
      <c r="EV1" s="1010"/>
      <c r="EW1" s="1010"/>
      <c r="EX1" s="1010"/>
      <c r="EY1" s="1010"/>
      <c r="EZ1" s="1010"/>
      <c r="FA1" s="1010"/>
      <c r="FB1" s="1010"/>
      <c r="FC1" s="1010"/>
      <c r="FD1" s="1010"/>
      <c r="FE1" s="1010"/>
      <c r="FF1" s="1010"/>
      <c r="FG1" s="1010"/>
      <c r="FH1" s="1010"/>
      <c r="FI1" s="1010"/>
      <c r="FJ1" s="1010"/>
      <c r="FK1" s="1010"/>
      <c r="FL1" s="1010"/>
      <c r="FM1" s="1010"/>
      <c r="FN1" s="1010"/>
      <c r="FO1" s="1010"/>
      <c r="FP1" s="1010"/>
      <c r="FQ1" s="1010"/>
      <c r="FR1" s="1010"/>
      <c r="FS1" s="1010"/>
      <c r="FT1" s="1010"/>
      <c r="FU1" s="1010"/>
      <c r="FV1" s="1010"/>
      <c r="FW1" s="1010"/>
      <c r="FX1" s="1010"/>
      <c r="FY1" s="1010"/>
      <c r="FZ1" s="1010"/>
      <c r="GA1" s="1010"/>
      <c r="GB1" s="1010"/>
      <c r="GC1" s="1010"/>
      <c r="GD1" s="1010"/>
      <c r="GE1" s="1010"/>
      <c r="GF1" s="1010"/>
      <c r="GG1" s="1010"/>
      <c r="GH1" s="1010"/>
      <c r="GI1" s="1010"/>
      <c r="GJ1" s="1010"/>
      <c r="GK1" s="1010"/>
      <c r="GL1" s="1010"/>
      <c r="GM1" s="1010"/>
      <c r="GN1" s="1010"/>
      <c r="GO1" s="1010"/>
      <c r="GP1" s="1010"/>
      <c r="GQ1" s="1010"/>
      <c r="GR1" s="1010"/>
      <c r="GS1" s="1010"/>
      <c r="GT1" s="1010"/>
      <c r="GU1" s="1010"/>
      <c r="GV1" s="1010"/>
      <c r="GW1" s="1010"/>
      <c r="GX1" s="1010"/>
      <c r="GY1" s="1010"/>
      <c r="GZ1" s="1010"/>
      <c r="HA1" s="1010"/>
      <c r="HB1" s="1010"/>
      <c r="HC1" s="1010"/>
      <c r="HD1" s="1010"/>
      <c r="HE1" s="1010"/>
      <c r="HF1" s="1010"/>
      <c r="HG1" s="1010"/>
      <c r="HH1" s="1010"/>
      <c r="HI1" s="1010"/>
      <c r="HJ1" s="1010"/>
      <c r="HK1" s="1010"/>
      <c r="HL1" s="1010"/>
      <c r="HM1" s="1010"/>
      <c r="HN1" s="1010"/>
      <c r="HO1" s="1010"/>
      <c r="HP1" s="1010"/>
      <c r="HQ1" s="1010"/>
      <c r="HR1" s="1010"/>
      <c r="HS1" s="1010"/>
      <c r="HT1" s="1010"/>
      <c r="HU1" s="1010"/>
      <c r="HV1" s="1010"/>
      <c r="HW1" s="1010"/>
      <c r="HX1" s="1010"/>
      <c r="HY1" s="1010"/>
      <c r="HZ1" s="1010"/>
      <c r="IA1" s="1010"/>
      <c r="IB1" s="1010"/>
      <c r="IC1" s="1010"/>
      <c r="ID1" s="1010"/>
      <c r="IE1" s="1010"/>
      <c r="IF1" s="1010"/>
      <c r="IG1" s="1010"/>
      <c r="IH1" s="1010"/>
      <c r="II1" s="1010"/>
      <c r="IJ1" s="1010"/>
      <c r="IK1" s="1010"/>
      <c r="IL1" s="1010"/>
      <c r="IM1" s="1010"/>
      <c r="IN1" s="1010"/>
      <c r="IO1" s="1010"/>
      <c r="IP1" s="1010"/>
      <c r="IQ1" s="1010"/>
      <c r="IR1" s="1010"/>
      <c r="IS1" s="1010"/>
      <c r="IT1" s="1010"/>
      <c r="IU1" s="1010"/>
      <c r="IV1" s="1010"/>
    </row>
    <row r="2" spans="1:256" ht="16.5" thickBot="1">
      <c r="A2" s="1012" t="s">
        <v>337</v>
      </c>
      <c r="B2" s="1013"/>
      <c r="C2" s="1454" t="s">
        <v>729</v>
      </c>
      <c r="D2" s="1454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  <c r="AZ2" s="1010"/>
      <c r="BA2" s="1010"/>
      <c r="BB2" s="1010"/>
      <c r="BC2" s="1010"/>
      <c r="BD2" s="1010"/>
      <c r="BE2" s="1010"/>
      <c r="BF2" s="1010"/>
      <c r="BG2" s="1010"/>
      <c r="BH2" s="1010"/>
      <c r="BI2" s="1010"/>
      <c r="BJ2" s="1010"/>
      <c r="BK2" s="1010"/>
      <c r="BL2" s="1010"/>
      <c r="BM2" s="1010"/>
      <c r="BN2" s="1010"/>
      <c r="BO2" s="1010"/>
      <c r="BP2" s="1010"/>
      <c r="BQ2" s="1010"/>
      <c r="BR2" s="1010"/>
      <c r="BS2" s="1010"/>
      <c r="BT2" s="1010"/>
      <c r="BU2" s="1010"/>
      <c r="BV2" s="1010"/>
      <c r="BW2" s="1010"/>
      <c r="BX2" s="1010"/>
      <c r="BY2" s="1010"/>
      <c r="BZ2" s="1010"/>
      <c r="CA2" s="1010"/>
      <c r="CB2" s="1010"/>
      <c r="CC2" s="1010"/>
      <c r="CD2" s="1010"/>
      <c r="CE2" s="1010"/>
      <c r="CF2" s="1010"/>
      <c r="CG2" s="1010"/>
      <c r="CH2" s="1010"/>
      <c r="CI2" s="1010"/>
      <c r="CJ2" s="1010"/>
      <c r="CK2" s="1010"/>
      <c r="CL2" s="1010"/>
      <c r="CM2" s="1010"/>
      <c r="CN2" s="1010"/>
      <c r="CO2" s="1010"/>
      <c r="CP2" s="1010"/>
      <c r="CQ2" s="1010"/>
      <c r="CR2" s="1010"/>
      <c r="CS2" s="1010"/>
      <c r="CT2" s="1010"/>
      <c r="CU2" s="1010"/>
      <c r="CV2" s="1010"/>
      <c r="CW2" s="1010"/>
      <c r="CX2" s="1010"/>
      <c r="CY2" s="1010"/>
      <c r="CZ2" s="1010"/>
      <c r="DA2" s="1010"/>
      <c r="DB2" s="1010"/>
      <c r="DC2" s="1010"/>
      <c r="DD2" s="1010"/>
      <c r="DE2" s="1010"/>
      <c r="DF2" s="1010"/>
      <c r="DG2" s="1010"/>
      <c r="DH2" s="1010"/>
      <c r="DI2" s="1010"/>
      <c r="DJ2" s="1010"/>
      <c r="DK2" s="1010"/>
      <c r="DL2" s="1010"/>
      <c r="DM2" s="1010"/>
      <c r="DN2" s="1010"/>
      <c r="DO2" s="1010"/>
      <c r="DP2" s="1010"/>
      <c r="DQ2" s="1010"/>
      <c r="DR2" s="1010"/>
      <c r="DS2" s="1010"/>
      <c r="DT2" s="1010"/>
      <c r="DU2" s="1010"/>
      <c r="DV2" s="1010"/>
      <c r="DW2" s="1010"/>
      <c r="DX2" s="1010"/>
      <c r="DY2" s="1010"/>
      <c r="DZ2" s="1010"/>
      <c r="EA2" s="1010"/>
      <c r="EB2" s="1010"/>
      <c r="EC2" s="1010"/>
      <c r="ED2" s="1010"/>
      <c r="EE2" s="1010"/>
      <c r="EF2" s="1010"/>
      <c r="EG2" s="1010"/>
      <c r="EH2" s="1010"/>
      <c r="EI2" s="1010"/>
      <c r="EJ2" s="1010"/>
      <c r="EK2" s="1010"/>
      <c r="EL2" s="1010"/>
      <c r="EM2" s="1010"/>
      <c r="EN2" s="1010"/>
      <c r="EO2" s="1010"/>
      <c r="EP2" s="1010"/>
      <c r="EQ2" s="1010"/>
      <c r="ER2" s="1010"/>
      <c r="ES2" s="1010"/>
      <c r="ET2" s="1010"/>
      <c r="EU2" s="1010"/>
      <c r="EV2" s="1010"/>
      <c r="EW2" s="1010"/>
      <c r="EX2" s="1010"/>
      <c r="EY2" s="1010"/>
      <c r="EZ2" s="1010"/>
      <c r="FA2" s="1010"/>
      <c r="FB2" s="1010"/>
      <c r="FC2" s="1010"/>
      <c r="FD2" s="1010"/>
      <c r="FE2" s="1010"/>
      <c r="FF2" s="1010"/>
      <c r="FG2" s="1010"/>
      <c r="FH2" s="1010"/>
      <c r="FI2" s="1010"/>
      <c r="FJ2" s="1010"/>
      <c r="FK2" s="1010"/>
      <c r="FL2" s="1010"/>
      <c r="FM2" s="1010"/>
      <c r="FN2" s="1010"/>
      <c r="FO2" s="1010"/>
      <c r="FP2" s="1010"/>
      <c r="FQ2" s="1010"/>
      <c r="FR2" s="1010"/>
      <c r="FS2" s="1010"/>
      <c r="FT2" s="1010"/>
      <c r="FU2" s="1010"/>
      <c r="FV2" s="1010"/>
      <c r="FW2" s="1010"/>
      <c r="FX2" s="1010"/>
      <c r="FY2" s="1010"/>
      <c r="FZ2" s="1010"/>
      <c r="GA2" s="1010"/>
      <c r="GB2" s="1010"/>
      <c r="GC2" s="1010"/>
      <c r="GD2" s="1010"/>
      <c r="GE2" s="1010"/>
      <c r="GF2" s="1010"/>
      <c r="GG2" s="1010"/>
      <c r="GH2" s="1010"/>
      <c r="GI2" s="1010"/>
      <c r="GJ2" s="1010"/>
      <c r="GK2" s="1010"/>
      <c r="GL2" s="1010"/>
      <c r="GM2" s="1010"/>
      <c r="GN2" s="1010"/>
      <c r="GO2" s="1010"/>
      <c r="GP2" s="1010"/>
      <c r="GQ2" s="1010"/>
      <c r="GR2" s="1010"/>
      <c r="GS2" s="1010"/>
      <c r="GT2" s="1010"/>
      <c r="GU2" s="1010"/>
      <c r="GV2" s="1010"/>
      <c r="GW2" s="1010"/>
      <c r="GX2" s="1010"/>
      <c r="GY2" s="1010"/>
      <c r="GZ2" s="1010"/>
      <c r="HA2" s="1010"/>
      <c r="HB2" s="1010"/>
      <c r="HC2" s="1010"/>
      <c r="HD2" s="1010"/>
      <c r="HE2" s="1010"/>
      <c r="HF2" s="1010"/>
      <c r="HG2" s="1010"/>
      <c r="HH2" s="1010"/>
      <c r="HI2" s="1010"/>
      <c r="HJ2" s="1010"/>
      <c r="HK2" s="1010"/>
      <c r="HL2" s="1010"/>
      <c r="HM2" s="1010"/>
      <c r="HN2" s="1010"/>
      <c r="HO2" s="1010"/>
      <c r="HP2" s="1010"/>
      <c r="HQ2" s="1010"/>
      <c r="HR2" s="1010"/>
      <c r="HS2" s="1010"/>
      <c r="HT2" s="1010"/>
      <c r="HU2" s="1010"/>
      <c r="HV2" s="1010"/>
      <c r="HW2" s="1010"/>
      <c r="HX2" s="1010"/>
      <c r="HY2" s="1010"/>
      <c r="HZ2" s="1010"/>
      <c r="IA2" s="1010"/>
      <c r="IB2" s="1010"/>
      <c r="IC2" s="1010"/>
      <c r="ID2" s="1010"/>
      <c r="IE2" s="1010"/>
      <c r="IF2" s="1010"/>
      <c r="IG2" s="1010"/>
      <c r="IH2" s="1010"/>
      <c r="II2" s="1010"/>
      <c r="IJ2" s="1010"/>
      <c r="IK2" s="1010"/>
      <c r="IL2" s="1010"/>
      <c r="IM2" s="1010"/>
      <c r="IN2" s="1010"/>
      <c r="IO2" s="1010"/>
      <c r="IP2" s="1010"/>
      <c r="IQ2" s="1010"/>
      <c r="IR2" s="1010"/>
      <c r="IS2" s="1010"/>
      <c r="IT2" s="1010"/>
      <c r="IU2" s="1010"/>
      <c r="IV2" s="1010"/>
    </row>
    <row r="3" spans="1:256" ht="15.75" customHeight="1" thickBot="1">
      <c r="A3" s="1455" t="s">
        <v>730</v>
      </c>
      <c r="B3" s="1456" t="s">
        <v>1</v>
      </c>
      <c r="C3" s="1457" t="s">
        <v>731</v>
      </c>
      <c r="D3" s="1457" t="s">
        <v>732</v>
      </c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  <c r="AM3" s="1010"/>
      <c r="AN3" s="1010"/>
      <c r="AO3" s="1010"/>
      <c r="AP3" s="1010"/>
      <c r="AQ3" s="1010"/>
      <c r="AR3" s="1010"/>
      <c r="AS3" s="1010"/>
      <c r="AT3" s="1010"/>
      <c r="AU3" s="1010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  <c r="BG3" s="1010"/>
      <c r="BH3" s="1010"/>
      <c r="BI3" s="1010"/>
      <c r="BJ3" s="1010"/>
      <c r="BK3" s="1010"/>
      <c r="BL3" s="1010"/>
      <c r="BM3" s="1010"/>
      <c r="BN3" s="1010"/>
      <c r="BO3" s="1010"/>
      <c r="BP3" s="1010"/>
      <c r="BQ3" s="1010"/>
      <c r="BR3" s="1010"/>
      <c r="BS3" s="1010"/>
      <c r="BT3" s="1010"/>
      <c r="BU3" s="1010"/>
      <c r="BV3" s="1010"/>
      <c r="BW3" s="1010"/>
      <c r="BX3" s="1010"/>
      <c r="BY3" s="1010"/>
      <c r="BZ3" s="1010"/>
      <c r="CA3" s="1010"/>
      <c r="CB3" s="1010"/>
      <c r="CC3" s="1010"/>
      <c r="CD3" s="1010"/>
      <c r="CE3" s="1010"/>
      <c r="CF3" s="1010"/>
      <c r="CG3" s="1010"/>
      <c r="CH3" s="1010"/>
      <c r="CI3" s="1010"/>
      <c r="CJ3" s="1010"/>
      <c r="CK3" s="1010"/>
      <c r="CL3" s="1010"/>
      <c r="CM3" s="1010"/>
      <c r="CN3" s="1010"/>
      <c r="CO3" s="1010"/>
      <c r="CP3" s="1010"/>
      <c r="CQ3" s="1010"/>
      <c r="CR3" s="1010"/>
      <c r="CS3" s="1010"/>
      <c r="CT3" s="1010"/>
      <c r="CU3" s="1010"/>
      <c r="CV3" s="1010"/>
      <c r="CW3" s="1010"/>
      <c r="CX3" s="1010"/>
      <c r="CY3" s="1010"/>
      <c r="CZ3" s="1010"/>
      <c r="DA3" s="1010"/>
      <c r="DB3" s="1010"/>
      <c r="DC3" s="1010"/>
      <c r="DD3" s="1010"/>
      <c r="DE3" s="1010"/>
      <c r="DF3" s="1010"/>
      <c r="DG3" s="1010"/>
      <c r="DH3" s="1010"/>
      <c r="DI3" s="1010"/>
      <c r="DJ3" s="1010"/>
      <c r="DK3" s="1010"/>
      <c r="DL3" s="1010"/>
      <c r="DM3" s="1010"/>
      <c r="DN3" s="1010"/>
      <c r="DO3" s="1010"/>
      <c r="DP3" s="1010"/>
      <c r="DQ3" s="1010"/>
      <c r="DR3" s="1010"/>
      <c r="DS3" s="1010"/>
      <c r="DT3" s="1010"/>
      <c r="DU3" s="1010"/>
      <c r="DV3" s="1010"/>
      <c r="DW3" s="1010"/>
      <c r="DX3" s="1010"/>
      <c r="DY3" s="1010"/>
      <c r="DZ3" s="1010"/>
      <c r="EA3" s="1010"/>
      <c r="EB3" s="1010"/>
      <c r="EC3" s="1010"/>
      <c r="ED3" s="1010"/>
      <c r="EE3" s="1010"/>
      <c r="EF3" s="1010"/>
      <c r="EG3" s="1010"/>
      <c r="EH3" s="1010"/>
      <c r="EI3" s="1010"/>
      <c r="EJ3" s="1010"/>
      <c r="EK3" s="1010"/>
      <c r="EL3" s="1010"/>
      <c r="EM3" s="1010"/>
      <c r="EN3" s="1010"/>
      <c r="EO3" s="1010"/>
      <c r="EP3" s="1010"/>
      <c r="EQ3" s="1010"/>
      <c r="ER3" s="1010"/>
      <c r="ES3" s="1010"/>
      <c r="ET3" s="1010"/>
      <c r="EU3" s="1010"/>
      <c r="EV3" s="1010"/>
      <c r="EW3" s="1010"/>
      <c r="EX3" s="1010"/>
      <c r="EY3" s="1010"/>
      <c r="EZ3" s="1010"/>
      <c r="FA3" s="1010"/>
      <c r="FB3" s="1010"/>
      <c r="FC3" s="1010"/>
      <c r="FD3" s="1010"/>
      <c r="FE3" s="1010"/>
      <c r="FF3" s="1010"/>
      <c r="FG3" s="1010"/>
      <c r="FH3" s="1010"/>
      <c r="FI3" s="1010"/>
      <c r="FJ3" s="1010"/>
      <c r="FK3" s="1010"/>
      <c r="FL3" s="1010"/>
      <c r="FM3" s="1010"/>
      <c r="FN3" s="1010"/>
      <c r="FO3" s="1010"/>
      <c r="FP3" s="1010"/>
      <c r="FQ3" s="1010"/>
      <c r="FR3" s="1010"/>
      <c r="FS3" s="1010"/>
      <c r="FT3" s="1010"/>
      <c r="FU3" s="1010"/>
      <c r="FV3" s="1010"/>
      <c r="FW3" s="1010"/>
      <c r="FX3" s="1010"/>
      <c r="FY3" s="1010"/>
      <c r="FZ3" s="1010"/>
      <c r="GA3" s="1010"/>
      <c r="GB3" s="1010"/>
      <c r="GC3" s="1010"/>
      <c r="GD3" s="1010"/>
      <c r="GE3" s="1010"/>
      <c r="GF3" s="1010"/>
      <c r="GG3" s="1010"/>
      <c r="GH3" s="1010"/>
      <c r="GI3" s="1010"/>
      <c r="GJ3" s="1010"/>
      <c r="GK3" s="1010"/>
      <c r="GL3" s="1010"/>
      <c r="GM3" s="1010"/>
      <c r="GN3" s="1010"/>
      <c r="GO3" s="1010"/>
      <c r="GP3" s="1010"/>
      <c r="GQ3" s="1010"/>
      <c r="GR3" s="1010"/>
      <c r="GS3" s="1010"/>
      <c r="GT3" s="1010"/>
      <c r="GU3" s="1010"/>
      <c r="GV3" s="1010"/>
      <c r="GW3" s="1010"/>
      <c r="GX3" s="1010"/>
      <c r="GY3" s="1010"/>
      <c r="GZ3" s="1010"/>
      <c r="HA3" s="1010"/>
      <c r="HB3" s="1010"/>
      <c r="HC3" s="1010"/>
      <c r="HD3" s="1010"/>
      <c r="HE3" s="1010"/>
      <c r="HF3" s="1010"/>
      <c r="HG3" s="1010"/>
      <c r="HH3" s="1010"/>
      <c r="HI3" s="1010"/>
      <c r="HJ3" s="1010"/>
      <c r="HK3" s="1010"/>
      <c r="HL3" s="1010"/>
      <c r="HM3" s="1010"/>
      <c r="HN3" s="1010"/>
      <c r="HO3" s="1010"/>
      <c r="HP3" s="1010"/>
      <c r="HQ3" s="1010"/>
      <c r="HR3" s="1010"/>
      <c r="HS3" s="1010"/>
      <c r="HT3" s="1010"/>
      <c r="HU3" s="1010"/>
      <c r="HV3" s="1010"/>
      <c r="HW3" s="1010"/>
      <c r="HX3" s="1010"/>
      <c r="HY3" s="1010"/>
      <c r="HZ3" s="1010"/>
      <c r="IA3" s="1010"/>
      <c r="IB3" s="1010"/>
      <c r="IC3" s="1010"/>
      <c r="ID3" s="1010"/>
      <c r="IE3" s="1010"/>
      <c r="IF3" s="1010"/>
      <c r="IG3" s="1010"/>
      <c r="IH3" s="1010"/>
      <c r="II3" s="1010"/>
      <c r="IJ3" s="1010"/>
      <c r="IK3" s="1010"/>
      <c r="IL3" s="1010"/>
      <c r="IM3" s="1010"/>
      <c r="IN3" s="1010"/>
      <c r="IO3" s="1010"/>
      <c r="IP3" s="1010"/>
      <c r="IQ3" s="1010"/>
      <c r="IR3" s="1010"/>
      <c r="IS3" s="1010"/>
      <c r="IT3" s="1010"/>
      <c r="IU3" s="1010"/>
      <c r="IV3" s="1010"/>
    </row>
    <row r="4" spans="1:256" ht="11.25" customHeight="1" thickBot="1">
      <c r="A4" s="1455"/>
      <c r="B4" s="1456"/>
      <c r="C4" s="1457"/>
      <c r="D4" s="1457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  <c r="BP4" s="1010"/>
      <c r="BQ4" s="1010"/>
      <c r="BR4" s="1010"/>
      <c r="BS4" s="1010"/>
      <c r="BT4" s="1010"/>
      <c r="BU4" s="1010"/>
      <c r="BV4" s="1010"/>
      <c r="BW4" s="1010"/>
      <c r="BX4" s="1010"/>
      <c r="BY4" s="1010"/>
      <c r="BZ4" s="1010"/>
      <c r="CA4" s="1010"/>
      <c r="CB4" s="1010"/>
      <c r="CC4" s="1010"/>
      <c r="CD4" s="1010"/>
      <c r="CE4" s="1010"/>
      <c r="CF4" s="1010"/>
      <c r="CG4" s="1010"/>
      <c r="CH4" s="1010"/>
      <c r="CI4" s="1010"/>
      <c r="CJ4" s="1010"/>
      <c r="CK4" s="1010"/>
      <c r="CL4" s="1010"/>
      <c r="CM4" s="1010"/>
      <c r="CN4" s="1010"/>
      <c r="CO4" s="1010"/>
      <c r="CP4" s="1010"/>
      <c r="CQ4" s="1010"/>
      <c r="CR4" s="1010"/>
      <c r="CS4" s="1010"/>
      <c r="CT4" s="1010"/>
      <c r="CU4" s="1010"/>
      <c r="CV4" s="1010"/>
      <c r="CW4" s="1010"/>
      <c r="CX4" s="1010"/>
      <c r="CY4" s="1010"/>
      <c r="CZ4" s="1010"/>
      <c r="DA4" s="1010"/>
      <c r="DB4" s="1010"/>
      <c r="DC4" s="1010"/>
      <c r="DD4" s="1010"/>
      <c r="DE4" s="1010"/>
      <c r="DF4" s="1010"/>
      <c r="DG4" s="1010"/>
      <c r="DH4" s="1010"/>
      <c r="DI4" s="1010"/>
      <c r="DJ4" s="1010"/>
      <c r="DK4" s="1010"/>
      <c r="DL4" s="1010"/>
      <c r="DM4" s="1010"/>
      <c r="DN4" s="1010"/>
      <c r="DO4" s="1010"/>
      <c r="DP4" s="1010"/>
      <c r="DQ4" s="1010"/>
      <c r="DR4" s="1010"/>
      <c r="DS4" s="1010"/>
      <c r="DT4" s="1010"/>
      <c r="DU4" s="1010"/>
      <c r="DV4" s="1010"/>
      <c r="DW4" s="1010"/>
      <c r="DX4" s="1010"/>
      <c r="DY4" s="1010"/>
      <c r="DZ4" s="1010"/>
      <c r="EA4" s="1010"/>
      <c r="EB4" s="1010"/>
      <c r="EC4" s="1010"/>
      <c r="ED4" s="1010"/>
      <c r="EE4" s="1010"/>
      <c r="EF4" s="1010"/>
      <c r="EG4" s="1010"/>
      <c r="EH4" s="1010"/>
      <c r="EI4" s="1010"/>
      <c r="EJ4" s="1010"/>
      <c r="EK4" s="1010"/>
      <c r="EL4" s="1010"/>
      <c r="EM4" s="1010"/>
      <c r="EN4" s="1010"/>
      <c r="EO4" s="1010"/>
      <c r="EP4" s="1010"/>
      <c r="EQ4" s="1010"/>
      <c r="ER4" s="1010"/>
      <c r="ES4" s="1010"/>
      <c r="ET4" s="1010"/>
      <c r="EU4" s="1010"/>
      <c r="EV4" s="1010"/>
      <c r="EW4" s="1010"/>
      <c r="EX4" s="1010"/>
      <c r="EY4" s="1010"/>
      <c r="EZ4" s="1010"/>
      <c r="FA4" s="1010"/>
      <c r="FB4" s="1010"/>
      <c r="FC4" s="1010"/>
      <c r="FD4" s="1010"/>
      <c r="FE4" s="1010"/>
      <c r="FF4" s="1010"/>
      <c r="FG4" s="1010"/>
      <c r="FH4" s="1010"/>
      <c r="FI4" s="1010"/>
      <c r="FJ4" s="1010"/>
      <c r="FK4" s="1010"/>
      <c r="FL4" s="1010"/>
      <c r="FM4" s="1010"/>
      <c r="FN4" s="1010"/>
      <c r="FO4" s="1010"/>
      <c r="FP4" s="1010"/>
      <c r="FQ4" s="1010"/>
      <c r="FR4" s="1010"/>
      <c r="FS4" s="1010"/>
      <c r="FT4" s="1010"/>
      <c r="FU4" s="1010"/>
      <c r="FV4" s="1010"/>
      <c r="FW4" s="1010"/>
      <c r="FX4" s="1010"/>
      <c r="FY4" s="1010"/>
      <c r="FZ4" s="1010"/>
      <c r="GA4" s="1010"/>
      <c r="GB4" s="1010"/>
      <c r="GC4" s="1010"/>
      <c r="GD4" s="1010"/>
      <c r="GE4" s="1010"/>
      <c r="GF4" s="1010"/>
      <c r="GG4" s="1010"/>
      <c r="GH4" s="1010"/>
      <c r="GI4" s="1010"/>
      <c r="GJ4" s="1010"/>
      <c r="GK4" s="1010"/>
      <c r="GL4" s="1010"/>
      <c r="GM4" s="1010"/>
      <c r="GN4" s="1010"/>
      <c r="GO4" s="1010"/>
      <c r="GP4" s="1010"/>
      <c r="GQ4" s="1010"/>
      <c r="GR4" s="1010"/>
      <c r="GS4" s="1010"/>
      <c r="GT4" s="1010"/>
      <c r="GU4" s="1010"/>
      <c r="GV4" s="1010"/>
      <c r="GW4" s="1010"/>
      <c r="GX4" s="1010"/>
      <c r="GY4" s="1010"/>
      <c r="GZ4" s="1010"/>
      <c r="HA4" s="1010"/>
      <c r="HB4" s="1010"/>
      <c r="HC4" s="1010"/>
      <c r="HD4" s="1010"/>
      <c r="HE4" s="1010"/>
      <c r="HF4" s="1010"/>
      <c r="HG4" s="1010"/>
      <c r="HH4" s="1010"/>
      <c r="HI4" s="1010"/>
      <c r="HJ4" s="1010"/>
      <c r="HK4" s="1010"/>
      <c r="HL4" s="1010"/>
      <c r="HM4" s="1010"/>
      <c r="HN4" s="1010"/>
      <c r="HO4" s="1010"/>
      <c r="HP4" s="1010"/>
      <c r="HQ4" s="1010"/>
      <c r="HR4" s="1010"/>
      <c r="HS4" s="1010"/>
      <c r="HT4" s="1010"/>
      <c r="HU4" s="1010"/>
      <c r="HV4" s="1010"/>
      <c r="HW4" s="1010"/>
      <c r="HX4" s="1010"/>
      <c r="HY4" s="1010"/>
      <c r="HZ4" s="1010"/>
      <c r="IA4" s="1010"/>
      <c r="IB4" s="1010"/>
      <c r="IC4" s="1010"/>
      <c r="ID4" s="1010"/>
      <c r="IE4" s="1010"/>
      <c r="IF4" s="1010"/>
      <c r="IG4" s="1010"/>
      <c r="IH4" s="1010"/>
      <c r="II4" s="1010"/>
      <c r="IJ4" s="1010"/>
      <c r="IK4" s="1010"/>
      <c r="IL4" s="1010"/>
      <c r="IM4" s="1010"/>
      <c r="IN4" s="1010"/>
      <c r="IO4" s="1010"/>
      <c r="IP4" s="1010"/>
      <c r="IQ4" s="1010"/>
      <c r="IR4" s="1010"/>
      <c r="IS4" s="1010"/>
      <c r="IT4" s="1010"/>
      <c r="IU4" s="1010"/>
      <c r="IV4" s="1010"/>
    </row>
    <row r="5" spans="1:256" ht="12.75" customHeight="1">
      <c r="A5" s="1455"/>
      <c r="B5" s="1456"/>
      <c r="C5" s="1458" t="s">
        <v>733</v>
      </c>
      <c r="D5" s="1458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  <c r="BP5" s="1010"/>
      <c r="BQ5" s="1010"/>
      <c r="BR5" s="1010"/>
      <c r="BS5" s="1010"/>
      <c r="BT5" s="1010"/>
      <c r="BU5" s="1010"/>
      <c r="BV5" s="1010"/>
      <c r="BW5" s="1010"/>
      <c r="BX5" s="1010"/>
      <c r="BY5" s="1010"/>
      <c r="BZ5" s="1010"/>
      <c r="CA5" s="1010"/>
      <c r="CB5" s="1010"/>
      <c r="CC5" s="1010"/>
      <c r="CD5" s="1010"/>
      <c r="CE5" s="1010"/>
      <c r="CF5" s="1010"/>
      <c r="CG5" s="1010"/>
      <c r="CH5" s="1010"/>
      <c r="CI5" s="1010"/>
      <c r="CJ5" s="1010"/>
      <c r="CK5" s="1010"/>
      <c r="CL5" s="1010"/>
      <c r="CM5" s="1010"/>
      <c r="CN5" s="1010"/>
      <c r="CO5" s="1010"/>
      <c r="CP5" s="1010"/>
      <c r="CQ5" s="1010"/>
      <c r="CR5" s="1010"/>
      <c r="CS5" s="1010"/>
      <c r="CT5" s="1010"/>
      <c r="CU5" s="1010"/>
      <c r="CV5" s="1010"/>
      <c r="CW5" s="1010"/>
      <c r="CX5" s="1010"/>
      <c r="CY5" s="1010"/>
      <c r="CZ5" s="1010"/>
      <c r="DA5" s="1010"/>
      <c r="DB5" s="1010"/>
      <c r="DC5" s="1010"/>
      <c r="DD5" s="1010"/>
      <c r="DE5" s="1010"/>
      <c r="DF5" s="1010"/>
      <c r="DG5" s="1010"/>
      <c r="DH5" s="1010"/>
      <c r="DI5" s="1010"/>
      <c r="DJ5" s="1010"/>
      <c r="DK5" s="1010"/>
      <c r="DL5" s="1010"/>
      <c r="DM5" s="1010"/>
      <c r="DN5" s="1010"/>
      <c r="DO5" s="1010"/>
      <c r="DP5" s="1010"/>
      <c r="DQ5" s="1010"/>
      <c r="DR5" s="1010"/>
      <c r="DS5" s="1010"/>
      <c r="DT5" s="1010"/>
      <c r="DU5" s="1010"/>
      <c r="DV5" s="1010"/>
      <c r="DW5" s="1010"/>
      <c r="DX5" s="1010"/>
      <c r="DY5" s="1010"/>
      <c r="DZ5" s="1010"/>
      <c r="EA5" s="1010"/>
      <c r="EB5" s="1010"/>
      <c r="EC5" s="1010"/>
      <c r="ED5" s="1010"/>
      <c r="EE5" s="1010"/>
      <c r="EF5" s="1010"/>
      <c r="EG5" s="1010"/>
      <c r="EH5" s="1010"/>
      <c r="EI5" s="1010"/>
      <c r="EJ5" s="1010"/>
      <c r="EK5" s="1010"/>
      <c r="EL5" s="1010"/>
      <c r="EM5" s="1010"/>
      <c r="EN5" s="1010"/>
      <c r="EO5" s="1010"/>
      <c r="EP5" s="1010"/>
      <c r="EQ5" s="1010"/>
      <c r="ER5" s="1010"/>
      <c r="ES5" s="1010"/>
      <c r="ET5" s="1010"/>
      <c r="EU5" s="1010"/>
      <c r="EV5" s="1010"/>
      <c r="EW5" s="1010"/>
      <c r="EX5" s="1010"/>
      <c r="EY5" s="1010"/>
      <c r="EZ5" s="1010"/>
      <c r="FA5" s="1010"/>
      <c r="FB5" s="1010"/>
      <c r="FC5" s="1010"/>
      <c r="FD5" s="1010"/>
      <c r="FE5" s="1010"/>
      <c r="FF5" s="1010"/>
      <c r="FG5" s="1010"/>
      <c r="FH5" s="1010"/>
      <c r="FI5" s="1010"/>
      <c r="FJ5" s="1010"/>
      <c r="FK5" s="1010"/>
      <c r="FL5" s="1010"/>
      <c r="FM5" s="1010"/>
      <c r="FN5" s="1010"/>
      <c r="FO5" s="1010"/>
      <c r="FP5" s="1010"/>
      <c r="FQ5" s="1010"/>
      <c r="FR5" s="1010"/>
      <c r="FS5" s="1010"/>
      <c r="FT5" s="1010"/>
      <c r="FU5" s="1010"/>
      <c r="FV5" s="1010"/>
      <c r="FW5" s="1010"/>
      <c r="FX5" s="1010"/>
      <c r="FY5" s="1010"/>
      <c r="FZ5" s="1010"/>
      <c r="GA5" s="1010"/>
      <c r="GB5" s="1010"/>
      <c r="GC5" s="1010"/>
      <c r="GD5" s="1010"/>
      <c r="GE5" s="1010"/>
      <c r="GF5" s="1010"/>
      <c r="GG5" s="1010"/>
      <c r="GH5" s="1010"/>
      <c r="GI5" s="1010"/>
      <c r="GJ5" s="1010"/>
      <c r="GK5" s="1010"/>
      <c r="GL5" s="1010"/>
      <c r="GM5" s="1010"/>
      <c r="GN5" s="1010"/>
      <c r="GO5" s="1010"/>
      <c r="GP5" s="1010"/>
      <c r="GQ5" s="1010"/>
      <c r="GR5" s="1010"/>
      <c r="GS5" s="1010"/>
      <c r="GT5" s="1010"/>
      <c r="GU5" s="1010"/>
      <c r="GV5" s="1010"/>
      <c r="GW5" s="1010"/>
      <c r="GX5" s="1010"/>
      <c r="GY5" s="1010"/>
      <c r="GZ5" s="1010"/>
      <c r="HA5" s="1010"/>
      <c r="HB5" s="1010"/>
      <c r="HC5" s="1010"/>
      <c r="HD5" s="1010"/>
      <c r="HE5" s="1010"/>
      <c r="HF5" s="1010"/>
      <c r="HG5" s="1010"/>
      <c r="HH5" s="1010"/>
      <c r="HI5" s="1010"/>
      <c r="HJ5" s="1010"/>
      <c r="HK5" s="1010"/>
      <c r="HL5" s="1010"/>
      <c r="HM5" s="1010"/>
      <c r="HN5" s="1010"/>
      <c r="HO5" s="1010"/>
      <c r="HP5" s="1010"/>
      <c r="HQ5" s="1010"/>
      <c r="HR5" s="1010"/>
      <c r="HS5" s="1010"/>
      <c r="HT5" s="1010"/>
      <c r="HU5" s="1010"/>
      <c r="HV5" s="1010"/>
      <c r="HW5" s="1010"/>
      <c r="HX5" s="1010"/>
      <c r="HY5" s="1010"/>
      <c r="HZ5" s="1010"/>
      <c r="IA5" s="1010"/>
      <c r="IB5" s="1010"/>
      <c r="IC5" s="1010"/>
      <c r="ID5" s="1010"/>
      <c r="IE5" s="1010"/>
      <c r="IF5" s="1010"/>
      <c r="IG5" s="1010"/>
      <c r="IH5" s="1010"/>
      <c r="II5" s="1010"/>
      <c r="IJ5" s="1010"/>
      <c r="IK5" s="1010"/>
      <c r="IL5" s="1010"/>
      <c r="IM5" s="1010"/>
      <c r="IN5" s="1010"/>
      <c r="IO5" s="1010"/>
      <c r="IP5" s="1010"/>
      <c r="IQ5" s="1010"/>
      <c r="IR5" s="1010"/>
      <c r="IS5" s="1010"/>
      <c r="IT5" s="1010"/>
      <c r="IU5" s="1010"/>
      <c r="IV5" s="1010"/>
    </row>
    <row r="6" spans="1:4" s="1016" customFormat="1" ht="16.5" thickBot="1">
      <c r="A6" s="1014" t="s">
        <v>734</v>
      </c>
      <c r="B6" s="1015" t="s">
        <v>567</v>
      </c>
      <c r="C6" s="1015" t="s">
        <v>568</v>
      </c>
      <c r="D6" s="1015" t="s">
        <v>569</v>
      </c>
    </row>
    <row r="7" spans="1:4" s="1020" customFormat="1" ht="15.75">
      <c r="A7" s="1017" t="s">
        <v>735</v>
      </c>
      <c r="B7" s="1018" t="s">
        <v>736</v>
      </c>
      <c r="C7" s="1019">
        <f>SUM(C8:C11)</f>
        <v>5744529</v>
      </c>
      <c r="D7" s="1019">
        <f>SUM(D8:D11)</f>
        <v>660055</v>
      </c>
    </row>
    <row r="8" spans="1:4" s="1020" customFormat="1" ht="15.75">
      <c r="A8" s="1021" t="s">
        <v>737</v>
      </c>
      <c r="B8" s="1022" t="s">
        <v>738</v>
      </c>
      <c r="C8" s="1023"/>
      <c r="D8" s="1023"/>
    </row>
    <row r="9" spans="1:4" s="1020" customFormat="1" ht="38.25">
      <c r="A9" s="1021" t="s">
        <v>739</v>
      </c>
      <c r="B9" s="1022" t="s">
        <v>740</v>
      </c>
      <c r="C9" s="1023"/>
      <c r="D9" s="1023"/>
    </row>
    <row r="10" spans="1:4" s="1020" customFormat="1" ht="15.75">
      <c r="A10" s="1021" t="s">
        <v>741</v>
      </c>
      <c r="B10" s="1022" t="s">
        <v>742</v>
      </c>
      <c r="C10" s="1023">
        <v>5744529</v>
      </c>
      <c r="D10" s="1023">
        <v>660055</v>
      </c>
    </row>
    <row r="11" spans="1:4" s="1020" customFormat="1" ht="15.75">
      <c r="A11" s="1021" t="s">
        <v>743</v>
      </c>
      <c r="B11" s="1022" t="s">
        <v>744</v>
      </c>
      <c r="C11" s="1023"/>
      <c r="D11" s="1023"/>
    </row>
    <row r="12" spans="1:4" s="1020" customFormat="1" ht="15.75">
      <c r="A12" s="1024" t="s">
        <v>745</v>
      </c>
      <c r="B12" s="1025" t="s">
        <v>746</v>
      </c>
      <c r="C12" s="1026">
        <f>SUM(C13+C18+C23+C28+C33)</f>
        <v>372987417</v>
      </c>
      <c r="D12" s="1026">
        <f>SUM(D13+D18+D23+D28+D33)</f>
        <v>252202431</v>
      </c>
    </row>
    <row r="13" spans="1:4" s="1020" customFormat="1" ht="15.75">
      <c r="A13" s="1024" t="s">
        <v>747</v>
      </c>
      <c r="B13" s="1025" t="s">
        <v>748</v>
      </c>
      <c r="C13" s="1026">
        <f>SUM(C14:C17)</f>
        <v>345857341</v>
      </c>
      <c r="D13" s="1026">
        <f>SUM(D14:D17)</f>
        <v>250938232</v>
      </c>
    </row>
    <row r="14" spans="1:4" s="1020" customFormat="1" ht="15.75">
      <c r="A14" s="1021" t="s">
        <v>749</v>
      </c>
      <c r="B14" s="1022" t="s">
        <v>750</v>
      </c>
      <c r="C14" s="1023">
        <v>138266139</v>
      </c>
      <c r="D14" s="1023">
        <v>85669270</v>
      </c>
    </row>
    <row r="15" spans="1:4" s="1020" customFormat="1" ht="37.5" customHeight="1">
      <c r="A15" s="1021" t="s">
        <v>751</v>
      </c>
      <c r="B15" s="1022" t="s">
        <v>752</v>
      </c>
      <c r="C15" s="1023"/>
      <c r="D15" s="1023"/>
    </row>
    <row r="16" spans="1:4" s="1020" customFormat="1" ht="25.5">
      <c r="A16" s="1021" t="s">
        <v>753</v>
      </c>
      <c r="B16" s="1022" t="s">
        <v>358</v>
      </c>
      <c r="C16" s="1023">
        <v>166645721</v>
      </c>
      <c r="D16" s="1023">
        <v>132603121</v>
      </c>
    </row>
    <row r="17" spans="1:4" s="1020" customFormat="1" ht="15.75">
      <c r="A17" s="1021" t="s">
        <v>754</v>
      </c>
      <c r="B17" s="1022" t="s">
        <v>359</v>
      </c>
      <c r="C17" s="1023">
        <v>40945481</v>
      </c>
      <c r="D17" s="1023">
        <v>32665841</v>
      </c>
    </row>
    <row r="18" spans="1:4" s="1020" customFormat="1" ht="15.75">
      <c r="A18" s="1024" t="s">
        <v>755</v>
      </c>
      <c r="B18" s="1025" t="s">
        <v>360</v>
      </c>
      <c r="C18" s="1027">
        <f>SUM(C19:C22)</f>
        <v>26960076</v>
      </c>
      <c r="D18" s="1027">
        <f>SUM(D19:D22)</f>
        <v>1094199</v>
      </c>
    </row>
    <row r="19" spans="1:4" s="1020" customFormat="1" ht="15.75">
      <c r="A19" s="1021" t="s">
        <v>756</v>
      </c>
      <c r="B19" s="1022" t="s">
        <v>361</v>
      </c>
      <c r="C19" s="1023"/>
      <c r="D19" s="1023"/>
    </row>
    <row r="20" spans="1:4" s="1020" customFormat="1" ht="38.25">
      <c r="A20" s="1021" t="s">
        <v>757</v>
      </c>
      <c r="B20" s="1022" t="s">
        <v>582</v>
      </c>
      <c r="C20" s="1023"/>
      <c r="D20" s="1023"/>
    </row>
    <row r="21" spans="1:4" s="1020" customFormat="1" ht="25.5">
      <c r="A21" s="1021" t="s">
        <v>758</v>
      </c>
      <c r="B21" s="1022" t="s">
        <v>362</v>
      </c>
      <c r="C21" s="1023">
        <v>26400</v>
      </c>
      <c r="D21" s="1023"/>
    </row>
    <row r="22" spans="1:4" s="1020" customFormat="1" ht="15.75">
      <c r="A22" s="1021" t="s">
        <v>759</v>
      </c>
      <c r="B22" s="1022" t="s">
        <v>760</v>
      </c>
      <c r="C22" s="1023">
        <v>26933676</v>
      </c>
      <c r="D22" s="1023">
        <v>1094199</v>
      </c>
    </row>
    <row r="23" spans="1:4" s="1020" customFormat="1" ht="15.75">
      <c r="A23" s="1024" t="s">
        <v>761</v>
      </c>
      <c r="B23" s="1025" t="s">
        <v>762</v>
      </c>
      <c r="C23" s="1028"/>
      <c r="D23" s="1028"/>
    </row>
    <row r="24" spans="1:4" s="1020" customFormat="1" ht="15.75">
      <c r="A24" s="1021" t="s">
        <v>763</v>
      </c>
      <c r="B24" s="1022" t="s">
        <v>764</v>
      </c>
      <c r="C24" s="1023"/>
      <c r="D24" s="1023"/>
    </row>
    <row r="25" spans="1:4" s="1020" customFormat="1" ht="15.75">
      <c r="A25" s="1021" t="s">
        <v>765</v>
      </c>
      <c r="B25" s="1022" t="s">
        <v>766</v>
      </c>
      <c r="C25" s="1023"/>
      <c r="D25" s="1023"/>
    </row>
    <row r="26" spans="1:4" s="1020" customFormat="1" ht="15.75">
      <c r="A26" s="1021" t="s">
        <v>767</v>
      </c>
      <c r="B26" s="1022" t="s">
        <v>768</v>
      </c>
      <c r="C26" s="1023"/>
      <c r="D26" s="1023"/>
    </row>
    <row r="27" spans="1:4" s="1020" customFormat="1" ht="15.75">
      <c r="A27" s="1021" t="s">
        <v>769</v>
      </c>
      <c r="B27" s="1022" t="s">
        <v>770</v>
      </c>
      <c r="C27" s="1023"/>
      <c r="D27" s="1023"/>
    </row>
    <row r="28" spans="1:4" s="1020" customFormat="1" ht="15.75">
      <c r="A28" s="1024" t="s">
        <v>771</v>
      </c>
      <c r="B28" s="1025" t="s">
        <v>772</v>
      </c>
      <c r="C28" s="1027">
        <f>SUM(C29:C32)</f>
        <v>170000</v>
      </c>
      <c r="D28" s="1027">
        <f>SUM(D29:D32)</f>
        <v>170000</v>
      </c>
    </row>
    <row r="29" spans="1:4" s="1020" customFormat="1" ht="15.75">
      <c r="A29" s="1021" t="s">
        <v>773</v>
      </c>
      <c r="B29" s="1022" t="s">
        <v>774</v>
      </c>
      <c r="C29" s="1189">
        <v>170000</v>
      </c>
      <c r="D29" s="1189">
        <v>170000</v>
      </c>
    </row>
    <row r="30" spans="1:4" s="1020" customFormat="1" ht="25.5">
      <c r="A30" s="1021" t="s">
        <v>775</v>
      </c>
      <c r="B30" s="1022" t="s">
        <v>776</v>
      </c>
      <c r="C30" s="1023"/>
      <c r="D30" s="1023"/>
    </row>
    <row r="31" spans="1:4" s="1020" customFormat="1" ht="15.75">
      <c r="A31" s="1021" t="s">
        <v>777</v>
      </c>
      <c r="B31" s="1022" t="s">
        <v>778</v>
      </c>
      <c r="C31" s="1023"/>
      <c r="D31" s="1023"/>
    </row>
    <row r="32" spans="1:4" s="1020" customFormat="1" ht="15.75">
      <c r="A32" s="1021" t="s">
        <v>779</v>
      </c>
      <c r="B32" s="1022" t="s">
        <v>780</v>
      </c>
      <c r="C32" s="1023"/>
      <c r="D32" s="1023"/>
    </row>
    <row r="33" spans="1:4" s="1020" customFormat="1" ht="15.75">
      <c r="A33" s="1024" t="s">
        <v>781</v>
      </c>
      <c r="B33" s="1025" t="s">
        <v>782</v>
      </c>
      <c r="C33" s="1028"/>
      <c r="D33" s="1028"/>
    </row>
    <row r="34" spans="1:4" s="1020" customFormat="1" ht="15.75">
      <c r="A34" s="1021" t="s">
        <v>783</v>
      </c>
      <c r="B34" s="1022" t="s">
        <v>784</v>
      </c>
      <c r="C34" s="1023"/>
      <c r="D34" s="1023"/>
    </row>
    <row r="35" spans="1:4" s="1020" customFormat="1" ht="25.5">
      <c r="A35" s="1021" t="s">
        <v>785</v>
      </c>
      <c r="B35" s="1022" t="s">
        <v>786</v>
      </c>
      <c r="C35" s="1023"/>
      <c r="D35" s="1023"/>
    </row>
    <row r="36" spans="1:4" s="1020" customFormat="1" ht="15.75">
      <c r="A36" s="1021" t="s">
        <v>787</v>
      </c>
      <c r="B36" s="1022" t="s">
        <v>788</v>
      </c>
      <c r="C36" s="1023"/>
      <c r="D36" s="1023"/>
    </row>
    <row r="37" spans="1:4" s="1020" customFormat="1" ht="15.75">
      <c r="A37" s="1021" t="s">
        <v>789</v>
      </c>
      <c r="B37" s="1022" t="s">
        <v>790</v>
      </c>
      <c r="C37" s="1023"/>
      <c r="D37" s="1023"/>
    </row>
    <row r="38" spans="1:4" s="1020" customFormat="1" ht="15.75">
      <c r="A38" s="1024" t="s">
        <v>791</v>
      </c>
      <c r="B38" s="1025" t="s">
        <v>792</v>
      </c>
      <c r="C38" s="1027">
        <f>SUM(C39+C44+C49)</f>
        <v>4130000</v>
      </c>
      <c r="D38" s="1027">
        <f>SUM(D39+D44+D49)</f>
        <v>4130000</v>
      </c>
    </row>
    <row r="39" spans="1:4" s="1020" customFormat="1" ht="15.75">
      <c r="A39" s="1024" t="s">
        <v>793</v>
      </c>
      <c r="B39" s="1025" t="s">
        <v>794</v>
      </c>
      <c r="C39" s="1027">
        <f>SUM(C40:C43)</f>
        <v>4130000</v>
      </c>
      <c r="D39" s="1027">
        <f>SUM(D40:D43)</f>
        <v>4130000</v>
      </c>
    </row>
    <row r="40" spans="1:4" s="1020" customFormat="1" ht="15.75">
      <c r="A40" s="1021" t="s">
        <v>795</v>
      </c>
      <c r="B40" s="1022" t="s">
        <v>796</v>
      </c>
      <c r="C40" s="1023"/>
      <c r="D40" s="1023"/>
    </row>
    <row r="41" spans="1:4" s="1020" customFormat="1" ht="25.5">
      <c r="A41" s="1021" t="s">
        <v>797</v>
      </c>
      <c r="B41" s="1022" t="s">
        <v>798</v>
      </c>
      <c r="C41" s="1023"/>
      <c r="D41" s="1023"/>
    </row>
    <row r="42" spans="1:4" s="1020" customFormat="1" ht="15.75">
      <c r="A42" s="1021" t="s">
        <v>799</v>
      </c>
      <c r="B42" s="1022" t="s">
        <v>800</v>
      </c>
      <c r="C42" s="1023">
        <v>4130000</v>
      </c>
      <c r="D42" s="1023">
        <v>4130000</v>
      </c>
    </row>
    <row r="43" spans="1:4" s="1020" customFormat="1" ht="15.75">
      <c r="A43" s="1021" t="s">
        <v>801</v>
      </c>
      <c r="B43" s="1022" t="s">
        <v>802</v>
      </c>
      <c r="C43" s="1023"/>
      <c r="D43" s="1023"/>
    </row>
    <row r="44" spans="1:4" s="1020" customFormat="1" ht="15.75">
      <c r="A44" s="1024" t="s">
        <v>803</v>
      </c>
      <c r="B44" s="1025" t="s">
        <v>804</v>
      </c>
      <c r="C44" s="1028"/>
      <c r="D44" s="1028"/>
    </row>
    <row r="45" spans="1:4" s="1020" customFormat="1" ht="15.75">
      <c r="A45" s="1021" t="s">
        <v>805</v>
      </c>
      <c r="B45" s="1022" t="s">
        <v>806</v>
      </c>
      <c r="C45" s="1023"/>
      <c r="D45" s="1023"/>
    </row>
    <row r="46" spans="1:4" s="1020" customFormat="1" ht="38.25">
      <c r="A46" s="1021" t="s">
        <v>807</v>
      </c>
      <c r="B46" s="1022" t="s">
        <v>808</v>
      </c>
      <c r="C46" s="1023"/>
      <c r="D46" s="1023"/>
    </row>
    <row r="47" spans="1:4" s="1020" customFormat="1" ht="25.5">
      <c r="A47" s="1021" t="s">
        <v>809</v>
      </c>
      <c r="B47" s="1022" t="s">
        <v>810</v>
      </c>
      <c r="C47" s="1023"/>
      <c r="D47" s="1023"/>
    </row>
    <row r="48" spans="1:4" s="1020" customFormat="1" ht="15.75">
      <c r="A48" s="1021" t="s">
        <v>811</v>
      </c>
      <c r="B48" s="1022" t="s">
        <v>812</v>
      </c>
      <c r="C48" s="1023"/>
      <c r="D48" s="1023"/>
    </row>
    <row r="49" spans="1:4" s="1020" customFormat="1" ht="15.75">
      <c r="A49" s="1024" t="s">
        <v>813</v>
      </c>
      <c r="B49" s="1025" t="s">
        <v>814</v>
      </c>
      <c r="C49" s="1028"/>
      <c r="D49" s="1028"/>
    </row>
    <row r="50" spans="1:4" s="1020" customFormat="1" ht="15.75">
      <c r="A50" s="1021" t="s">
        <v>815</v>
      </c>
      <c r="B50" s="1022" t="s">
        <v>816</v>
      </c>
      <c r="C50" s="1023"/>
      <c r="D50" s="1023"/>
    </row>
    <row r="51" spans="1:4" s="1020" customFormat="1" ht="36.75" customHeight="1">
      <c r="A51" s="1021" t="s">
        <v>817</v>
      </c>
      <c r="B51" s="1022" t="s">
        <v>818</v>
      </c>
      <c r="C51" s="1023"/>
      <c r="D51" s="1023"/>
    </row>
    <row r="52" spans="1:4" s="1020" customFormat="1" ht="25.5">
      <c r="A52" s="1021" t="s">
        <v>819</v>
      </c>
      <c r="B52" s="1022" t="s">
        <v>820</v>
      </c>
      <c r="C52" s="1023"/>
      <c r="D52" s="1023"/>
    </row>
    <row r="53" spans="1:4" s="1020" customFormat="1" ht="15.75">
      <c r="A53" s="1021" t="s">
        <v>821</v>
      </c>
      <c r="B53" s="1022" t="s">
        <v>822</v>
      </c>
      <c r="C53" s="1023"/>
      <c r="D53" s="1023"/>
    </row>
    <row r="54" spans="1:4" s="1020" customFormat="1" ht="15.75">
      <c r="A54" s="1024" t="s">
        <v>823</v>
      </c>
      <c r="B54" s="1022" t="s">
        <v>824</v>
      </c>
      <c r="C54" s="1023">
        <v>145516273</v>
      </c>
      <c r="D54" s="1023">
        <v>56490457</v>
      </c>
    </row>
    <row r="55" spans="1:4" ht="25.5">
      <c r="A55" s="1024" t="s">
        <v>825</v>
      </c>
      <c r="B55" s="1025" t="s">
        <v>826</v>
      </c>
      <c r="C55" s="1027">
        <f>SUM(C7+C12+C38+C54)</f>
        <v>528378219</v>
      </c>
      <c r="D55" s="1027">
        <f>SUM(D7+D12+D38+D54)</f>
        <v>313482943</v>
      </c>
    </row>
    <row r="56" spans="1:4" ht="15.75">
      <c r="A56" s="1024" t="s">
        <v>827</v>
      </c>
      <c r="B56" s="1022" t="s">
        <v>828</v>
      </c>
      <c r="C56" s="1029">
        <v>1200000</v>
      </c>
      <c r="D56" s="1029">
        <v>1200000</v>
      </c>
    </row>
    <row r="57" spans="1:4" ht="15.75">
      <c r="A57" s="1024" t="s">
        <v>829</v>
      </c>
      <c r="B57" s="1022" t="s">
        <v>830</v>
      </c>
      <c r="C57" s="1023"/>
      <c r="D57" s="1023"/>
    </row>
    <row r="58" spans="1:4" ht="15.75">
      <c r="A58" s="1024" t="s">
        <v>831</v>
      </c>
      <c r="B58" s="1025" t="s">
        <v>832</v>
      </c>
      <c r="C58" s="1027"/>
      <c r="D58" s="1027">
        <f>+D56+D57</f>
        <v>1200000</v>
      </c>
    </row>
    <row r="59" spans="1:4" ht="15.75">
      <c r="A59" s="1024" t="s">
        <v>833</v>
      </c>
      <c r="B59" s="1022" t="s">
        <v>834</v>
      </c>
      <c r="C59" s="1030"/>
      <c r="D59" s="1029"/>
    </row>
    <row r="60" spans="1:4" ht="15.75">
      <c r="A60" s="1024" t="s">
        <v>835</v>
      </c>
      <c r="B60" s="1022" t="s">
        <v>836</v>
      </c>
      <c r="C60" s="1030"/>
      <c r="D60" s="1029"/>
    </row>
    <row r="61" spans="1:4" ht="15.75">
      <c r="A61" s="1024" t="s">
        <v>837</v>
      </c>
      <c r="B61" s="1022" t="s">
        <v>838</v>
      </c>
      <c r="C61" s="1030"/>
      <c r="D61" s="1029">
        <v>21456358</v>
      </c>
    </row>
    <row r="62" spans="1:4" ht="15.75">
      <c r="A62" s="1024" t="s">
        <v>839</v>
      </c>
      <c r="B62" s="1022" t="s">
        <v>840</v>
      </c>
      <c r="C62" s="1030"/>
      <c r="D62" s="1029"/>
    </row>
    <row r="63" spans="1:4" ht="15.75">
      <c r="A63" s="1024" t="s">
        <v>841</v>
      </c>
      <c r="B63" s="1022" t="s">
        <v>842</v>
      </c>
      <c r="C63" s="1030"/>
      <c r="D63" s="1029"/>
    </row>
    <row r="64" spans="1:4" ht="15.75">
      <c r="A64" s="1024" t="s">
        <v>843</v>
      </c>
      <c r="B64" s="1025" t="s">
        <v>844</v>
      </c>
      <c r="C64" s="1031"/>
      <c r="D64" s="1027">
        <f>SUM(D59:D63)</f>
        <v>21456358</v>
      </c>
    </row>
    <row r="65" spans="1:4" ht="15.75">
      <c r="A65" s="1024" t="s">
        <v>845</v>
      </c>
      <c r="B65" s="1022" t="s">
        <v>846</v>
      </c>
      <c r="C65" s="1030"/>
      <c r="D65" s="1029">
        <v>815170</v>
      </c>
    </row>
    <row r="66" spans="1:4" ht="15.75">
      <c r="A66" s="1024" t="s">
        <v>847</v>
      </c>
      <c r="B66" s="1022" t="s">
        <v>848</v>
      </c>
      <c r="C66" s="1030"/>
      <c r="D66" s="1029"/>
    </row>
    <row r="67" spans="1:4" ht="15.75">
      <c r="A67" s="1024" t="s">
        <v>849</v>
      </c>
      <c r="B67" s="1022" t="s">
        <v>850</v>
      </c>
      <c r="C67" s="1030"/>
      <c r="D67" s="1029">
        <v>16316204</v>
      </c>
    </row>
    <row r="68" spans="1:4" ht="15.75">
      <c r="A68" s="1024" t="s">
        <v>851</v>
      </c>
      <c r="B68" s="1025" t="s">
        <v>852</v>
      </c>
      <c r="C68" s="1031"/>
      <c r="D68" s="1027">
        <f>SUM(D65:D67)</f>
        <v>17131374</v>
      </c>
    </row>
    <row r="69" spans="1:4" ht="15.75">
      <c r="A69" s="1024" t="s">
        <v>853</v>
      </c>
      <c r="B69" s="1022" t="s">
        <v>854</v>
      </c>
      <c r="C69" s="1030"/>
      <c r="D69" s="1029"/>
    </row>
    <row r="70" spans="1:4" ht="25.5">
      <c r="A70" s="1024" t="s">
        <v>855</v>
      </c>
      <c r="B70" s="1022" t="s">
        <v>856</v>
      </c>
      <c r="C70" s="1030"/>
      <c r="D70" s="1029"/>
    </row>
    <row r="71" spans="1:4" ht="15.75">
      <c r="A71" s="1024" t="s">
        <v>857</v>
      </c>
      <c r="B71" s="1025" t="s">
        <v>858</v>
      </c>
      <c r="C71" s="1031"/>
      <c r="D71" s="1027"/>
    </row>
    <row r="72" spans="1:4" ht="15.75">
      <c r="A72" s="1024" t="s">
        <v>859</v>
      </c>
      <c r="B72" s="1025" t="s">
        <v>860</v>
      </c>
      <c r="C72" s="1030"/>
      <c r="D72" s="1029"/>
    </row>
    <row r="73" spans="1:4" ht="16.5" thickBot="1">
      <c r="A73" s="1032" t="s">
        <v>861</v>
      </c>
      <c r="B73" s="1025" t="s">
        <v>862</v>
      </c>
      <c r="C73" s="1033"/>
      <c r="D73" s="1033">
        <f>SUM(D68+D64+D58+D55+D71+D72)</f>
        <v>353270675</v>
      </c>
    </row>
    <row r="74" ht="15.75">
      <c r="D74" s="1190">
        <f>+C92-D73</f>
        <v>0</v>
      </c>
    </row>
    <row r="75" ht="16.5" thickBot="1"/>
    <row r="76" spans="1:3" ht="15.75">
      <c r="A76" s="1447" t="s">
        <v>863</v>
      </c>
      <c r="B76" s="1449" t="s">
        <v>1</v>
      </c>
      <c r="C76" s="1451" t="s">
        <v>864</v>
      </c>
    </row>
    <row r="77" spans="1:3" ht="15.75">
      <c r="A77" s="1448"/>
      <c r="B77" s="1450"/>
      <c r="C77" s="1452"/>
    </row>
    <row r="78" spans="1:3" ht="16.5" thickBot="1">
      <c r="A78" s="1036" t="s">
        <v>566</v>
      </c>
      <c r="B78" s="1037" t="s">
        <v>567</v>
      </c>
      <c r="C78" s="1038" t="s">
        <v>568</v>
      </c>
    </row>
    <row r="79" spans="1:3" ht="15.75">
      <c r="A79" s="1039" t="s">
        <v>865</v>
      </c>
      <c r="B79" s="1040" t="s">
        <v>736</v>
      </c>
      <c r="C79" s="1041">
        <f>+'12. mérleg'!D45</f>
        <v>211167679</v>
      </c>
    </row>
    <row r="80" spans="1:3" ht="15.75">
      <c r="A80" s="1039" t="s">
        <v>866</v>
      </c>
      <c r="B80" s="1042" t="s">
        <v>738</v>
      </c>
      <c r="C80" s="1041">
        <f>+'12. mérleg'!D46</f>
        <v>54736000</v>
      </c>
    </row>
    <row r="81" spans="1:3" ht="15.75">
      <c r="A81" s="1039" t="s">
        <v>867</v>
      </c>
      <c r="B81" s="1042" t="s">
        <v>740</v>
      </c>
      <c r="C81" s="1041">
        <f>+'12. mérleg'!D47</f>
        <v>9921112</v>
      </c>
    </row>
    <row r="82" spans="1:3" ht="15.75">
      <c r="A82" s="1039" t="s">
        <v>868</v>
      </c>
      <c r="B82" s="1042" t="s">
        <v>742</v>
      </c>
      <c r="C82" s="1041">
        <f>+'12. mérleg'!D48</f>
        <v>30239708</v>
      </c>
    </row>
    <row r="83" spans="1:3" ht="15.75">
      <c r="A83" s="1039" t="s">
        <v>869</v>
      </c>
      <c r="B83" s="1042" t="s">
        <v>744</v>
      </c>
      <c r="C83" s="1043"/>
    </row>
    <row r="84" spans="1:3" ht="15.75">
      <c r="A84" s="1039" t="s">
        <v>870</v>
      </c>
      <c r="B84" s="1042" t="s">
        <v>746</v>
      </c>
      <c r="C84" s="1043">
        <f>+'12. mérleg'!D50</f>
        <v>39544838</v>
      </c>
    </row>
    <row r="85" spans="1:3" ht="15.75">
      <c r="A85" s="1039" t="s">
        <v>871</v>
      </c>
      <c r="B85" s="1044" t="s">
        <v>748</v>
      </c>
      <c r="C85" s="1045">
        <f>SUM(C79:C84)</f>
        <v>345609337</v>
      </c>
    </row>
    <row r="86" spans="1:3" ht="15.75">
      <c r="A86" s="1039" t="s">
        <v>872</v>
      </c>
      <c r="B86" s="1042" t="s">
        <v>750</v>
      </c>
      <c r="C86" s="1046"/>
    </row>
    <row r="87" spans="1:3" ht="15.75">
      <c r="A87" s="1039" t="s">
        <v>873</v>
      </c>
      <c r="B87" s="1042" t="s">
        <v>752</v>
      </c>
      <c r="C87" s="1043">
        <f>+'12. mérleg'!D54</f>
        <v>1115380</v>
      </c>
    </row>
    <row r="88" spans="1:3" ht="15.75">
      <c r="A88" s="1039" t="s">
        <v>874</v>
      </c>
      <c r="B88" s="1042" t="s">
        <v>358</v>
      </c>
      <c r="C88" s="1043">
        <f>+'12. mérleg'!D56</f>
        <v>37786</v>
      </c>
    </row>
    <row r="89" spans="1:3" ht="15.75">
      <c r="A89" s="1039" t="s">
        <v>875</v>
      </c>
      <c r="B89" s="1044" t="s">
        <v>359</v>
      </c>
      <c r="C89" s="1045">
        <f>C86+C87+C88</f>
        <v>1153166</v>
      </c>
    </row>
    <row r="90" spans="1:3" ht="15.75">
      <c r="A90" s="1039" t="s">
        <v>726</v>
      </c>
      <c r="B90" s="1044" t="s">
        <v>360</v>
      </c>
      <c r="C90" s="1043"/>
    </row>
    <row r="91" spans="1:3" ht="15.75">
      <c r="A91" s="1039" t="s">
        <v>876</v>
      </c>
      <c r="B91" s="1044" t="s">
        <v>361</v>
      </c>
      <c r="C91" s="1047">
        <f>+'12. mérleg'!D60</f>
        <v>6508172</v>
      </c>
    </row>
    <row r="92" spans="1:3" ht="16.5" thickBot="1">
      <c r="A92" s="1048" t="s">
        <v>877</v>
      </c>
      <c r="B92" s="1049" t="s">
        <v>582</v>
      </c>
      <c r="C92" s="1050">
        <f>C85+C89+C90+C91</f>
        <v>353270675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&amp;R13.a.számú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76">
      <selection activeCell="C80" sqref="C80"/>
    </sheetView>
  </sheetViews>
  <sheetFormatPr defaultColWidth="60.421875" defaultRowHeight="12.75"/>
  <cols>
    <col min="1" max="1" width="60.421875" style="1071" customWidth="1"/>
    <col min="2" max="2" width="5.57421875" style="1072" customWidth="1"/>
    <col min="3" max="3" width="11.00390625" style="1071" customWidth="1"/>
    <col min="4" max="4" width="14.8515625" style="1071" customWidth="1"/>
    <col min="5" max="255" width="10.7109375" style="1011" customWidth="1"/>
    <col min="256" max="16384" width="60.421875" style="1011" customWidth="1"/>
  </cols>
  <sheetData>
    <row r="1" spans="1:256" ht="49.5" customHeight="1">
      <c r="A1" s="1459" t="s">
        <v>904</v>
      </c>
      <c r="B1" s="1459"/>
      <c r="C1" s="1459"/>
      <c r="D1" s="1459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  <c r="AZ1" s="1010"/>
      <c r="BA1" s="1010"/>
      <c r="BB1" s="1010"/>
      <c r="BC1" s="1010"/>
      <c r="BD1" s="1010"/>
      <c r="BE1" s="1010"/>
      <c r="BF1" s="1010"/>
      <c r="BG1" s="1010"/>
      <c r="BH1" s="1010"/>
      <c r="BI1" s="1010"/>
      <c r="BJ1" s="1010"/>
      <c r="BK1" s="1010"/>
      <c r="BL1" s="1010"/>
      <c r="BM1" s="1010"/>
      <c r="BN1" s="1010"/>
      <c r="BO1" s="1010"/>
      <c r="BP1" s="1010"/>
      <c r="BQ1" s="1010"/>
      <c r="BR1" s="1010"/>
      <c r="BS1" s="1010"/>
      <c r="BT1" s="1010"/>
      <c r="BU1" s="1010"/>
      <c r="BV1" s="1010"/>
      <c r="BW1" s="1010"/>
      <c r="BX1" s="1010"/>
      <c r="BY1" s="1010"/>
      <c r="BZ1" s="1010"/>
      <c r="CA1" s="1010"/>
      <c r="CB1" s="1010"/>
      <c r="CC1" s="1010"/>
      <c r="CD1" s="1010"/>
      <c r="CE1" s="1010"/>
      <c r="CF1" s="1010"/>
      <c r="CG1" s="1010"/>
      <c r="CH1" s="1010"/>
      <c r="CI1" s="1010"/>
      <c r="CJ1" s="1010"/>
      <c r="CK1" s="1010"/>
      <c r="CL1" s="1010"/>
      <c r="CM1" s="1010"/>
      <c r="CN1" s="1010"/>
      <c r="CO1" s="1010"/>
      <c r="CP1" s="1010"/>
      <c r="CQ1" s="1010"/>
      <c r="CR1" s="1010"/>
      <c r="CS1" s="1010"/>
      <c r="CT1" s="1010"/>
      <c r="CU1" s="1010"/>
      <c r="CV1" s="1010"/>
      <c r="CW1" s="1010"/>
      <c r="CX1" s="1010"/>
      <c r="CY1" s="1010"/>
      <c r="CZ1" s="1010"/>
      <c r="DA1" s="1010"/>
      <c r="DB1" s="1010"/>
      <c r="DC1" s="1010"/>
      <c r="DD1" s="1010"/>
      <c r="DE1" s="1010"/>
      <c r="DF1" s="1010"/>
      <c r="DG1" s="1010"/>
      <c r="DH1" s="1010"/>
      <c r="DI1" s="1010"/>
      <c r="DJ1" s="1010"/>
      <c r="DK1" s="1010"/>
      <c r="DL1" s="1010"/>
      <c r="DM1" s="1010"/>
      <c r="DN1" s="1010"/>
      <c r="DO1" s="1010"/>
      <c r="DP1" s="1010"/>
      <c r="DQ1" s="1010"/>
      <c r="DR1" s="1010"/>
      <c r="DS1" s="1010"/>
      <c r="DT1" s="1010"/>
      <c r="DU1" s="1010"/>
      <c r="DV1" s="1010"/>
      <c r="DW1" s="1010"/>
      <c r="DX1" s="1010"/>
      <c r="DY1" s="1010"/>
      <c r="DZ1" s="1010"/>
      <c r="EA1" s="1010"/>
      <c r="EB1" s="1010"/>
      <c r="EC1" s="1010"/>
      <c r="ED1" s="1010"/>
      <c r="EE1" s="1010"/>
      <c r="EF1" s="1010"/>
      <c r="EG1" s="1010"/>
      <c r="EH1" s="1010"/>
      <c r="EI1" s="1010"/>
      <c r="EJ1" s="1010"/>
      <c r="EK1" s="1010"/>
      <c r="EL1" s="1010"/>
      <c r="EM1" s="1010"/>
      <c r="EN1" s="1010"/>
      <c r="EO1" s="1010"/>
      <c r="EP1" s="1010"/>
      <c r="EQ1" s="1010"/>
      <c r="ER1" s="1010"/>
      <c r="ES1" s="1010"/>
      <c r="ET1" s="1010"/>
      <c r="EU1" s="1010"/>
      <c r="EV1" s="1010"/>
      <c r="EW1" s="1010"/>
      <c r="EX1" s="1010"/>
      <c r="EY1" s="1010"/>
      <c r="EZ1" s="1010"/>
      <c r="FA1" s="1010"/>
      <c r="FB1" s="1010"/>
      <c r="FC1" s="1010"/>
      <c r="FD1" s="1010"/>
      <c r="FE1" s="1010"/>
      <c r="FF1" s="1010"/>
      <c r="FG1" s="1010"/>
      <c r="FH1" s="1010"/>
      <c r="FI1" s="1010"/>
      <c r="FJ1" s="1010"/>
      <c r="FK1" s="1010"/>
      <c r="FL1" s="1010"/>
      <c r="FM1" s="1010"/>
      <c r="FN1" s="1010"/>
      <c r="FO1" s="1010"/>
      <c r="FP1" s="1010"/>
      <c r="FQ1" s="1010"/>
      <c r="FR1" s="1010"/>
      <c r="FS1" s="1010"/>
      <c r="FT1" s="1010"/>
      <c r="FU1" s="1010"/>
      <c r="FV1" s="1010"/>
      <c r="FW1" s="1010"/>
      <c r="FX1" s="1010"/>
      <c r="FY1" s="1010"/>
      <c r="FZ1" s="1010"/>
      <c r="GA1" s="1010"/>
      <c r="GB1" s="1010"/>
      <c r="GC1" s="1010"/>
      <c r="GD1" s="1010"/>
      <c r="GE1" s="1010"/>
      <c r="GF1" s="1010"/>
      <c r="GG1" s="1010"/>
      <c r="GH1" s="1010"/>
      <c r="GI1" s="1010"/>
      <c r="GJ1" s="1010"/>
      <c r="GK1" s="1010"/>
      <c r="GL1" s="1010"/>
      <c r="GM1" s="1010"/>
      <c r="GN1" s="1010"/>
      <c r="GO1" s="1010"/>
      <c r="GP1" s="1010"/>
      <c r="GQ1" s="1010"/>
      <c r="GR1" s="1010"/>
      <c r="GS1" s="1010"/>
      <c r="GT1" s="1010"/>
      <c r="GU1" s="1010"/>
      <c r="GV1" s="1010"/>
      <c r="GW1" s="1010"/>
      <c r="GX1" s="1010"/>
      <c r="GY1" s="1010"/>
      <c r="GZ1" s="1010"/>
      <c r="HA1" s="1010"/>
      <c r="HB1" s="1010"/>
      <c r="HC1" s="1010"/>
      <c r="HD1" s="1010"/>
      <c r="HE1" s="1010"/>
      <c r="HF1" s="1010"/>
      <c r="HG1" s="1010"/>
      <c r="HH1" s="1010"/>
      <c r="HI1" s="1010"/>
      <c r="HJ1" s="1010"/>
      <c r="HK1" s="1010"/>
      <c r="HL1" s="1010"/>
      <c r="HM1" s="1010"/>
      <c r="HN1" s="1010"/>
      <c r="HO1" s="1010"/>
      <c r="HP1" s="1010"/>
      <c r="HQ1" s="1010"/>
      <c r="HR1" s="1010"/>
      <c r="HS1" s="1010"/>
      <c r="HT1" s="1010"/>
      <c r="HU1" s="1010"/>
      <c r="HV1" s="1010"/>
      <c r="HW1" s="1010"/>
      <c r="HX1" s="1010"/>
      <c r="HY1" s="1010"/>
      <c r="HZ1" s="1010"/>
      <c r="IA1" s="1010"/>
      <c r="IB1" s="1010"/>
      <c r="IC1" s="1010"/>
      <c r="ID1" s="1010"/>
      <c r="IE1" s="1010"/>
      <c r="IF1" s="1010"/>
      <c r="IG1" s="1010"/>
      <c r="IH1" s="1010"/>
      <c r="II1" s="1010"/>
      <c r="IJ1" s="1010"/>
      <c r="IK1" s="1010"/>
      <c r="IL1" s="1010"/>
      <c r="IM1" s="1010"/>
      <c r="IN1" s="1010"/>
      <c r="IO1" s="1010"/>
      <c r="IP1" s="1010"/>
      <c r="IQ1" s="1010"/>
      <c r="IR1" s="1010"/>
      <c r="IS1" s="1010"/>
      <c r="IT1" s="1010"/>
      <c r="IU1" s="1010"/>
      <c r="IV1" s="1010"/>
    </row>
    <row r="2" spans="1:256" ht="16.5" thickBot="1">
      <c r="A2" s="1051" t="s">
        <v>878</v>
      </c>
      <c r="B2" s="1052"/>
      <c r="C2" s="1460" t="s">
        <v>729</v>
      </c>
      <c r="D2" s="146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  <c r="AZ2" s="1010"/>
      <c r="BA2" s="1010"/>
      <c r="BB2" s="1010"/>
      <c r="BC2" s="1010"/>
      <c r="BD2" s="1010"/>
      <c r="BE2" s="1010"/>
      <c r="BF2" s="1010"/>
      <c r="BG2" s="1010"/>
      <c r="BH2" s="1010"/>
      <c r="BI2" s="1010"/>
      <c r="BJ2" s="1010"/>
      <c r="BK2" s="1010"/>
      <c r="BL2" s="1010"/>
      <c r="BM2" s="1010"/>
      <c r="BN2" s="1010"/>
      <c r="BO2" s="1010"/>
      <c r="BP2" s="1010"/>
      <c r="BQ2" s="1010"/>
      <c r="BR2" s="1010"/>
      <c r="BS2" s="1010"/>
      <c r="BT2" s="1010"/>
      <c r="BU2" s="1010"/>
      <c r="BV2" s="1010"/>
      <c r="BW2" s="1010"/>
      <c r="BX2" s="1010"/>
      <c r="BY2" s="1010"/>
      <c r="BZ2" s="1010"/>
      <c r="CA2" s="1010"/>
      <c r="CB2" s="1010"/>
      <c r="CC2" s="1010"/>
      <c r="CD2" s="1010"/>
      <c r="CE2" s="1010"/>
      <c r="CF2" s="1010"/>
      <c r="CG2" s="1010"/>
      <c r="CH2" s="1010"/>
      <c r="CI2" s="1010"/>
      <c r="CJ2" s="1010"/>
      <c r="CK2" s="1010"/>
      <c r="CL2" s="1010"/>
      <c r="CM2" s="1010"/>
      <c r="CN2" s="1010"/>
      <c r="CO2" s="1010"/>
      <c r="CP2" s="1010"/>
      <c r="CQ2" s="1010"/>
      <c r="CR2" s="1010"/>
      <c r="CS2" s="1010"/>
      <c r="CT2" s="1010"/>
      <c r="CU2" s="1010"/>
      <c r="CV2" s="1010"/>
      <c r="CW2" s="1010"/>
      <c r="CX2" s="1010"/>
      <c r="CY2" s="1010"/>
      <c r="CZ2" s="1010"/>
      <c r="DA2" s="1010"/>
      <c r="DB2" s="1010"/>
      <c r="DC2" s="1010"/>
      <c r="DD2" s="1010"/>
      <c r="DE2" s="1010"/>
      <c r="DF2" s="1010"/>
      <c r="DG2" s="1010"/>
      <c r="DH2" s="1010"/>
      <c r="DI2" s="1010"/>
      <c r="DJ2" s="1010"/>
      <c r="DK2" s="1010"/>
      <c r="DL2" s="1010"/>
      <c r="DM2" s="1010"/>
      <c r="DN2" s="1010"/>
      <c r="DO2" s="1010"/>
      <c r="DP2" s="1010"/>
      <c r="DQ2" s="1010"/>
      <c r="DR2" s="1010"/>
      <c r="DS2" s="1010"/>
      <c r="DT2" s="1010"/>
      <c r="DU2" s="1010"/>
      <c r="DV2" s="1010"/>
      <c r="DW2" s="1010"/>
      <c r="DX2" s="1010"/>
      <c r="DY2" s="1010"/>
      <c r="DZ2" s="1010"/>
      <c r="EA2" s="1010"/>
      <c r="EB2" s="1010"/>
      <c r="EC2" s="1010"/>
      <c r="ED2" s="1010"/>
      <c r="EE2" s="1010"/>
      <c r="EF2" s="1010"/>
      <c r="EG2" s="1010"/>
      <c r="EH2" s="1010"/>
      <c r="EI2" s="1010"/>
      <c r="EJ2" s="1010"/>
      <c r="EK2" s="1010"/>
      <c r="EL2" s="1010"/>
      <c r="EM2" s="1010"/>
      <c r="EN2" s="1010"/>
      <c r="EO2" s="1010"/>
      <c r="EP2" s="1010"/>
      <c r="EQ2" s="1010"/>
      <c r="ER2" s="1010"/>
      <c r="ES2" s="1010"/>
      <c r="ET2" s="1010"/>
      <c r="EU2" s="1010"/>
      <c r="EV2" s="1010"/>
      <c r="EW2" s="1010"/>
      <c r="EX2" s="1010"/>
      <c r="EY2" s="1010"/>
      <c r="EZ2" s="1010"/>
      <c r="FA2" s="1010"/>
      <c r="FB2" s="1010"/>
      <c r="FC2" s="1010"/>
      <c r="FD2" s="1010"/>
      <c r="FE2" s="1010"/>
      <c r="FF2" s="1010"/>
      <c r="FG2" s="1010"/>
      <c r="FH2" s="1010"/>
      <c r="FI2" s="1010"/>
      <c r="FJ2" s="1010"/>
      <c r="FK2" s="1010"/>
      <c r="FL2" s="1010"/>
      <c r="FM2" s="1010"/>
      <c r="FN2" s="1010"/>
      <c r="FO2" s="1010"/>
      <c r="FP2" s="1010"/>
      <c r="FQ2" s="1010"/>
      <c r="FR2" s="1010"/>
      <c r="FS2" s="1010"/>
      <c r="FT2" s="1010"/>
      <c r="FU2" s="1010"/>
      <c r="FV2" s="1010"/>
      <c r="FW2" s="1010"/>
      <c r="FX2" s="1010"/>
      <c r="FY2" s="1010"/>
      <c r="FZ2" s="1010"/>
      <c r="GA2" s="1010"/>
      <c r="GB2" s="1010"/>
      <c r="GC2" s="1010"/>
      <c r="GD2" s="1010"/>
      <c r="GE2" s="1010"/>
      <c r="GF2" s="1010"/>
      <c r="GG2" s="1010"/>
      <c r="GH2" s="1010"/>
      <c r="GI2" s="1010"/>
      <c r="GJ2" s="1010"/>
      <c r="GK2" s="1010"/>
      <c r="GL2" s="1010"/>
      <c r="GM2" s="1010"/>
      <c r="GN2" s="1010"/>
      <c r="GO2" s="1010"/>
      <c r="GP2" s="1010"/>
      <c r="GQ2" s="1010"/>
      <c r="GR2" s="1010"/>
      <c r="GS2" s="1010"/>
      <c r="GT2" s="1010"/>
      <c r="GU2" s="1010"/>
      <c r="GV2" s="1010"/>
      <c r="GW2" s="1010"/>
      <c r="GX2" s="1010"/>
      <c r="GY2" s="1010"/>
      <c r="GZ2" s="1010"/>
      <c r="HA2" s="1010"/>
      <c r="HB2" s="1010"/>
      <c r="HC2" s="1010"/>
      <c r="HD2" s="1010"/>
      <c r="HE2" s="1010"/>
      <c r="HF2" s="1010"/>
      <c r="HG2" s="1010"/>
      <c r="HH2" s="1010"/>
      <c r="HI2" s="1010"/>
      <c r="HJ2" s="1010"/>
      <c r="HK2" s="1010"/>
      <c r="HL2" s="1010"/>
      <c r="HM2" s="1010"/>
      <c r="HN2" s="1010"/>
      <c r="HO2" s="1010"/>
      <c r="HP2" s="1010"/>
      <c r="HQ2" s="1010"/>
      <c r="HR2" s="1010"/>
      <c r="HS2" s="1010"/>
      <c r="HT2" s="1010"/>
      <c r="HU2" s="1010"/>
      <c r="HV2" s="1010"/>
      <c r="HW2" s="1010"/>
      <c r="HX2" s="1010"/>
      <c r="HY2" s="1010"/>
      <c r="HZ2" s="1010"/>
      <c r="IA2" s="1010"/>
      <c r="IB2" s="1010"/>
      <c r="IC2" s="1010"/>
      <c r="ID2" s="1010"/>
      <c r="IE2" s="1010"/>
      <c r="IF2" s="1010"/>
      <c r="IG2" s="1010"/>
      <c r="IH2" s="1010"/>
      <c r="II2" s="1010"/>
      <c r="IJ2" s="1010"/>
      <c r="IK2" s="1010"/>
      <c r="IL2" s="1010"/>
      <c r="IM2" s="1010"/>
      <c r="IN2" s="1010"/>
      <c r="IO2" s="1010"/>
      <c r="IP2" s="1010"/>
      <c r="IQ2" s="1010"/>
      <c r="IR2" s="1010"/>
      <c r="IS2" s="1010"/>
      <c r="IT2" s="1010"/>
      <c r="IU2" s="1010"/>
      <c r="IV2" s="1010"/>
    </row>
    <row r="3" spans="1:256" ht="15.75" customHeight="1" thickBot="1">
      <c r="A3" s="1461" t="s">
        <v>730</v>
      </c>
      <c r="B3" s="1462" t="s">
        <v>1</v>
      </c>
      <c r="C3" s="1463" t="s">
        <v>731</v>
      </c>
      <c r="D3" s="1463" t="s">
        <v>732</v>
      </c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  <c r="AM3" s="1010"/>
      <c r="AN3" s="1010"/>
      <c r="AO3" s="1010"/>
      <c r="AP3" s="1010"/>
      <c r="AQ3" s="1010"/>
      <c r="AR3" s="1010"/>
      <c r="AS3" s="1010"/>
      <c r="AT3" s="1010"/>
      <c r="AU3" s="1010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  <c r="BG3" s="1010"/>
      <c r="BH3" s="1010"/>
      <c r="BI3" s="1010"/>
      <c r="BJ3" s="1010"/>
      <c r="BK3" s="1010"/>
      <c r="BL3" s="1010"/>
      <c r="BM3" s="1010"/>
      <c r="BN3" s="1010"/>
      <c r="BO3" s="1010"/>
      <c r="BP3" s="1010"/>
      <c r="BQ3" s="1010"/>
      <c r="BR3" s="1010"/>
      <c r="BS3" s="1010"/>
      <c r="BT3" s="1010"/>
      <c r="BU3" s="1010"/>
      <c r="BV3" s="1010"/>
      <c r="BW3" s="1010"/>
      <c r="BX3" s="1010"/>
      <c r="BY3" s="1010"/>
      <c r="BZ3" s="1010"/>
      <c r="CA3" s="1010"/>
      <c r="CB3" s="1010"/>
      <c r="CC3" s="1010"/>
      <c r="CD3" s="1010"/>
      <c r="CE3" s="1010"/>
      <c r="CF3" s="1010"/>
      <c r="CG3" s="1010"/>
      <c r="CH3" s="1010"/>
      <c r="CI3" s="1010"/>
      <c r="CJ3" s="1010"/>
      <c r="CK3" s="1010"/>
      <c r="CL3" s="1010"/>
      <c r="CM3" s="1010"/>
      <c r="CN3" s="1010"/>
      <c r="CO3" s="1010"/>
      <c r="CP3" s="1010"/>
      <c r="CQ3" s="1010"/>
      <c r="CR3" s="1010"/>
      <c r="CS3" s="1010"/>
      <c r="CT3" s="1010"/>
      <c r="CU3" s="1010"/>
      <c r="CV3" s="1010"/>
      <c r="CW3" s="1010"/>
      <c r="CX3" s="1010"/>
      <c r="CY3" s="1010"/>
      <c r="CZ3" s="1010"/>
      <c r="DA3" s="1010"/>
      <c r="DB3" s="1010"/>
      <c r="DC3" s="1010"/>
      <c r="DD3" s="1010"/>
      <c r="DE3" s="1010"/>
      <c r="DF3" s="1010"/>
      <c r="DG3" s="1010"/>
      <c r="DH3" s="1010"/>
      <c r="DI3" s="1010"/>
      <c r="DJ3" s="1010"/>
      <c r="DK3" s="1010"/>
      <c r="DL3" s="1010"/>
      <c r="DM3" s="1010"/>
      <c r="DN3" s="1010"/>
      <c r="DO3" s="1010"/>
      <c r="DP3" s="1010"/>
      <c r="DQ3" s="1010"/>
      <c r="DR3" s="1010"/>
      <c r="DS3" s="1010"/>
      <c r="DT3" s="1010"/>
      <c r="DU3" s="1010"/>
      <c r="DV3" s="1010"/>
      <c r="DW3" s="1010"/>
      <c r="DX3" s="1010"/>
      <c r="DY3" s="1010"/>
      <c r="DZ3" s="1010"/>
      <c r="EA3" s="1010"/>
      <c r="EB3" s="1010"/>
      <c r="EC3" s="1010"/>
      <c r="ED3" s="1010"/>
      <c r="EE3" s="1010"/>
      <c r="EF3" s="1010"/>
      <c r="EG3" s="1010"/>
      <c r="EH3" s="1010"/>
      <c r="EI3" s="1010"/>
      <c r="EJ3" s="1010"/>
      <c r="EK3" s="1010"/>
      <c r="EL3" s="1010"/>
      <c r="EM3" s="1010"/>
      <c r="EN3" s="1010"/>
      <c r="EO3" s="1010"/>
      <c r="EP3" s="1010"/>
      <c r="EQ3" s="1010"/>
      <c r="ER3" s="1010"/>
      <c r="ES3" s="1010"/>
      <c r="ET3" s="1010"/>
      <c r="EU3" s="1010"/>
      <c r="EV3" s="1010"/>
      <c r="EW3" s="1010"/>
      <c r="EX3" s="1010"/>
      <c r="EY3" s="1010"/>
      <c r="EZ3" s="1010"/>
      <c r="FA3" s="1010"/>
      <c r="FB3" s="1010"/>
      <c r="FC3" s="1010"/>
      <c r="FD3" s="1010"/>
      <c r="FE3" s="1010"/>
      <c r="FF3" s="1010"/>
      <c r="FG3" s="1010"/>
      <c r="FH3" s="1010"/>
      <c r="FI3" s="1010"/>
      <c r="FJ3" s="1010"/>
      <c r="FK3" s="1010"/>
      <c r="FL3" s="1010"/>
      <c r="FM3" s="1010"/>
      <c r="FN3" s="1010"/>
      <c r="FO3" s="1010"/>
      <c r="FP3" s="1010"/>
      <c r="FQ3" s="1010"/>
      <c r="FR3" s="1010"/>
      <c r="FS3" s="1010"/>
      <c r="FT3" s="1010"/>
      <c r="FU3" s="1010"/>
      <c r="FV3" s="1010"/>
      <c r="FW3" s="1010"/>
      <c r="FX3" s="1010"/>
      <c r="FY3" s="1010"/>
      <c r="FZ3" s="1010"/>
      <c r="GA3" s="1010"/>
      <c r="GB3" s="1010"/>
      <c r="GC3" s="1010"/>
      <c r="GD3" s="1010"/>
      <c r="GE3" s="1010"/>
      <c r="GF3" s="1010"/>
      <c r="GG3" s="1010"/>
      <c r="GH3" s="1010"/>
      <c r="GI3" s="1010"/>
      <c r="GJ3" s="1010"/>
      <c r="GK3" s="1010"/>
      <c r="GL3" s="1010"/>
      <c r="GM3" s="1010"/>
      <c r="GN3" s="1010"/>
      <c r="GO3" s="1010"/>
      <c r="GP3" s="1010"/>
      <c r="GQ3" s="1010"/>
      <c r="GR3" s="1010"/>
      <c r="GS3" s="1010"/>
      <c r="GT3" s="1010"/>
      <c r="GU3" s="1010"/>
      <c r="GV3" s="1010"/>
      <c r="GW3" s="1010"/>
      <c r="GX3" s="1010"/>
      <c r="GY3" s="1010"/>
      <c r="GZ3" s="1010"/>
      <c r="HA3" s="1010"/>
      <c r="HB3" s="1010"/>
      <c r="HC3" s="1010"/>
      <c r="HD3" s="1010"/>
      <c r="HE3" s="1010"/>
      <c r="HF3" s="1010"/>
      <c r="HG3" s="1010"/>
      <c r="HH3" s="1010"/>
      <c r="HI3" s="1010"/>
      <c r="HJ3" s="1010"/>
      <c r="HK3" s="1010"/>
      <c r="HL3" s="1010"/>
      <c r="HM3" s="1010"/>
      <c r="HN3" s="1010"/>
      <c r="HO3" s="1010"/>
      <c r="HP3" s="1010"/>
      <c r="HQ3" s="1010"/>
      <c r="HR3" s="1010"/>
      <c r="HS3" s="1010"/>
      <c r="HT3" s="1010"/>
      <c r="HU3" s="1010"/>
      <c r="HV3" s="1010"/>
      <c r="HW3" s="1010"/>
      <c r="HX3" s="1010"/>
      <c r="HY3" s="1010"/>
      <c r="HZ3" s="1010"/>
      <c r="IA3" s="1010"/>
      <c r="IB3" s="1010"/>
      <c r="IC3" s="1010"/>
      <c r="ID3" s="1010"/>
      <c r="IE3" s="1010"/>
      <c r="IF3" s="1010"/>
      <c r="IG3" s="1010"/>
      <c r="IH3" s="1010"/>
      <c r="II3" s="1010"/>
      <c r="IJ3" s="1010"/>
      <c r="IK3" s="1010"/>
      <c r="IL3" s="1010"/>
      <c r="IM3" s="1010"/>
      <c r="IN3" s="1010"/>
      <c r="IO3" s="1010"/>
      <c r="IP3" s="1010"/>
      <c r="IQ3" s="1010"/>
      <c r="IR3" s="1010"/>
      <c r="IS3" s="1010"/>
      <c r="IT3" s="1010"/>
      <c r="IU3" s="1010"/>
      <c r="IV3" s="1010"/>
    </row>
    <row r="4" spans="1:256" ht="11.25" customHeight="1" thickBot="1">
      <c r="A4" s="1461"/>
      <c r="B4" s="1462"/>
      <c r="C4" s="1463"/>
      <c r="D4" s="1463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  <c r="BP4" s="1010"/>
      <c r="BQ4" s="1010"/>
      <c r="BR4" s="1010"/>
      <c r="BS4" s="1010"/>
      <c r="BT4" s="1010"/>
      <c r="BU4" s="1010"/>
      <c r="BV4" s="1010"/>
      <c r="BW4" s="1010"/>
      <c r="BX4" s="1010"/>
      <c r="BY4" s="1010"/>
      <c r="BZ4" s="1010"/>
      <c r="CA4" s="1010"/>
      <c r="CB4" s="1010"/>
      <c r="CC4" s="1010"/>
      <c r="CD4" s="1010"/>
      <c r="CE4" s="1010"/>
      <c r="CF4" s="1010"/>
      <c r="CG4" s="1010"/>
      <c r="CH4" s="1010"/>
      <c r="CI4" s="1010"/>
      <c r="CJ4" s="1010"/>
      <c r="CK4" s="1010"/>
      <c r="CL4" s="1010"/>
      <c r="CM4" s="1010"/>
      <c r="CN4" s="1010"/>
      <c r="CO4" s="1010"/>
      <c r="CP4" s="1010"/>
      <c r="CQ4" s="1010"/>
      <c r="CR4" s="1010"/>
      <c r="CS4" s="1010"/>
      <c r="CT4" s="1010"/>
      <c r="CU4" s="1010"/>
      <c r="CV4" s="1010"/>
      <c r="CW4" s="1010"/>
      <c r="CX4" s="1010"/>
      <c r="CY4" s="1010"/>
      <c r="CZ4" s="1010"/>
      <c r="DA4" s="1010"/>
      <c r="DB4" s="1010"/>
      <c r="DC4" s="1010"/>
      <c r="DD4" s="1010"/>
      <c r="DE4" s="1010"/>
      <c r="DF4" s="1010"/>
      <c r="DG4" s="1010"/>
      <c r="DH4" s="1010"/>
      <c r="DI4" s="1010"/>
      <c r="DJ4" s="1010"/>
      <c r="DK4" s="1010"/>
      <c r="DL4" s="1010"/>
      <c r="DM4" s="1010"/>
      <c r="DN4" s="1010"/>
      <c r="DO4" s="1010"/>
      <c r="DP4" s="1010"/>
      <c r="DQ4" s="1010"/>
      <c r="DR4" s="1010"/>
      <c r="DS4" s="1010"/>
      <c r="DT4" s="1010"/>
      <c r="DU4" s="1010"/>
      <c r="DV4" s="1010"/>
      <c r="DW4" s="1010"/>
      <c r="DX4" s="1010"/>
      <c r="DY4" s="1010"/>
      <c r="DZ4" s="1010"/>
      <c r="EA4" s="1010"/>
      <c r="EB4" s="1010"/>
      <c r="EC4" s="1010"/>
      <c r="ED4" s="1010"/>
      <c r="EE4" s="1010"/>
      <c r="EF4" s="1010"/>
      <c r="EG4" s="1010"/>
      <c r="EH4" s="1010"/>
      <c r="EI4" s="1010"/>
      <c r="EJ4" s="1010"/>
      <c r="EK4" s="1010"/>
      <c r="EL4" s="1010"/>
      <c r="EM4" s="1010"/>
      <c r="EN4" s="1010"/>
      <c r="EO4" s="1010"/>
      <c r="EP4" s="1010"/>
      <c r="EQ4" s="1010"/>
      <c r="ER4" s="1010"/>
      <c r="ES4" s="1010"/>
      <c r="ET4" s="1010"/>
      <c r="EU4" s="1010"/>
      <c r="EV4" s="1010"/>
      <c r="EW4" s="1010"/>
      <c r="EX4" s="1010"/>
      <c r="EY4" s="1010"/>
      <c r="EZ4" s="1010"/>
      <c r="FA4" s="1010"/>
      <c r="FB4" s="1010"/>
      <c r="FC4" s="1010"/>
      <c r="FD4" s="1010"/>
      <c r="FE4" s="1010"/>
      <c r="FF4" s="1010"/>
      <c r="FG4" s="1010"/>
      <c r="FH4" s="1010"/>
      <c r="FI4" s="1010"/>
      <c r="FJ4" s="1010"/>
      <c r="FK4" s="1010"/>
      <c r="FL4" s="1010"/>
      <c r="FM4" s="1010"/>
      <c r="FN4" s="1010"/>
      <c r="FO4" s="1010"/>
      <c r="FP4" s="1010"/>
      <c r="FQ4" s="1010"/>
      <c r="FR4" s="1010"/>
      <c r="FS4" s="1010"/>
      <c r="FT4" s="1010"/>
      <c r="FU4" s="1010"/>
      <c r="FV4" s="1010"/>
      <c r="FW4" s="1010"/>
      <c r="FX4" s="1010"/>
      <c r="FY4" s="1010"/>
      <c r="FZ4" s="1010"/>
      <c r="GA4" s="1010"/>
      <c r="GB4" s="1010"/>
      <c r="GC4" s="1010"/>
      <c r="GD4" s="1010"/>
      <c r="GE4" s="1010"/>
      <c r="GF4" s="1010"/>
      <c r="GG4" s="1010"/>
      <c r="GH4" s="1010"/>
      <c r="GI4" s="1010"/>
      <c r="GJ4" s="1010"/>
      <c r="GK4" s="1010"/>
      <c r="GL4" s="1010"/>
      <c r="GM4" s="1010"/>
      <c r="GN4" s="1010"/>
      <c r="GO4" s="1010"/>
      <c r="GP4" s="1010"/>
      <c r="GQ4" s="1010"/>
      <c r="GR4" s="1010"/>
      <c r="GS4" s="1010"/>
      <c r="GT4" s="1010"/>
      <c r="GU4" s="1010"/>
      <c r="GV4" s="1010"/>
      <c r="GW4" s="1010"/>
      <c r="GX4" s="1010"/>
      <c r="GY4" s="1010"/>
      <c r="GZ4" s="1010"/>
      <c r="HA4" s="1010"/>
      <c r="HB4" s="1010"/>
      <c r="HC4" s="1010"/>
      <c r="HD4" s="1010"/>
      <c r="HE4" s="1010"/>
      <c r="HF4" s="1010"/>
      <c r="HG4" s="1010"/>
      <c r="HH4" s="1010"/>
      <c r="HI4" s="1010"/>
      <c r="HJ4" s="1010"/>
      <c r="HK4" s="1010"/>
      <c r="HL4" s="1010"/>
      <c r="HM4" s="1010"/>
      <c r="HN4" s="1010"/>
      <c r="HO4" s="1010"/>
      <c r="HP4" s="1010"/>
      <c r="HQ4" s="1010"/>
      <c r="HR4" s="1010"/>
      <c r="HS4" s="1010"/>
      <c r="HT4" s="1010"/>
      <c r="HU4" s="1010"/>
      <c r="HV4" s="1010"/>
      <c r="HW4" s="1010"/>
      <c r="HX4" s="1010"/>
      <c r="HY4" s="1010"/>
      <c r="HZ4" s="1010"/>
      <c r="IA4" s="1010"/>
      <c r="IB4" s="1010"/>
      <c r="IC4" s="1010"/>
      <c r="ID4" s="1010"/>
      <c r="IE4" s="1010"/>
      <c r="IF4" s="1010"/>
      <c r="IG4" s="1010"/>
      <c r="IH4" s="1010"/>
      <c r="II4" s="1010"/>
      <c r="IJ4" s="1010"/>
      <c r="IK4" s="1010"/>
      <c r="IL4" s="1010"/>
      <c r="IM4" s="1010"/>
      <c r="IN4" s="1010"/>
      <c r="IO4" s="1010"/>
      <c r="IP4" s="1010"/>
      <c r="IQ4" s="1010"/>
      <c r="IR4" s="1010"/>
      <c r="IS4" s="1010"/>
      <c r="IT4" s="1010"/>
      <c r="IU4" s="1010"/>
      <c r="IV4" s="1010"/>
    </row>
    <row r="5" spans="1:256" ht="12.75" customHeight="1">
      <c r="A5" s="1461"/>
      <c r="B5" s="1462"/>
      <c r="C5" s="1464" t="s">
        <v>733</v>
      </c>
      <c r="D5" s="1464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  <c r="BP5" s="1010"/>
      <c r="BQ5" s="1010"/>
      <c r="BR5" s="1010"/>
      <c r="BS5" s="1010"/>
      <c r="BT5" s="1010"/>
      <c r="BU5" s="1010"/>
      <c r="BV5" s="1010"/>
      <c r="BW5" s="1010"/>
      <c r="BX5" s="1010"/>
      <c r="BY5" s="1010"/>
      <c r="BZ5" s="1010"/>
      <c r="CA5" s="1010"/>
      <c r="CB5" s="1010"/>
      <c r="CC5" s="1010"/>
      <c r="CD5" s="1010"/>
      <c r="CE5" s="1010"/>
      <c r="CF5" s="1010"/>
      <c r="CG5" s="1010"/>
      <c r="CH5" s="1010"/>
      <c r="CI5" s="1010"/>
      <c r="CJ5" s="1010"/>
      <c r="CK5" s="1010"/>
      <c r="CL5" s="1010"/>
      <c r="CM5" s="1010"/>
      <c r="CN5" s="1010"/>
      <c r="CO5" s="1010"/>
      <c r="CP5" s="1010"/>
      <c r="CQ5" s="1010"/>
      <c r="CR5" s="1010"/>
      <c r="CS5" s="1010"/>
      <c r="CT5" s="1010"/>
      <c r="CU5" s="1010"/>
      <c r="CV5" s="1010"/>
      <c r="CW5" s="1010"/>
      <c r="CX5" s="1010"/>
      <c r="CY5" s="1010"/>
      <c r="CZ5" s="1010"/>
      <c r="DA5" s="1010"/>
      <c r="DB5" s="1010"/>
      <c r="DC5" s="1010"/>
      <c r="DD5" s="1010"/>
      <c r="DE5" s="1010"/>
      <c r="DF5" s="1010"/>
      <c r="DG5" s="1010"/>
      <c r="DH5" s="1010"/>
      <c r="DI5" s="1010"/>
      <c r="DJ5" s="1010"/>
      <c r="DK5" s="1010"/>
      <c r="DL5" s="1010"/>
      <c r="DM5" s="1010"/>
      <c r="DN5" s="1010"/>
      <c r="DO5" s="1010"/>
      <c r="DP5" s="1010"/>
      <c r="DQ5" s="1010"/>
      <c r="DR5" s="1010"/>
      <c r="DS5" s="1010"/>
      <c r="DT5" s="1010"/>
      <c r="DU5" s="1010"/>
      <c r="DV5" s="1010"/>
      <c r="DW5" s="1010"/>
      <c r="DX5" s="1010"/>
      <c r="DY5" s="1010"/>
      <c r="DZ5" s="1010"/>
      <c r="EA5" s="1010"/>
      <c r="EB5" s="1010"/>
      <c r="EC5" s="1010"/>
      <c r="ED5" s="1010"/>
      <c r="EE5" s="1010"/>
      <c r="EF5" s="1010"/>
      <c r="EG5" s="1010"/>
      <c r="EH5" s="1010"/>
      <c r="EI5" s="1010"/>
      <c r="EJ5" s="1010"/>
      <c r="EK5" s="1010"/>
      <c r="EL5" s="1010"/>
      <c r="EM5" s="1010"/>
      <c r="EN5" s="1010"/>
      <c r="EO5" s="1010"/>
      <c r="EP5" s="1010"/>
      <c r="EQ5" s="1010"/>
      <c r="ER5" s="1010"/>
      <c r="ES5" s="1010"/>
      <c r="ET5" s="1010"/>
      <c r="EU5" s="1010"/>
      <c r="EV5" s="1010"/>
      <c r="EW5" s="1010"/>
      <c r="EX5" s="1010"/>
      <c r="EY5" s="1010"/>
      <c r="EZ5" s="1010"/>
      <c r="FA5" s="1010"/>
      <c r="FB5" s="1010"/>
      <c r="FC5" s="1010"/>
      <c r="FD5" s="1010"/>
      <c r="FE5" s="1010"/>
      <c r="FF5" s="1010"/>
      <c r="FG5" s="1010"/>
      <c r="FH5" s="1010"/>
      <c r="FI5" s="1010"/>
      <c r="FJ5" s="1010"/>
      <c r="FK5" s="1010"/>
      <c r="FL5" s="1010"/>
      <c r="FM5" s="1010"/>
      <c r="FN5" s="1010"/>
      <c r="FO5" s="1010"/>
      <c r="FP5" s="1010"/>
      <c r="FQ5" s="1010"/>
      <c r="FR5" s="1010"/>
      <c r="FS5" s="1010"/>
      <c r="FT5" s="1010"/>
      <c r="FU5" s="1010"/>
      <c r="FV5" s="1010"/>
      <c r="FW5" s="1010"/>
      <c r="FX5" s="1010"/>
      <c r="FY5" s="1010"/>
      <c r="FZ5" s="1010"/>
      <c r="GA5" s="1010"/>
      <c r="GB5" s="1010"/>
      <c r="GC5" s="1010"/>
      <c r="GD5" s="1010"/>
      <c r="GE5" s="1010"/>
      <c r="GF5" s="1010"/>
      <c r="GG5" s="1010"/>
      <c r="GH5" s="1010"/>
      <c r="GI5" s="1010"/>
      <c r="GJ5" s="1010"/>
      <c r="GK5" s="1010"/>
      <c r="GL5" s="1010"/>
      <c r="GM5" s="1010"/>
      <c r="GN5" s="1010"/>
      <c r="GO5" s="1010"/>
      <c r="GP5" s="1010"/>
      <c r="GQ5" s="1010"/>
      <c r="GR5" s="1010"/>
      <c r="GS5" s="1010"/>
      <c r="GT5" s="1010"/>
      <c r="GU5" s="1010"/>
      <c r="GV5" s="1010"/>
      <c r="GW5" s="1010"/>
      <c r="GX5" s="1010"/>
      <c r="GY5" s="1010"/>
      <c r="GZ5" s="1010"/>
      <c r="HA5" s="1010"/>
      <c r="HB5" s="1010"/>
      <c r="HC5" s="1010"/>
      <c r="HD5" s="1010"/>
      <c r="HE5" s="1010"/>
      <c r="HF5" s="1010"/>
      <c r="HG5" s="1010"/>
      <c r="HH5" s="1010"/>
      <c r="HI5" s="1010"/>
      <c r="HJ5" s="1010"/>
      <c r="HK5" s="1010"/>
      <c r="HL5" s="1010"/>
      <c r="HM5" s="1010"/>
      <c r="HN5" s="1010"/>
      <c r="HO5" s="1010"/>
      <c r="HP5" s="1010"/>
      <c r="HQ5" s="1010"/>
      <c r="HR5" s="1010"/>
      <c r="HS5" s="1010"/>
      <c r="HT5" s="1010"/>
      <c r="HU5" s="1010"/>
      <c r="HV5" s="1010"/>
      <c r="HW5" s="1010"/>
      <c r="HX5" s="1010"/>
      <c r="HY5" s="1010"/>
      <c r="HZ5" s="1010"/>
      <c r="IA5" s="1010"/>
      <c r="IB5" s="1010"/>
      <c r="IC5" s="1010"/>
      <c r="ID5" s="1010"/>
      <c r="IE5" s="1010"/>
      <c r="IF5" s="1010"/>
      <c r="IG5" s="1010"/>
      <c r="IH5" s="1010"/>
      <c r="II5" s="1010"/>
      <c r="IJ5" s="1010"/>
      <c r="IK5" s="1010"/>
      <c r="IL5" s="1010"/>
      <c r="IM5" s="1010"/>
      <c r="IN5" s="1010"/>
      <c r="IO5" s="1010"/>
      <c r="IP5" s="1010"/>
      <c r="IQ5" s="1010"/>
      <c r="IR5" s="1010"/>
      <c r="IS5" s="1010"/>
      <c r="IT5" s="1010"/>
      <c r="IU5" s="1010"/>
      <c r="IV5" s="1010"/>
    </row>
    <row r="6" spans="1:4" s="1016" customFormat="1" ht="16.5" thickBot="1">
      <c r="A6" s="1053" t="s">
        <v>734</v>
      </c>
      <c r="B6" s="1054" t="s">
        <v>567</v>
      </c>
      <c r="C6" s="1054" t="s">
        <v>568</v>
      </c>
      <c r="D6" s="1054" t="s">
        <v>569</v>
      </c>
    </row>
    <row r="7" spans="1:4" s="1020" customFormat="1" ht="15.75">
      <c r="A7" s="1055" t="s">
        <v>735</v>
      </c>
      <c r="B7" s="1056" t="s">
        <v>736</v>
      </c>
      <c r="C7" s="1057">
        <f>SUM(C8:C11)</f>
        <v>170000</v>
      </c>
      <c r="D7" s="1057">
        <v>0</v>
      </c>
    </row>
    <row r="8" spans="1:4" s="1020" customFormat="1" ht="15.75">
      <c r="A8" s="1058" t="s">
        <v>737</v>
      </c>
      <c r="B8" s="1059" t="s">
        <v>738</v>
      </c>
      <c r="C8" s="1060">
        <v>170000</v>
      </c>
      <c r="D8" s="1060"/>
    </row>
    <row r="9" spans="1:4" s="1020" customFormat="1" ht="47.25">
      <c r="A9" s="1058" t="s">
        <v>739</v>
      </c>
      <c r="B9" s="1059" t="s">
        <v>740</v>
      </c>
      <c r="C9" s="1060"/>
      <c r="D9" s="1060"/>
    </row>
    <row r="10" spans="1:4" s="1020" customFormat="1" ht="15.75">
      <c r="A10" s="1058" t="s">
        <v>741</v>
      </c>
      <c r="B10" s="1059" t="s">
        <v>742</v>
      </c>
      <c r="C10" s="1060"/>
      <c r="D10" s="1060"/>
    </row>
    <row r="11" spans="1:4" s="1020" customFormat="1" ht="15.75">
      <c r="A11" s="1058" t="s">
        <v>743</v>
      </c>
      <c r="B11" s="1059" t="s">
        <v>744</v>
      </c>
      <c r="C11" s="1060"/>
      <c r="D11" s="1060"/>
    </row>
    <row r="12" spans="1:4" s="1020" customFormat="1" ht="15.75">
      <c r="A12" s="1061" t="s">
        <v>745</v>
      </c>
      <c r="B12" s="1062" t="s">
        <v>746</v>
      </c>
      <c r="C12" s="1063">
        <f>SUM(C13+C18+C23+C28+C33)</f>
        <v>461954</v>
      </c>
      <c r="D12" s="1063">
        <f>SUM(D13+D18+D23+D28+D33)</f>
        <v>272014</v>
      </c>
    </row>
    <row r="13" spans="1:4" s="1020" customFormat="1" ht="31.5">
      <c r="A13" s="1061" t="s">
        <v>747</v>
      </c>
      <c r="B13" s="1062" t="s">
        <v>748</v>
      </c>
      <c r="C13" s="1063">
        <f>SUM(C14:C17)</f>
        <v>0</v>
      </c>
      <c r="D13" s="1063">
        <f>SUM(D14:D17)</f>
        <v>0</v>
      </c>
    </row>
    <row r="14" spans="1:4" s="1020" customFormat="1" ht="31.5">
      <c r="A14" s="1058" t="s">
        <v>749</v>
      </c>
      <c r="B14" s="1059" t="s">
        <v>750</v>
      </c>
      <c r="C14" s="1060"/>
      <c r="D14" s="1060"/>
    </row>
    <row r="15" spans="1:4" s="1020" customFormat="1" ht="26.25" customHeight="1">
      <c r="A15" s="1058" t="s">
        <v>751</v>
      </c>
      <c r="B15" s="1059" t="s">
        <v>752</v>
      </c>
      <c r="C15" s="1060"/>
      <c r="D15" s="1060"/>
    </row>
    <row r="16" spans="1:4" s="1020" customFormat="1" ht="31.5">
      <c r="A16" s="1058" t="s">
        <v>753</v>
      </c>
      <c r="B16" s="1059" t="s">
        <v>358</v>
      </c>
      <c r="C16" s="1060"/>
      <c r="D16" s="1060"/>
    </row>
    <row r="17" spans="1:4" s="1020" customFormat="1" ht="15.75">
      <c r="A17" s="1058" t="s">
        <v>754</v>
      </c>
      <c r="B17" s="1059" t="s">
        <v>359</v>
      </c>
      <c r="C17" s="1060"/>
      <c r="D17" s="1060"/>
    </row>
    <row r="18" spans="1:4" s="1020" customFormat="1" ht="31.5">
      <c r="A18" s="1061" t="s">
        <v>755</v>
      </c>
      <c r="B18" s="1062" t="s">
        <v>360</v>
      </c>
      <c r="C18" s="1064">
        <f>SUM(C19:C22)</f>
        <v>461954</v>
      </c>
      <c r="D18" s="1064">
        <f>SUM(D19:D22)</f>
        <v>272014</v>
      </c>
    </row>
    <row r="19" spans="1:4" s="1020" customFormat="1" ht="31.5">
      <c r="A19" s="1058" t="s">
        <v>756</v>
      </c>
      <c r="B19" s="1059" t="s">
        <v>361</v>
      </c>
      <c r="C19" s="1060"/>
      <c r="D19" s="1060"/>
    </row>
    <row r="20" spans="1:4" s="1020" customFormat="1" ht="47.25">
      <c r="A20" s="1058" t="s">
        <v>757</v>
      </c>
      <c r="B20" s="1059" t="s">
        <v>582</v>
      </c>
      <c r="C20" s="1060"/>
      <c r="D20" s="1060"/>
    </row>
    <row r="21" spans="1:4" s="1020" customFormat="1" ht="31.5">
      <c r="A21" s="1058" t="s">
        <v>758</v>
      </c>
      <c r="B21" s="1059" t="s">
        <v>362</v>
      </c>
      <c r="C21" s="1060"/>
      <c r="D21" s="1060"/>
    </row>
    <row r="22" spans="1:4" s="1020" customFormat="1" ht="15.75">
      <c r="A22" s="1058" t="s">
        <v>759</v>
      </c>
      <c r="B22" s="1059" t="s">
        <v>760</v>
      </c>
      <c r="C22" s="1060">
        <v>461954</v>
      </c>
      <c r="D22" s="1060">
        <v>272014</v>
      </c>
    </row>
    <row r="23" spans="1:4" s="1020" customFormat="1" ht="15.75">
      <c r="A23" s="1061" t="s">
        <v>761</v>
      </c>
      <c r="B23" s="1062" t="s">
        <v>762</v>
      </c>
      <c r="C23" s="1065"/>
      <c r="D23" s="1065"/>
    </row>
    <row r="24" spans="1:4" s="1020" customFormat="1" ht="15.75">
      <c r="A24" s="1058" t="s">
        <v>763</v>
      </c>
      <c r="B24" s="1059" t="s">
        <v>764</v>
      </c>
      <c r="C24" s="1060"/>
      <c r="D24" s="1060"/>
    </row>
    <row r="25" spans="1:4" s="1020" customFormat="1" ht="31.5">
      <c r="A25" s="1058" t="s">
        <v>765</v>
      </c>
      <c r="B25" s="1059" t="s">
        <v>766</v>
      </c>
      <c r="C25" s="1060"/>
      <c r="D25" s="1060"/>
    </row>
    <row r="26" spans="1:4" s="1020" customFormat="1" ht="15.75">
      <c r="A26" s="1058" t="s">
        <v>767</v>
      </c>
      <c r="B26" s="1059" t="s">
        <v>768</v>
      </c>
      <c r="C26" s="1060"/>
      <c r="D26" s="1060"/>
    </row>
    <row r="27" spans="1:4" s="1020" customFormat="1" ht="15.75">
      <c r="A27" s="1058" t="s">
        <v>769</v>
      </c>
      <c r="B27" s="1059" t="s">
        <v>770</v>
      </c>
      <c r="C27" s="1060"/>
      <c r="D27" s="1060"/>
    </row>
    <row r="28" spans="1:4" s="1020" customFormat="1" ht="15.75">
      <c r="A28" s="1061" t="s">
        <v>771</v>
      </c>
      <c r="B28" s="1062" t="s">
        <v>772</v>
      </c>
      <c r="C28" s="1064">
        <f>SUM(C29:C32)</f>
        <v>0</v>
      </c>
      <c r="D28" s="1064">
        <f>SUM(D29:D32)</f>
        <v>0</v>
      </c>
    </row>
    <row r="29" spans="1:4" s="1020" customFormat="1" ht="15.75">
      <c r="A29" s="1058" t="s">
        <v>773</v>
      </c>
      <c r="B29" s="1059" t="s">
        <v>774</v>
      </c>
      <c r="C29" s="1060"/>
      <c r="D29" s="1060"/>
    </row>
    <row r="30" spans="1:4" s="1020" customFormat="1" ht="31.5">
      <c r="A30" s="1058" t="s">
        <v>775</v>
      </c>
      <c r="B30" s="1059" t="s">
        <v>776</v>
      </c>
      <c r="C30" s="1060"/>
      <c r="D30" s="1060"/>
    </row>
    <row r="31" spans="1:4" s="1020" customFormat="1" ht="15.75">
      <c r="A31" s="1058" t="s">
        <v>777</v>
      </c>
      <c r="B31" s="1059" t="s">
        <v>778</v>
      </c>
      <c r="C31" s="1060"/>
      <c r="D31" s="1060"/>
    </row>
    <row r="32" spans="1:4" s="1020" customFormat="1" ht="15.75">
      <c r="A32" s="1058" t="s">
        <v>779</v>
      </c>
      <c r="B32" s="1059" t="s">
        <v>780</v>
      </c>
      <c r="C32" s="1060"/>
      <c r="D32" s="1060"/>
    </row>
    <row r="33" spans="1:4" s="1020" customFormat="1" ht="15.75">
      <c r="A33" s="1061" t="s">
        <v>781</v>
      </c>
      <c r="B33" s="1062" t="s">
        <v>782</v>
      </c>
      <c r="C33" s="1065"/>
      <c r="D33" s="1065"/>
    </row>
    <row r="34" spans="1:4" s="1020" customFormat="1" ht="15.75">
      <c r="A34" s="1058" t="s">
        <v>783</v>
      </c>
      <c r="B34" s="1059" t="s">
        <v>784</v>
      </c>
      <c r="C34" s="1060"/>
      <c r="D34" s="1060"/>
    </row>
    <row r="35" spans="1:4" s="1020" customFormat="1" ht="47.25">
      <c r="A35" s="1058" t="s">
        <v>785</v>
      </c>
      <c r="B35" s="1059" t="s">
        <v>786</v>
      </c>
      <c r="C35" s="1060"/>
      <c r="D35" s="1060"/>
    </row>
    <row r="36" spans="1:4" s="1020" customFormat="1" ht="31.5">
      <c r="A36" s="1058" t="s">
        <v>787</v>
      </c>
      <c r="B36" s="1059" t="s">
        <v>788</v>
      </c>
      <c r="C36" s="1060"/>
      <c r="D36" s="1060"/>
    </row>
    <row r="37" spans="1:4" s="1020" customFormat="1" ht="15.75">
      <c r="A37" s="1058" t="s">
        <v>789</v>
      </c>
      <c r="B37" s="1059" t="s">
        <v>790</v>
      </c>
      <c r="C37" s="1060"/>
      <c r="D37" s="1060"/>
    </row>
    <row r="38" spans="1:4" s="1020" customFormat="1" ht="15.75">
      <c r="A38" s="1061" t="s">
        <v>791</v>
      </c>
      <c r="B38" s="1062" t="s">
        <v>792</v>
      </c>
      <c r="C38" s="1064">
        <f>SUM(C39+C44+C49)</f>
        <v>0</v>
      </c>
      <c r="D38" s="1064">
        <f>SUM(D39+D44+D49)</f>
        <v>0</v>
      </c>
    </row>
    <row r="39" spans="1:4" s="1020" customFormat="1" ht="15.75">
      <c r="A39" s="1061" t="s">
        <v>793</v>
      </c>
      <c r="B39" s="1062" t="s">
        <v>794</v>
      </c>
      <c r="C39" s="1064">
        <f>SUM(C40:C43)</f>
        <v>0</v>
      </c>
      <c r="D39" s="1064">
        <f>SUM(D40:D43)</f>
        <v>0</v>
      </c>
    </row>
    <row r="40" spans="1:4" s="1020" customFormat="1" ht="15.75">
      <c r="A40" s="1058" t="s">
        <v>795</v>
      </c>
      <c r="B40" s="1059" t="s">
        <v>796</v>
      </c>
      <c r="C40" s="1060"/>
      <c r="D40" s="1060"/>
    </row>
    <row r="41" spans="1:4" s="1020" customFormat="1" ht="31.5">
      <c r="A41" s="1058" t="s">
        <v>797</v>
      </c>
      <c r="B41" s="1059" t="s">
        <v>798</v>
      </c>
      <c r="C41" s="1060"/>
      <c r="D41" s="1060"/>
    </row>
    <row r="42" spans="1:4" s="1020" customFormat="1" ht="15.75">
      <c r="A42" s="1058" t="s">
        <v>799</v>
      </c>
      <c r="B42" s="1059" t="s">
        <v>800</v>
      </c>
      <c r="C42" s="1060"/>
      <c r="D42" s="1060"/>
    </row>
    <row r="43" spans="1:4" s="1020" customFormat="1" ht="15.75">
      <c r="A43" s="1058" t="s">
        <v>801</v>
      </c>
      <c r="B43" s="1059" t="s">
        <v>802</v>
      </c>
      <c r="C43" s="1060"/>
      <c r="D43" s="1060"/>
    </row>
    <row r="44" spans="1:4" s="1020" customFormat="1" ht="31.5">
      <c r="A44" s="1061" t="s">
        <v>803</v>
      </c>
      <c r="B44" s="1062" t="s">
        <v>804</v>
      </c>
      <c r="C44" s="1065"/>
      <c r="D44" s="1065"/>
    </row>
    <row r="45" spans="1:4" s="1020" customFormat="1" ht="31.5">
      <c r="A45" s="1058" t="s">
        <v>805</v>
      </c>
      <c r="B45" s="1059" t="s">
        <v>806</v>
      </c>
      <c r="C45" s="1060"/>
      <c r="D45" s="1060"/>
    </row>
    <row r="46" spans="1:4" s="1020" customFormat="1" ht="47.25">
      <c r="A46" s="1058" t="s">
        <v>807</v>
      </c>
      <c r="B46" s="1059" t="s">
        <v>808</v>
      </c>
      <c r="C46" s="1060"/>
      <c r="D46" s="1060"/>
    </row>
    <row r="47" spans="1:4" s="1020" customFormat="1" ht="31.5">
      <c r="A47" s="1058" t="s">
        <v>809</v>
      </c>
      <c r="B47" s="1059" t="s">
        <v>810</v>
      </c>
      <c r="C47" s="1060"/>
      <c r="D47" s="1060"/>
    </row>
    <row r="48" spans="1:4" s="1020" customFormat="1" ht="15.75">
      <c r="A48" s="1058" t="s">
        <v>811</v>
      </c>
      <c r="B48" s="1059" t="s">
        <v>812</v>
      </c>
      <c r="C48" s="1060"/>
      <c r="D48" s="1060"/>
    </row>
    <row r="49" spans="1:4" s="1020" customFormat="1" ht="31.5">
      <c r="A49" s="1061" t="s">
        <v>813</v>
      </c>
      <c r="B49" s="1062" t="s">
        <v>814</v>
      </c>
      <c r="C49" s="1065"/>
      <c r="D49" s="1065"/>
    </row>
    <row r="50" spans="1:4" s="1020" customFormat="1" ht="31.5">
      <c r="A50" s="1058" t="s">
        <v>815</v>
      </c>
      <c r="B50" s="1059" t="s">
        <v>816</v>
      </c>
      <c r="C50" s="1060"/>
      <c r="D50" s="1060"/>
    </row>
    <row r="51" spans="1:4" s="1020" customFormat="1" ht="47.25">
      <c r="A51" s="1058" t="s">
        <v>817</v>
      </c>
      <c r="B51" s="1059" t="s">
        <v>818</v>
      </c>
      <c r="C51" s="1060"/>
      <c r="D51" s="1060"/>
    </row>
    <row r="52" spans="1:4" s="1020" customFormat="1" ht="31.5">
      <c r="A52" s="1058" t="s">
        <v>819</v>
      </c>
      <c r="B52" s="1059" t="s">
        <v>820</v>
      </c>
      <c r="C52" s="1060"/>
      <c r="D52" s="1060"/>
    </row>
    <row r="53" spans="1:4" s="1020" customFormat="1" ht="15.75">
      <c r="A53" s="1058" t="s">
        <v>821</v>
      </c>
      <c r="B53" s="1059" t="s">
        <v>822</v>
      </c>
      <c r="C53" s="1060"/>
      <c r="D53" s="1060"/>
    </row>
    <row r="54" spans="1:4" s="1020" customFormat="1" ht="15.75">
      <c r="A54" s="1061" t="s">
        <v>823</v>
      </c>
      <c r="B54" s="1059" t="s">
        <v>824</v>
      </c>
      <c r="C54" s="1060"/>
      <c r="D54" s="1060"/>
    </row>
    <row r="55" spans="1:4" ht="47.25">
      <c r="A55" s="1061" t="s">
        <v>825</v>
      </c>
      <c r="B55" s="1062" t="s">
        <v>826</v>
      </c>
      <c r="C55" s="1064">
        <f>SUM(C7+C12+C38+C54)</f>
        <v>631954</v>
      </c>
      <c r="D55" s="1064">
        <f>SUM(D7+D12+D38+D54)</f>
        <v>272014</v>
      </c>
    </row>
    <row r="56" spans="1:4" ht="15.75">
      <c r="A56" s="1061" t="s">
        <v>827</v>
      </c>
      <c r="B56" s="1059" t="s">
        <v>828</v>
      </c>
      <c r="C56" s="1066">
        <v>284966</v>
      </c>
      <c r="D56" s="1066">
        <v>284966</v>
      </c>
    </row>
    <row r="57" spans="1:4" ht="15.75">
      <c r="A57" s="1061" t="s">
        <v>829</v>
      </c>
      <c r="B57" s="1059" t="s">
        <v>830</v>
      </c>
      <c r="C57" s="1060"/>
      <c r="D57" s="1060"/>
    </row>
    <row r="58" spans="1:4" ht="31.5">
      <c r="A58" s="1061" t="s">
        <v>831</v>
      </c>
      <c r="B58" s="1062" t="s">
        <v>832</v>
      </c>
      <c r="C58" s="1064"/>
      <c r="D58" s="1064"/>
    </row>
    <row r="59" spans="1:4" ht="15.75">
      <c r="A59" s="1061" t="s">
        <v>833</v>
      </c>
      <c r="B59" s="1059" t="s">
        <v>834</v>
      </c>
      <c r="C59" s="1067"/>
      <c r="D59" s="1066"/>
    </row>
    <row r="60" spans="1:4" ht="15.75">
      <c r="A60" s="1061" t="s">
        <v>835</v>
      </c>
      <c r="B60" s="1059" t="s">
        <v>836</v>
      </c>
      <c r="C60" s="1067"/>
      <c r="D60" s="1066"/>
    </row>
    <row r="61" spans="1:4" ht="15.75">
      <c r="A61" s="1061" t="s">
        <v>837</v>
      </c>
      <c r="B61" s="1059" t="s">
        <v>838</v>
      </c>
      <c r="C61" s="1067"/>
      <c r="D61" s="1066">
        <v>285260</v>
      </c>
    </row>
    <row r="62" spans="1:4" ht="15.75">
      <c r="A62" s="1061" t="s">
        <v>839</v>
      </c>
      <c r="B62" s="1059" t="s">
        <v>840</v>
      </c>
      <c r="C62" s="1067"/>
      <c r="D62" s="1066"/>
    </row>
    <row r="63" spans="1:4" ht="15.75">
      <c r="A63" s="1061" t="s">
        <v>841</v>
      </c>
      <c r="B63" s="1059" t="s">
        <v>842</v>
      </c>
      <c r="C63" s="1067"/>
      <c r="D63" s="1066"/>
    </row>
    <row r="64" spans="1:4" ht="15.75">
      <c r="A64" s="1061" t="s">
        <v>843</v>
      </c>
      <c r="B64" s="1062" t="s">
        <v>844</v>
      </c>
      <c r="C64" s="1068"/>
      <c r="D64" s="1064">
        <f>SUM(D59:D63)</f>
        <v>285260</v>
      </c>
    </row>
    <row r="65" spans="1:4" ht="15.75">
      <c r="A65" s="1061" t="s">
        <v>845</v>
      </c>
      <c r="B65" s="1059" t="s">
        <v>846</v>
      </c>
      <c r="C65" s="1067"/>
      <c r="D65" s="1066">
        <v>1160</v>
      </c>
    </row>
    <row r="66" spans="1:4" ht="15.75">
      <c r="A66" s="1061" t="s">
        <v>847</v>
      </c>
      <c r="B66" s="1059" t="s">
        <v>848</v>
      </c>
      <c r="C66" s="1067"/>
      <c r="D66" s="1066"/>
    </row>
    <row r="67" spans="1:4" ht="15.75">
      <c r="A67" s="1061" t="s">
        <v>849</v>
      </c>
      <c r="B67" s="1059" t="s">
        <v>850</v>
      </c>
      <c r="C67" s="1067"/>
      <c r="D67" s="1066"/>
    </row>
    <row r="68" spans="1:4" ht="15.75">
      <c r="A68" s="1061" t="s">
        <v>851</v>
      </c>
      <c r="B68" s="1062" t="s">
        <v>852</v>
      </c>
      <c r="C68" s="1068"/>
      <c r="D68" s="1064">
        <f>SUM(D65:D67)</f>
        <v>1160</v>
      </c>
    </row>
    <row r="69" spans="1:4" ht="15.75">
      <c r="A69" s="1061" t="s">
        <v>853</v>
      </c>
      <c r="B69" s="1059" t="s">
        <v>854</v>
      </c>
      <c r="C69" s="1067"/>
      <c r="D69" s="1066"/>
    </row>
    <row r="70" spans="1:4" ht="47.25">
      <c r="A70" s="1061" t="s">
        <v>855</v>
      </c>
      <c r="B70" s="1059" t="s">
        <v>856</v>
      </c>
      <c r="C70" s="1067"/>
      <c r="D70" s="1066"/>
    </row>
    <row r="71" spans="1:4" ht="31.5">
      <c r="A71" s="1061" t="s">
        <v>857</v>
      </c>
      <c r="B71" s="1062" t="s">
        <v>858</v>
      </c>
      <c r="C71" s="1068"/>
      <c r="D71" s="1064"/>
    </row>
    <row r="72" spans="1:4" ht="15.75">
      <c r="A72" s="1061" t="s">
        <v>859</v>
      </c>
      <c r="B72" s="1062" t="s">
        <v>860</v>
      </c>
      <c r="C72" s="1067"/>
      <c r="D72" s="1066"/>
    </row>
    <row r="73" spans="1:4" ht="16.5" thickBot="1">
      <c r="A73" s="1069" t="s">
        <v>861</v>
      </c>
      <c r="B73" s="1062" t="s">
        <v>862</v>
      </c>
      <c r="C73" s="1070"/>
      <c r="D73" s="1070">
        <f>SUM(D68+D64+D58+D55+D71+D72+D56)</f>
        <v>843400</v>
      </c>
    </row>
    <row r="75" ht="16.5" thickBot="1"/>
    <row r="76" spans="1:3" ht="15.75">
      <c r="A76" s="1447" t="s">
        <v>863</v>
      </c>
      <c r="B76" s="1449" t="s">
        <v>1</v>
      </c>
      <c r="C76" s="1451" t="s">
        <v>864</v>
      </c>
    </row>
    <row r="77" spans="1:3" ht="15.75">
      <c r="A77" s="1448"/>
      <c r="B77" s="1450"/>
      <c r="C77" s="1452"/>
    </row>
    <row r="78" spans="1:3" ht="16.5" thickBot="1">
      <c r="A78" s="1036" t="s">
        <v>566</v>
      </c>
      <c r="B78" s="1037" t="s">
        <v>567</v>
      </c>
      <c r="C78" s="1038" t="s">
        <v>568</v>
      </c>
    </row>
    <row r="79" spans="1:3" ht="15.75">
      <c r="A79" s="1039" t="s">
        <v>865</v>
      </c>
      <c r="B79" s="1040" t="s">
        <v>736</v>
      </c>
      <c r="C79" s="1041">
        <f>+'[2]12.sz.m.mérleg'!F46</f>
        <v>0</v>
      </c>
    </row>
    <row r="80" spans="1:3" ht="15.75">
      <c r="A80" s="1039" t="s">
        <v>866</v>
      </c>
      <c r="B80" s="1042" t="s">
        <v>738</v>
      </c>
      <c r="C80" s="1041">
        <f>+'[2]12.sz.m.mérleg'!F47</f>
        <v>0</v>
      </c>
    </row>
    <row r="81" spans="1:3" ht="15.75">
      <c r="A81" s="1039" t="s">
        <v>867</v>
      </c>
      <c r="B81" s="1042" t="s">
        <v>740</v>
      </c>
      <c r="C81" s="1041">
        <f>+'12. mérleg'!F47</f>
        <v>774191</v>
      </c>
    </row>
    <row r="82" spans="1:3" ht="15.75">
      <c r="A82" s="1039" t="s">
        <v>868</v>
      </c>
      <c r="B82" s="1042" t="s">
        <v>742</v>
      </c>
      <c r="C82" s="1041">
        <f>+'12. mérleg'!F48</f>
        <v>-712562</v>
      </c>
    </row>
    <row r="83" spans="1:3" ht="15.75">
      <c r="A83" s="1039" t="s">
        <v>869</v>
      </c>
      <c r="B83" s="1042" t="s">
        <v>744</v>
      </c>
      <c r="C83" s="1043"/>
    </row>
    <row r="84" spans="1:3" ht="15.75">
      <c r="A84" s="1039" t="s">
        <v>870</v>
      </c>
      <c r="B84" s="1042" t="s">
        <v>746</v>
      </c>
      <c r="C84" s="1043">
        <f>+'12. mérleg'!F50</f>
        <v>-498613</v>
      </c>
    </row>
    <row r="85" spans="1:3" ht="15.75">
      <c r="A85" s="1039" t="s">
        <v>871</v>
      </c>
      <c r="B85" s="1044" t="s">
        <v>748</v>
      </c>
      <c r="C85" s="1045">
        <f>SUM(C79:C84)</f>
        <v>-436984</v>
      </c>
    </row>
    <row r="86" spans="1:3" ht="15.75">
      <c r="A86" s="1039" t="s">
        <v>872</v>
      </c>
      <c r="B86" s="1042" t="s">
        <v>750</v>
      </c>
      <c r="C86" s="1046"/>
    </row>
    <row r="87" spans="1:3" ht="15.75">
      <c r="A87" s="1039" t="s">
        <v>873</v>
      </c>
      <c r="B87" s="1042" t="s">
        <v>752</v>
      </c>
      <c r="C87" s="1043">
        <f>+'[2]12.sz.m.mérleg'!F55</f>
        <v>0</v>
      </c>
    </row>
    <row r="88" spans="1:3" ht="15.75">
      <c r="A88" s="1039" t="s">
        <v>874</v>
      </c>
      <c r="B88" s="1042" t="s">
        <v>358</v>
      </c>
      <c r="C88" s="1043">
        <f>+'[2]12.sz.m.mérleg'!F57</f>
        <v>0</v>
      </c>
    </row>
    <row r="89" spans="1:3" ht="15.75">
      <c r="A89" s="1039" t="s">
        <v>875</v>
      </c>
      <c r="B89" s="1044" t="s">
        <v>359</v>
      </c>
      <c r="C89" s="1045">
        <f>C86+C87+C88</f>
        <v>0</v>
      </c>
    </row>
    <row r="90" spans="1:3" ht="15.75">
      <c r="A90" s="1039" t="s">
        <v>726</v>
      </c>
      <c r="B90" s="1044" t="s">
        <v>360</v>
      </c>
      <c r="C90" s="1043"/>
    </row>
    <row r="91" spans="1:3" ht="15.75">
      <c r="A91" s="1039" t="s">
        <v>876</v>
      </c>
      <c r="B91" s="1044" t="s">
        <v>361</v>
      </c>
      <c r="C91" s="1047">
        <f>+'12. mérleg'!F60</f>
        <v>1280384</v>
      </c>
    </row>
    <row r="92" spans="1:3" ht="16.5" thickBot="1">
      <c r="A92" s="1048" t="s">
        <v>877</v>
      </c>
      <c r="B92" s="1049" t="s">
        <v>582</v>
      </c>
      <c r="C92" s="1050">
        <f>C85+C89+C90+C91</f>
        <v>843400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&amp;R13.b. 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B25">
      <selection activeCell="D38" sqref="D38"/>
    </sheetView>
  </sheetViews>
  <sheetFormatPr defaultColWidth="10.7109375" defaultRowHeight="12.75"/>
  <cols>
    <col min="1" max="1" width="67.7109375" style="1115" customWidth="1"/>
    <col min="2" max="2" width="11.421875" style="1115" customWidth="1"/>
    <col min="3" max="3" width="12.7109375" style="1115" customWidth="1"/>
    <col min="4" max="4" width="15.28125" style="1115" customWidth="1"/>
    <col min="5" max="5" width="18.57421875" style="1115" customWidth="1"/>
    <col min="6" max="16384" width="10.7109375" style="1073" customWidth="1"/>
  </cols>
  <sheetData>
    <row r="1" spans="1:6" ht="48" customHeight="1">
      <c r="A1" s="1465" t="s">
        <v>906</v>
      </c>
      <c r="B1" s="1465"/>
      <c r="C1" s="1465"/>
      <c r="D1" s="1465"/>
      <c r="E1" s="1465"/>
      <c r="F1" s="1010"/>
    </row>
    <row r="2" spans="1:6" ht="16.5" thickBot="1">
      <c r="A2" s="1074" t="s">
        <v>337</v>
      </c>
      <c r="B2" s="1052"/>
      <c r="C2" s="1052"/>
      <c r="D2" s="1466" t="s">
        <v>879</v>
      </c>
      <c r="E2" s="1466"/>
      <c r="F2" s="1010"/>
    </row>
    <row r="3" spans="1:6" ht="54" customHeight="1" thickBot="1">
      <c r="A3" s="1075" t="s">
        <v>133</v>
      </c>
      <c r="B3" s="1076" t="s">
        <v>1</v>
      </c>
      <c r="C3" s="1077" t="s">
        <v>880</v>
      </c>
      <c r="D3" s="1078" t="s">
        <v>881</v>
      </c>
      <c r="E3" s="1079" t="s">
        <v>882</v>
      </c>
      <c r="F3" s="1010"/>
    </row>
    <row r="4" spans="1:6" ht="16.5" thickBot="1">
      <c r="A4" s="1080" t="s">
        <v>566</v>
      </c>
      <c r="B4" s="1081" t="s">
        <v>567</v>
      </c>
      <c r="C4" s="1081" t="s">
        <v>568</v>
      </c>
      <c r="D4" s="1082" t="s">
        <v>569</v>
      </c>
      <c r="E4" s="1083"/>
      <c r="F4" s="1010"/>
    </row>
    <row r="5" spans="1:6" ht="15.75" customHeight="1">
      <c r="A5" s="1084" t="s">
        <v>883</v>
      </c>
      <c r="B5" s="1085" t="s">
        <v>10</v>
      </c>
      <c r="C5" s="1086">
        <v>121</v>
      </c>
      <c r="D5" s="1087">
        <v>75249912</v>
      </c>
      <c r="E5" s="1088"/>
      <c r="F5" s="1010"/>
    </row>
    <row r="6" spans="1:6" ht="15.75" customHeight="1">
      <c r="A6" s="1084" t="s">
        <v>884</v>
      </c>
      <c r="B6" s="1085" t="s">
        <v>162</v>
      </c>
      <c r="C6" s="1089"/>
      <c r="D6" s="1090"/>
      <c r="E6" s="1091"/>
      <c r="F6" s="1010"/>
    </row>
    <row r="7" spans="1:6" ht="15.75" customHeight="1">
      <c r="A7" s="1084" t="s">
        <v>885</v>
      </c>
      <c r="B7" s="1085" t="s">
        <v>70</v>
      </c>
      <c r="C7" s="1089">
        <v>35</v>
      </c>
      <c r="D7" s="1090">
        <v>2479599</v>
      </c>
      <c r="E7" s="1091"/>
      <c r="F7" s="1010"/>
    </row>
    <row r="8" spans="1:6" ht="15.75" customHeight="1" thickBot="1">
      <c r="A8" s="1092" t="s">
        <v>886</v>
      </c>
      <c r="B8" s="1093" t="s">
        <v>87</v>
      </c>
      <c r="C8" s="1094"/>
      <c r="D8" s="1095"/>
      <c r="E8" s="1096"/>
      <c r="F8" s="1010"/>
    </row>
    <row r="9" spans="1:6" ht="15.75" customHeight="1" thickBot="1">
      <c r="A9" s="1097" t="s">
        <v>887</v>
      </c>
      <c r="B9" s="1098" t="s">
        <v>100</v>
      </c>
      <c r="C9" s="1099"/>
      <c r="D9" s="1100"/>
      <c r="E9" s="1101">
        <f>SUM(E5:E8)</f>
        <v>0</v>
      </c>
      <c r="F9" s="1010"/>
    </row>
    <row r="10" spans="1:6" ht="15.75" customHeight="1">
      <c r="A10" s="1102" t="s">
        <v>888</v>
      </c>
      <c r="B10" s="1085" t="s">
        <v>108</v>
      </c>
      <c r="C10" s="1086"/>
      <c r="D10" s="1103"/>
      <c r="E10" s="1088"/>
      <c r="F10" s="1010"/>
    </row>
    <row r="11" spans="1:6" ht="15.75" customHeight="1">
      <c r="A11" s="1084" t="s">
        <v>889</v>
      </c>
      <c r="B11" s="1104" t="s">
        <v>117</v>
      </c>
      <c r="C11" s="1089"/>
      <c r="D11" s="1090"/>
      <c r="E11" s="1105"/>
      <c r="F11" s="1010"/>
    </row>
    <row r="12" spans="1:6" ht="15.75" customHeight="1">
      <c r="A12" s="1084" t="s">
        <v>890</v>
      </c>
      <c r="B12" s="1104" t="s">
        <v>119</v>
      </c>
      <c r="C12" s="1089"/>
      <c r="D12" s="1090"/>
      <c r="E12" s="1105"/>
      <c r="F12" s="1010"/>
    </row>
    <row r="13" spans="1:6" ht="15.75" customHeight="1" thickBot="1">
      <c r="A13" s="1092" t="s">
        <v>891</v>
      </c>
      <c r="B13" s="1093" t="s">
        <v>129</v>
      </c>
      <c r="C13" s="1094"/>
      <c r="D13" s="1095"/>
      <c r="E13" s="1106"/>
      <c r="F13" s="1010"/>
    </row>
    <row r="14" spans="1:6" ht="15.75" customHeight="1" thickBot="1">
      <c r="A14" s="1097" t="s">
        <v>892</v>
      </c>
      <c r="B14" s="1107" t="s">
        <v>358</v>
      </c>
      <c r="C14" s="1108"/>
      <c r="D14" s="1109">
        <f>+D15+D16+D17</f>
        <v>0</v>
      </c>
      <c r="E14" s="1083"/>
      <c r="F14" s="1010"/>
    </row>
    <row r="15" spans="1:6" ht="15.75" customHeight="1">
      <c r="A15" s="1102" t="s">
        <v>893</v>
      </c>
      <c r="B15" s="1085" t="s">
        <v>359</v>
      </c>
      <c r="C15" s="1086"/>
      <c r="D15" s="1103"/>
      <c r="E15" s="1110"/>
      <c r="F15" s="1010"/>
    </row>
    <row r="16" spans="1:6" ht="15.75" customHeight="1">
      <c r="A16" s="1084" t="s">
        <v>894</v>
      </c>
      <c r="B16" s="1104" t="s">
        <v>360</v>
      </c>
      <c r="C16" s="1089"/>
      <c r="D16" s="1090"/>
      <c r="E16" s="1105"/>
      <c r="F16" s="1010"/>
    </row>
    <row r="17" spans="1:6" ht="15.75" customHeight="1" thickBot="1">
      <c r="A17" s="1092" t="s">
        <v>895</v>
      </c>
      <c r="B17" s="1093" t="s">
        <v>361</v>
      </c>
      <c r="C17" s="1094"/>
      <c r="D17" s="1095"/>
      <c r="E17" s="1106"/>
      <c r="F17" s="1010"/>
    </row>
    <row r="18" spans="1:6" ht="15.75" customHeight="1" thickBot="1">
      <c r="A18" s="1097" t="s">
        <v>896</v>
      </c>
      <c r="B18" s="1107" t="s">
        <v>582</v>
      </c>
      <c r="C18" s="1108"/>
      <c r="D18" s="1109">
        <f>+D19+D20+D21</f>
        <v>0</v>
      </c>
      <c r="E18" s="1083"/>
      <c r="F18" s="1010"/>
    </row>
    <row r="19" spans="1:6" ht="15.75" customHeight="1">
      <c r="A19" s="1102" t="s">
        <v>897</v>
      </c>
      <c r="B19" s="1085" t="s">
        <v>362</v>
      </c>
      <c r="C19" s="1086"/>
      <c r="D19" s="1103"/>
      <c r="E19" s="1110"/>
      <c r="F19" s="1010"/>
    </row>
    <row r="20" spans="1:6" ht="15.75" customHeight="1">
      <c r="A20" s="1084" t="s">
        <v>898</v>
      </c>
      <c r="B20" s="1104" t="s">
        <v>760</v>
      </c>
      <c r="C20" s="1089"/>
      <c r="D20" s="1090"/>
      <c r="E20" s="1105"/>
      <c r="F20" s="1010"/>
    </row>
    <row r="21" spans="1:6" ht="15.75" customHeight="1">
      <c r="A21" s="1084" t="s">
        <v>899</v>
      </c>
      <c r="B21" s="1104" t="s">
        <v>762</v>
      </c>
      <c r="C21" s="1089"/>
      <c r="D21" s="1090"/>
      <c r="E21" s="1105"/>
      <c r="F21" s="1010"/>
    </row>
    <row r="22" spans="1:6" ht="15.75" customHeight="1">
      <c r="A22" s="1084" t="s">
        <v>900</v>
      </c>
      <c r="B22" s="1104" t="s">
        <v>764</v>
      </c>
      <c r="C22" s="1089"/>
      <c r="D22" s="1090"/>
      <c r="E22" s="1105"/>
      <c r="F22" s="1010"/>
    </row>
    <row r="23" spans="1:6" ht="15.75" customHeight="1">
      <c r="A23" s="1084"/>
      <c r="B23" s="1104" t="s">
        <v>766</v>
      </c>
      <c r="C23" s="1089"/>
      <c r="D23" s="1090"/>
      <c r="E23" s="1105"/>
      <c r="F23" s="1010"/>
    </row>
    <row r="24" spans="1:6" ht="15.75" customHeight="1">
      <c r="A24" s="1084"/>
      <c r="B24" s="1104" t="s">
        <v>768</v>
      </c>
      <c r="C24" s="1089"/>
      <c r="D24" s="1090"/>
      <c r="E24" s="1105"/>
      <c r="F24" s="1010"/>
    </row>
    <row r="25" spans="1:6" ht="15.75" customHeight="1">
      <c r="A25" s="1084"/>
      <c r="B25" s="1104" t="s">
        <v>770</v>
      </c>
      <c r="C25" s="1089"/>
      <c r="D25" s="1090"/>
      <c r="E25" s="1105"/>
      <c r="F25" s="1010"/>
    </row>
    <row r="26" spans="1:6" ht="15.75" customHeight="1">
      <c r="A26" s="1084"/>
      <c r="B26" s="1104" t="s">
        <v>772</v>
      </c>
      <c r="C26" s="1089"/>
      <c r="D26" s="1090"/>
      <c r="E26" s="1105"/>
      <c r="F26" s="1010"/>
    </row>
    <row r="27" spans="1:6" ht="15.75" customHeight="1">
      <c r="A27" s="1084"/>
      <c r="B27" s="1104" t="s">
        <v>774</v>
      </c>
      <c r="C27" s="1089"/>
      <c r="D27" s="1090"/>
      <c r="E27" s="1105"/>
      <c r="F27" s="1010"/>
    </row>
    <row r="28" spans="1:6" ht="15.75" customHeight="1">
      <c r="A28" s="1084"/>
      <c r="B28" s="1104" t="s">
        <v>776</v>
      </c>
      <c r="C28" s="1089"/>
      <c r="D28" s="1090"/>
      <c r="E28" s="1105"/>
      <c r="F28" s="1010"/>
    </row>
    <row r="29" spans="1:6" ht="15.75" customHeight="1">
      <c r="A29" s="1084"/>
      <c r="B29" s="1104" t="s">
        <v>778</v>
      </c>
      <c r="C29" s="1089"/>
      <c r="D29" s="1090"/>
      <c r="E29" s="1105"/>
      <c r="F29" s="1010"/>
    </row>
    <row r="30" spans="1:6" ht="15.75" customHeight="1">
      <c r="A30" s="1084"/>
      <c r="B30" s="1104" t="s">
        <v>780</v>
      </c>
      <c r="C30" s="1089"/>
      <c r="D30" s="1090"/>
      <c r="E30" s="1105"/>
      <c r="F30" s="1010"/>
    </row>
    <row r="31" spans="1:6" ht="15.75" customHeight="1">
      <c r="A31" s="1084"/>
      <c r="B31" s="1104" t="s">
        <v>782</v>
      </c>
      <c r="C31" s="1089"/>
      <c r="D31" s="1090"/>
      <c r="E31" s="1105"/>
      <c r="F31" s="1010"/>
    </row>
    <row r="32" spans="1:6" ht="15.75" customHeight="1">
      <c r="A32" s="1084"/>
      <c r="B32" s="1104" t="s">
        <v>784</v>
      </c>
      <c r="C32" s="1089"/>
      <c r="D32" s="1090"/>
      <c r="E32" s="1105"/>
      <c r="F32" s="1010"/>
    </row>
    <row r="33" spans="1:6" ht="15.75" customHeight="1">
      <c r="A33" s="1084"/>
      <c r="B33" s="1104" t="s">
        <v>786</v>
      </c>
      <c r="C33" s="1089"/>
      <c r="D33" s="1090"/>
      <c r="E33" s="1105"/>
      <c r="F33" s="1010"/>
    </row>
    <row r="34" spans="1:6" ht="15.75" customHeight="1">
      <c r="A34" s="1084"/>
      <c r="B34" s="1104" t="s">
        <v>788</v>
      </c>
      <c r="C34" s="1089"/>
      <c r="D34" s="1090"/>
      <c r="E34" s="1105"/>
      <c r="F34" s="1010"/>
    </row>
    <row r="35" spans="1:6" ht="15.75" customHeight="1">
      <c r="A35" s="1084"/>
      <c r="B35" s="1104" t="s">
        <v>790</v>
      </c>
      <c r="C35" s="1089"/>
      <c r="D35" s="1090"/>
      <c r="E35" s="1105"/>
      <c r="F35" s="1010"/>
    </row>
    <row r="36" spans="1:6" ht="15.75" customHeight="1">
      <c r="A36" s="1084"/>
      <c r="B36" s="1104" t="s">
        <v>792</v>
      </c>
      <c r="C36" s="1089"/>
      <c r="D36" s="1090"/>
      <c r="E36" s="1105"/>
      <c r="F36" s="1010"/>
    </row>
    <row r="37" spans="1:6" ht="15.75" customHeight="1" thickBot="1">
      <c r="A37" s="1092"/>
      <c r="B37" s="1093" t="s">
        <v>794</v>
      </c>
      <c r="C37" s="1094"/>
      <c r="D37" s="1095"/>
      <c r="E37" s="1106"/>
      <c r="F37" s="1010"/>
    </row>
    <row r="38" spans="1:6" ht="15.75" customHeight="1" thickBot="1">
      <c r="A38" s="1467" t="s">
        <v>901</v>
      </c>
      <c r="B38" s="1467"/>
      <c r="C38" s="1111"/>
      <c r="D38" s="1112">
        <f>SUM(D5:D8)</f>
        <v>77729511</v>
      </c>
      <c r="E38" s="1113">
        <f>E9+E14+E18+E19+E20+E21+E22</f>
        <v>0</v>
      </c>
      <c r="F38" s="1114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&amp;R13.c.számú melléklet</oddHeader>
    <oddFooter>&amp;C&amp;"Times New Roman,Normál"&amp;12Oldal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22">
      <selection activeCell="D38" sqref="D38"/>
    </sheetView>
  </sheetViews>
  <sheetFormatPr defaultColWidth="10.7109375" defaultRowHeight="12.75"/>
  <cols>
    <col min="1" max="1" width="67.7109375" style="1115" customWidth="1"/>
    <col min="2" max="2" width="6.140625" style="1115" customWidth="1"/>
    <col min="3" max="3" width="11.7109375" style="1115" customWidth="1"/>
    <col min="4" max="4" width="17.28125" style="1115" customWidth="1"/>
    <col min="5" max="5" width="13.28125" style="1115" customWidth="1"/>
    <col min="6" max="16384" width="10.7109375" style="1073" customWidth="1"/>
  </cols>
  <sheetData>
    <row r="1" spans="1:6" ht="48" customHeight="1">
      <c r="A1" s="1465" t="s">
        <v>905</v>
      </c>
      <c r="B1" s="1465"/>
      <c r="C1" s="1465"/>
      <c r="D1" s="1465"/>
      <c r="E1" s="1465"/>
      <c r="F1" s="1010"/>
    </row>
    <row r="2" spans="1:6" ht="16.5" thickBot="1">
      <c r="A2" s="1074" t="s">
        <v>878</v>
      </c>
      <c r="B2" s="1052"/>
      <c r="C2" s="1052"/>
      <c r="D2" s="1466" t="s">
        <v>879</v>
      </c>
      <c r="E2" s="1466"/>
      <c r="F2" s="1010"/>
    </row>
    <row r="3" spans="1:6" ht="43.5" customHeight="1" thickBot="1">
      <c r="A3" s="1075" t="s">
        <v>133</v>
      </c>
      <c r="B3" s="1076" t="s">
        <v>1</v>
      </c>
      <c r="C3" s="1077" t="s">
        <v>880</v>
      </c>
      <c r="D3" s="1078" t="s">
        <v>881</v>
      </c>
      <c r="E3" s="1079" t="s">
        <v>882</v>
      </c>
      <c r="F3" s="1010"/>
    </row>
    <row r="4" spans="1:6" ht="16.5" thickBot="1">
      <c r="A4" s="1080" t="s">
        <v>566</v>
      </c>
      <c r="B4" s="1081" t="s">
        <v>567</v>
      </c>
      <c r="C4" s="1081" t="s">
        <v>568</v>
      </c>
      <c r="D4" s="1082" t="s">
        <v>569</v>
      </c>
      <c r="E4" s="1083"/>
      <c r="F4" s="1010"/>
    </row>
    <row r="5" spans="1:6" ht="15.75" customHeight="1">
      <c r="A5" s="1084" t="s">
        <v>883</v>
      </c>
      <c r="B5" s="1085" t="s">
        <v>10</v>
      </c>
      <c r="C5" s="1089">
        <v>2</v>
      </c>
      <c r="D5" s="1090">
        <v>229054</v>
      </c>
      <c r="E5" s="1088"/>
      <c r="F5" s="1010"/>
    </row>
    <row r="6" spans="1:6" ht="15.75" customHeight="1">
      <c r="A6" s="1084" t="s">
        <v>884</v>
      </c>
      <c r="B6" s="1104" t="s">
        <v>162</v>
      </c>
      <c r="C6" s="1089">
        <v>1</v>
      </c>
      <c r="D6" s="1090">
        <v>170000</v>
      </c>
      <c r="E6" s="1091"/>
      <c r="F6" s="1010"/>
    </row>
    <row r="7" spans="1:6" ht="15.75" customHeight="1">
      <c r="A7" s="1084" t="s">
        <v>885</v>
      </c>
      <c r="B7" s="1085" t="s">
        <v>70</v>
      </c>
      <c r="C7" s="1089">
        <v>1</v>
      </c>
      <c r="D7" s="1090">
        <v>59054</v>
      </c>
      <c r="E7" s="1091"/>
      <c r="F7" s="1010"/>
    </row>
    <row r="8" spans="1:6" ht="15.75" customHeight="1" thickBot="1">
      <c r="A8" s="1092" t="s">
        <v>886</v>
      </c>
      <c r="B8" s="1093" t="s">
        <v>87</v>
      </c>
      <c r="C8" s="1094"/>
      <c r="D8" s="1095"/>
      <c r="E8" s="1096"/>
      <c r="F8" s="1010"/>
    </row>
    <row r="9" spans="1:6" ht="15.75" customHeight="1" thickBot="1">
      <c r="A9" s="1097" t="s">
        <v>887</v>
      </c>
      <c r="B9" s="1098" t="s">
        <v>100</v>
      </c>
      <c r="C9" s="1099"/>
      <c r="D9" s="1100"/>
      <c r="E9" s="1101">
        <f>SUM(E5:E8)</f>
        <v>0</v>
      </c>
      <c r="F9" s="1010"/>
    </row>
    <row r="10" spans="1:6" ht="15.75" customHeight="1">
      <c r="A10" s="1102" t="s">
        <v>888</v>
      </c>
      <c r="B10" s="1085" t="s">
        <v>108</v>
      </c>
      <c r="C10" s="1086"/>
      <c r="D10" s="1103"/>
      <c r="E10" s="1088"/>
      <c r="F10" s="1010"/>
    </row>
    <row r="11" spans="1:6" ht="15.75" customHeight="1">
      <c r="A11" s="1084" t="s">
        <v>889</v>
      </c>
      <c r="B11" s="1104" t="s">
        <v>117</v>
      </c>
      <c r="C11" s="1089"/>
      <c r="D11" s="1090"/>
      <c r="E11" s="1105"/>
      <c r="F11" s="1010"/>
    </row>
    <row r="12" spans="1:6" ht="15.75" customHeight="1">
      <c r="A12" s="1084" t="s">
        <v>890</v>
      </c>
      <c r="B12" s="1104" t="s">
        <v>119</v>
      </c>
      <c r="C12" s="1089"/>
      <c r="D12" s="1090"/>
      <c r="E12" s="1105"/>
      <c r="F12" s="1010"/>
    </row>
    <row r="13" spans="1:6" ht="15.75" customHeight="1" thickBot="1">
      <c r="A13" s="1092" t="s">
        <v>891</v>
      </c>
      <c r="B13" s="1093" t="s">
        <v>129</v>
      </c>
      <c r="C13" s="1094"/>
      <c r="D13" s="1095"/>
      <c r="E13" s="1106"/>
      <c r="F13" s="1010"/>
    </row>
    <row r="14" spans="1:6" ht="15.75" customHeight="1" thickBot="1">
      <c r="A14" s="1097" t="s">
        <v>892</v>
      </c>
      <c r="B14" s="1107" t="s">
        <v>358</v>
      </c>
      <c r="C14" s="1108"/>
      <c r="D14" s="1109">
        <f>+D15+D16+D17</f>
        <v>0</v>
      </c>
      <c r="E14" s="1083"/>
      <c r="F14" s="1010"/>
    </row>
    <row r="15" spans="1:6" ht="15.75" customHeight="1">
      <c r="A15" s="1102" t="s">
        <v>893</v>
      </c>
      <c r="B15" s="1085" t="s">
        <v>359</v>
      </c>
      <c r="C15" s="1086"/>
      <c r="D15" s="1103"/>
      <c r="E15" s="1110"/>
      <c r="F15" s="1010"/>
    </row>
    <row r="16" spans="1:6" ht="15.75" customHeight="1">
      <c r="A16" s="1084" t="s">
        <v>894</v>
      </c>
      <c r="B16" s="1104" t="s">
        <v>360</v>
      </c>
      <c r="C16" s="1089"/>
      <c r="D16" s="1090"/>
      <c r="E16" s="1105"/>
      <c r="F16" s="1010"/>
    </row>
    <row r="17" spans="1:6" ht="15.75" customHeight="1" thickBot="1">
      <c r="A17" s="1092" t="s">
        <v>895</v>
      </c>
      <c r="B17" s="1093" t="s">
        <v>361</v>
      </c>
      <c r="C17" s="1094"/>
      <c r="D17" s="1095"/>
      <c r="E17" s="1106"/>
      <c r="F17" s="1010"/>
    </row>
    <row r="18" spans="1:6" ht="15.75" customHeight="1" thickBot="1">
      <c r="A18" s="1097" t="s">
        <v>896</v>
      </c>
      <c r="B18" s="1107" t="s">
        <v>582</v>
      </c>
      <c r="C18" s="1108"/>
      <c r="D18" s="1109">
        <f>+D19+D20+D21</f>
        <v>0</v>
      </c>
      <c r="E18" s="1083"/>
      <c r="F18" s="1010"/>
    </row>
    <row r="19" spans="1:6" ht="15.75" customHeight="1">
      <c r="A19" s="1102" t="s">
        <v>897</v>
      </c>
      <c r="B19" s="1085" t="s">
        <v>362</v>
      </c>
      <c r="C19" s="1086"/>
      <c r="D19" s="1103"/>
      <c r="E19" s="1110"/>
      <c r="F19" s="1010"/>
    </row>
    <row r="20" spans="1:6" ht="15.75" customHeight="1">
      <c r="A20" s="1084" t="s">
        <v>898</v>
      </c>
      <c r="B20" s="1104" t="s">
        <v>760</v>
      </c>
      <c r="C20" s="1089"/>
      <c r="D20" s="1090"/>
      <c r="E20" s="1105"/>
      <c r="F20" s="1010"/>
    </row>
    <row r="21" spans="1:6" ht="15.75" customHeight="1">
      <c r="A21" s="1084" t="s">
        <v>899</v>
      </c>
      <c r="B21" s="1104" t="s">
        <v>762</v>
      </c>
      <c r="C21" s="1089"/>
      <c r="D21" s="1090"/>
      <c r="E21" s="1105"/>
      <c r="F21" s="1010"/>
    </row>
    <row r="22" spans="1:6" ht="15.75" customHeight="1">
      <c r="A22" s="1084" t="s">
        <v>900</v>
      </c>
      <c r="B22" s="1104" t="s">
        <v>764</v>
      </c>
      <c r="C22" s="1089"/>
      <c r="D22" s="1090"/>
      <c r="E22" s="1105"/>
      <c r="F22" s="1010"/>
    </row>
    <row r="23" spans="1:6" ht="15.75" customHeight="1">
      <c r="A23" s="1084"/>
      <c r="B23" s="1104" t="s">
        <v>766</v>
      </c>
      <c r="C23" s="1089"/>
      <c r="D23" s="1090"/>
      <c r="E23" s="1105"/>
      <c r="F23" s="1010"/>
    </row>
    <row r="24" spans="1:6" ht="15.75" customHeight="1">
      <c r="A24" s="1084"/>
      <c r="B24" s="1104" t="s">
        <v>768</v>
      </c>
      <c r="C24" s="1089"/>
      <c r="D24" s="1090"/>
      <c r="E24" s="1105"/>
      <c r="F24" s="1010"/>
    </row>
    <row r="25" spans="1:6" ht="15.75" customHeight="1">
      <c r="A25" s="1084"/>
      <c r="B25" s="1104" t="s">
        <v>770</v>
      </c>
      <c r="C25" s="1089"/>
      <c r="D25" s="1090"/>
      <c r="E25" s="1105"/>
      <c r="F25" s="1010"/>
    </row>
    <row r="26" spans="1:6" ht="15.75" customHeight="1">
      <c r="A26" s="1084"/>
      <c r="B26" s="1104" t="s">
        <v>772</v>
      </c>
      <c r="C26" s="1089"/>
      <c r="D26" s="1090"/>
      <c r="E26" s="1105"/>
      <c r="F26" s="1010"/>
    </row>
    <row r="27" spans="1:6" ht="15.75" customHeight="1">
      <c r="A27" s="1084"/>
      <c r="B27" s="1104" t="s">
        <v>774</v>
      </c>
      <c r="C27" s="1089"/>
      <c r="D27" s="1090"/>
      <c r="E27" s="1105"/>
      <c r="F27" s="1010"/>
    </row>
    <row r="28" spans="1:6" ht="15.75" customHeight="1">
      <c r="A28" s="1084"/>
      <c r="B28" s="1104" t="s">
        <v>776</v>
      </c>
      <c r="C28" s="1089"/>
      <c r="D28" s="1090"/>
      <c r="E28" s="1105"/>
      <c r="F28" s="1010"/>
    </row>
    <row r="29" spans="1:6" ht="15.75" customHeight="1">
      <c r="A29" s="1084"/>
      <c r="B29" s="1104" t="s">
        <v>778</v>
      </c>
      <c r="C29" s="1089"/>
      <c r="D29" s="1090"/>
      <c r="E29" s="1105"/>
      <c r="F29" s="1010"/>
    </row>
    <row r="30" spans="1:6" ht="15.75" customHeight="1">
      <c r="A30" s="1084"/>
      <c r="B30" s="1104" t="s">
        <v>780</v>
      </c>
      <c r="C30" s="1089"/>
      <c r="D30" s="1090"/>
      <c r="E30" s="1105"/>
      <c r="F30" s="1010"/>
    </row>
    <row r="31" spans="1:6" ht="15.75" customHeight="1">
      <c r="A31" s="1084"/>
      <c r="B31" s="1104" t="s">
        <v>782</v>
      </c>
      <c r="C31" s="1089"/>
      <c r="D31" s="1090"/>
      <c r="E31" s="1105"/>
      <c r="F31" s="1010"/>
    </row>
    <row r="32" spans="1:6" ht="15.75" customHeight="1">
      <c r="A32" s="1084"/>
      <c r="B32" s="1104" t="s">
        <v>784</v>
      </c>
      <c r="C32" s="1089"/>
      <c r="D32" s="1090"/>
      <c r="E32" s="1105"/>
      <c r="F32" s="1010"/>
    </row>
    <row r="33" spans="1:6" ht="15.75" customHeight="1">
      <c r="A33" s="1084"/>
      <c r="B33" s="1104" t="s">
        <v>786</v>
      </c>
      <c r="C33" s="1089"/>
      <c r="D33" s="1090"/>
      <c r="E33" s="1105"/>
      <c r="F33" s="1010"/>
    </row>
    <row r="34" spans="1:6" ht="15.75" customHeight="1">
      <c r="A34" s="1084"/>
      <c r="B34" s="1104" t="s">
        <v>788</v>
      </c>
      <c r="C34" s="1089"/>
      <c r="D34" s="1090"/>
      <c r="E34" s="1105"/>
      <c r="F34" s="1010"/>
    </row>
    <row r="35" spans="1:6" ht="15.75" customHeight="1">
      <c r="A35" s="1084"/>
      <c r="B35" s="1104" t="s">
        <v>790</v>
      </c>
      <c r="C35" s="1089"/>
      <c r="D35" s="1090"/>
      <c r="E35" s="1105"/>
      <c r="F35" s="1010"/>
    </row>
    <row r="36" spans="1:6" ht="15.75" customHeight="1">
      <c r="A36" s="1084"/>
      <c r="B36" s="1104" t="s">
        <v>792</v>
      </c>
      <c r="C36" s="1089"/>
      <c r="D36" s="1090"/>
      <c r="E36" s="1105"/>
      <c r="F36" s="1010"/>
    </row>
    <row r="37" spans="1:6" ht="15.75" customHeight="1" thickBot="1">
      <c r="A37" s="1092"/>
      <c r="B37" s="1093" t="s">
        <v>794</v>
      </c>
      <c r="C37" s="1094"/>
      <c r="D37" s="1095"/>
      <c r="E37" s="1106"/>
      <c r="F37" s="1010"/>
    </row>
    <row r="38" spans="1:6" ht="15.75" customHeight="1" thickBot="1">
      <c r="A38" s="1467" t="s">
        <v>901</v>
      </c>
      <c r="B38" s="1467"/>
      <c r="C38" s="1111"/>
      <c r="D38" s="1112">
        <f>SUM(D5:D8)</f>
        <v>458108</v>
      </c>
      <c r="E38" s="1113">
        <f>E9+E14+E18+E19+E20+E21+E22</f>
        <v>0</v>
      </c>
      <c r="F38" s="1114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&amp;R13.d.számú melléklet</oddHeader>
    <oddFooter>&amp;C&amp;"Times New Roman,Normál"&amp;12Oldal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6">
      <selection activeCell="A12" sqref="A12"/>
    </sheetView>
  </sheetViews>
  <sheetFormatPr defaultColWidth="9.140625" defaultRowHeight="12.75"/>
  <cols>
    <col min="1" max="1" width="73.28125" style="370" customWidth="1"/>
    <col min="2" max="2" width="12.8515625" style="370" customWidth="1"/>
    <col min="3" max="3" width="12.00390625" style="370" hidden="1" customWidth="1"/>
    <col min="4" max="4" width="13.28125" style="370" hidden="1" customWidth="1"/>
    <col min="5" max="5" width="13.57421875" style="370" customWidth="1"/>
    <col min="6" max="7" width="13.8515625" style="370" customWidth="1"/>
    <col min="8" max="9" width="13.57421875" style="370" customWidth="1"/>
    <col min="10" max="10" width="15.7109375" style="370" customWidth="1"/>
    <col min="11" max="16384" width="9.140625" style="370" customWidth="1"/>
  </cols>
  <sheetData>
    <row r="1" spans="1:9" ht="21" customHeight="1">
      <c r="A1" s="1469" t="s">
        <v>441</v>
      </c>
      <c r="B1" s="1469"/>
      <c r="C1" s="1469"/>
      <c r="D1" s="1469"/>
      <c r="E1" s="1469"/>
      <c r="F1" s="1469"/>
      <c r="G1" s="1469"/>
      <c r="H1" s="1469"/>
      <c r="I1" s="917"/>
    </row>
    <row r="2" spans="1:9" s="371" customFormat="1" ht="51.75" customHeight="1">
      <c r="A2" s="1468" t="s">
        <v>518</v>
      </c>
      <c r="B2" s="1468"/>
      <c r="C2" s="1468"/>
      <c r="D2" s="1468"/>
      <c r="E2" s="1468"/>
      <c r="F2" s="1468"/>
      <c r="G2" s="1468"/>
      <c r="H2" s="1468"/>
      <c r="I2" s="916"/>
    </row>
    <row r="3" spans="1:9" ht="15.75" customHeight="1" thickBot="1">
      <c r="A3" s="1470" t="s">
        <v>363</v>
      </c>
      <c r="B3" s="1470"/>
      <c r="C3" s="1470"/>
      <c r="D3" s="1470"/>
      <c r="E3" s="1470"/>
      <c r="F3" s="1470"/>
      <c r="G3" s="1470"/>
      <c r="H3" s="1470"/>
      <c r="I3" s="985"/>
    </row>
    <row r="4" spans="1:10" ht="54.75" customHeight="1" thickBot="1">
      <c r="A4" s="372" t="s">
        <v>364</v>
      </c>
      <c r="B4" s="373" t="s">
        <v>365</v>
      </c>
      <c r="C4" s="373" t="s">
        <v>7</v>
      </c>
      <c r="D4" s="373" t="s">
        <v>485</v>
      </c>
      <c r="E4" s="373" t="s">
        <v>496</v>
      </c>
      <c r="F4" s="984" t="s">
        <v>653</v>
      </c>
      <c r="G4" s="984" t="s">
        <v>654</v>
      </c>
      <c r="H4" s="984" t="s">
        <v>655</v>
      </c>
      <c r="I4" s="984" t="s">
        <v>657</v>
      </c>
      <c r="J4" s="984" t="s">
        <v>656</v>
      </c>
    </row>
    <row r="5" spans="1:9" s="377" customFormat="1" ht="21" customHeight="1" hidden="1">
      <c r="A5" s="374"/>
      <c r="B5" s="375"/>
      <c r="C5" s="375"/>
      <c r="D5" s="375"/>
      <c r="E5" s="376"/>
      <c r="F5" s="518"/>
      <c r="G5" s="518"/>
      <c r="H5" s="518"/>
      <c r="I5" s="986"/>
    </row>
    <row r="6" spans="1:10" s="377" customFormat="1" ht="21" customHeight="1">
      <c r="A6" s="378" t="s">
        <v>366</v>
      </c>
      <c r="B6" s="776">
        <v>1911110</v>
      </c>
      <c r="C6" s="776">
        <v>1911110</v>
      </c>
      <c r="D6" s="776">
        <v>1911110</v>
      </c>
      <c r="E6" s="776">
        <v>1911110</v>
      </c>
      <c r="F6" s="776">
        <v>1911110</v>
      </c>
      <c r="G6" s="776">
        <v>1911110</v>
      </c>
      <c r="H6" s="776">
        <v>1911110</v>
      </c>
      <c r="I6" s="776"/>
      <c r="J6" s="776"/>
    </row>
    <row r="7" spans="1:10" s="377" customFormat="1" ht="21" customHeight="1">
      <c r="A7" s="378" t="s">
        <v>367</v>
      </c>
      <c r="B7" s="776">
        <v>1824000</v>
      </c>
      <c r="C7" s="776">
        <v>1824000</v>
      </c>
      <c r="D7" s="776">
        <v>1824000</v>
      </c>
      <c r="E7" s="776">
        <v>1824000</v>
      </c>
      <c r="F7" s="776">
        <v>1824000</v>
      </c>
      <c r="G7" s="776">
        <v>1824000</v>
      </c>
      <c r="H7" s="776">
        <v>1824000</v>
      </c>
      <c r="I7" s="776"/>
      <c r="J7" s="776"/>
    </row>
    <row r="8" spans="1:10" s="377" customFormat="1" ht="21" customHeight="1">
      <c r="A8" s="378" t="s">
        <v>368</v>
      </c>
      <c r="B8" s="379">
        <v>625899</v>
      </c>
      <c r="C8" s="379">
        <v>625899</v>
      </c>
      <c r="D8" s="379">
        <v>625899</v>
      </c>
      <c r="E8" s="379">
        <v>625899</v>
      </c>
      <c r="F8" s="379">
        <v>625899</v>
      </c>
      <c r="G8" s="379">
        <v>625899</v>
      </c>
      <c r="H8" s="379">
        <v>625899</v>
      </c>
      <c r="I8" s="379"/>
      <c r="J8" s="379"/>
    </row>
    <row r="9" spans="1:10" s="377" customFormat="1" ht="21" customHeight="1">
      <c r="A9" s="378" t="s">
        <v>369</v>
      </c>
      <c r="B9" s="379">
        <v>1175860</v>
      </c>
      <c r="C9" s="379">
        <v>1175860</v>
      </c>
      <c r="D9" s="379">
        <v>1175860</v>
      </c>
      <c r="E9" s="379">
        <v>1175860</v>
      </c>
      <c r="F9" s="379">
        <v>1175860</v>
      </c>
      <c r="G9" s="379">
        <v>1175860</v>
      </c>
      <c r="H9" s="379">
        <v>1175860</v>
      </c>
      <c r="I9" s="379"/>
      <c r="J9" s="379"/>
    </row>
    <row r="10" spans="1:10" s="377" customFormat="1" ht="21" customHeight="1">
      <c r="A10" s="374" t="s">
        <v>370</v>
      </c>
      <c r="B10" s="380">
        <f aca="true" t="shared" si="0" ref="B10:H10">SUM(B6:B9)</f>
        <v>5536869</v>
      </c>
      <c r="C10" s="380">
        <f t="shared" si="0"/>
        <v>5536869</v>
      </c>
      <c r="D10" s="380">
        <f t="shared" si="0"/>
        <v>5536869</v>
      </c>
      <c r="E10" s="380">
        <f t="shared" si="0"/>
        <v>5536869</v>
      </c>
      <c r="F10" s="380">
        <f t="shared" si="0"/>
        <v>5536869</v>
      </c>
      <c r="G10" s="380">
        <f t="shared" si="0"/>
        <v>5536869</v>
      </c>
      <c r="H10" s="380">
        <f t="shared" si="0"/>
        <v>5536869</v>
      </c>
      <c r="I10" s="380"/>
      <c r="J10" s="380"/>
    </row>
    <row r="11" spans="1:10" s="377" customFormat="1" ht="21" customHeight="1">
      <c r="A11" s="378" t="s">
        <v>371</v>
      </c>
      <c r="B11" s="379">
        <v>5000000</v>
      </c>
      <c r="C11" s="379">
        <v>5000000</v>
      </c>
      <c r="D11" s="379">
        <v>5000000</v>
      </c>
      <c r="E11" s="379">
        <v>5000000</v>
      </c>
      <c r="F11" s="379">
        <v>5000000</v>
      </c>
      <c r="G11" s="379">
        <v>5000000</v>
      </c>
      <c r="H11" s="379">
        <v>5000000</v>
      </c>
      <c r="I11" s="379"/>
      <c r="J11" s="379"/>
    </row>
    <row r="12" spans="1:10" s="377" customFormat="1" ht="21" customHeight="1">
      <c r="A12" s="641" t="s">
        <v>604</v>
      </c>
      <c r="B12" s="379"/>
      <c r="C12" s="379">
        <v>51240</v>
      </c>
      <c r="D12" s="379">
        <v>51240</v>
      </c>
      <c r="E12" s="379">
        <v>51240</v>
      </c>
      <c r="F12" s="379">
        <v>51240</v>
      </c>
      <c r="G12" s="379">
        <v>51240</v>
      </c>
      <c r="H12" s="379">
        <v>51240</v>
      </c>
      <c r="I12" s="379"/>
      <c r="J12" s="379"/>
    </row>
    <row r="13" spans="1:10" s="377" customFormat="1" ht="21" customHeight="1" hidden="1">
      <c r="A13" s="519" t="s">
        <v>372</v>
      </c>
      <c r="B13" s="379"/>
      <c r="C13" s="379"/>
      <c r="D13" s="379"/>
      <c r="E13" s="379"/>
      <c r="F13" s="379"/>
      <c r="G13" s="379"/>
      <c r="H13" s="379"/>
      <c r="I13" s="379"/>
      <c r="J13" s="379"/>
    </row>
    <row r="14" spans="1:10" s="377" customFormat="1" ht="21" customHeight="1">
      <c r="A14" s="381" t="s">
        <v>373</v>
      </c>
      <c r="B14" s="380"/>
      <c r="C14" s="380"/>
      <c r="D14" s="380"/>
      <c r="E14" s="380"/>
      <c r="F14" s="380"/>
      <c r="G14" s="380"/>
      <c r="H14" s="380"/>
      <c r="I14" s="380"/>
      <c r="J14" s="380"/>
    </row>
    <row r="15" spans="1:10" s="377" customFormat="1" ht="21" customHeight="1">
      <c r="A15" s="382" t="s">
        <v>374</v>
      </c>
      <c r="B15" s="380">
        <v>5000000</v>
      </c>
      <c r="C15" s="380">
        <v>5000000</v>
      </c>
      <c r="D15" s="380">
        <v>5000000</v>
      </c>
      <c r="E15" s="380">
        <v>5000000</v>
      </c>
      <c r="F15" s="380">
        <v>5000000</v>
      </c>
      <c r="G15" s="380">
        <v>5000000</v>
      </c>
      <c r="H15" s="380">
        <v>5000000</v>
      </c>
      <c r="I15" s="380"/>
      <c r="J15" s="380"/>
    </row>
    <row r="16" spans="1:10" s="377" customFormat="1" ht="21" customHeight="1">
      <c r="A16" s="381" t="s">
        <v>375</v>
      </c>
      <c r="B16" s="380">
        <v>15300</v>
      </c>
      <c r="C16" s="380">
        <v>15300</v>
      </c>
      <c r="D16" s="380">
        <v>15300</v>
      </c>
      <c r="E16" s="380">
        <v>15300</v>
      </c>
      <c r="F16" s="380">
        <v>15300</v>
      </c>
      <c r="G16" s="380">
        <v>15300</v>
      </c>
      <c r="H16" s="380">
        <v>15300</v>
      </c>
      <c r="I16" s="380"/>
      <c r="J16" s="380"/>
    </row>
    <row r="17" spans="1:10" s="377" customFormat="1" ht="21" customHeight="1">
      <c r="A17" s="381" t="s">
        <v>558</v>
      </c>
      <c r="B17" s="775">
        <v>2110434</v>
      </c>
      <c r="C17" s="775">
        <v>2110434</v>
      </c>
      <c r="D17" s="775">
        <v>2110434</v>
      </c>
      <c r="E17" s="775">
        <v>2110434</v>
      </c>
      <c r="F17" s="775">
        <v>2110434</v>
      </c>
      <c r="G17" s="775">
        <v>2110434</v>
      </c>
      <c r="H17" s="775">
        <v>2110434</v>
      </c>
      <c r="I17" s="775"/>
      <c r="J17" s="775"/>
    </row>
    <row r="18" spans="1:10" s="377" customFormat="1" ht="21" customHeight="1" thickBot="1">
      <c r="A18" s="381" t="s">
        <v>557</v>
      </c>
      <c r="B18" s="770">
        <v>585200</v>
      </c>
      <c r="C18" s="770">
        <v>585200</v>
      </c>
      <c r="D18" s="770">
        <v>585200</v>
      </c>
      <c r="E18" s="770">
        <v>585200</v>
      </c>
      <c r="F18" s="770">
        <v>585200</v>
      </c>
      <c r="G18" s="770">
        <v>585200</v>
      </c>
      <c r="H18" s="770">
        <v>585200</v>
      </c>
      <c r="I18" s="770"/>
      <c r="J18" s="770"/>
    </row>
    <row r="19" spans="1:10" s="385" customFormat="1" ht="24.75" customHeight="1" thickBot="1">
      <c r="A19" s="383" t="s">
        <v>376</v>
      </c>
      <c r="B19" s="384">
        <f aca="true" t="shared" si="1" ref="B19:H19">B10+B15+B16+B12+B17+B18</f>
        <v>13247803</v>
      </c>
      <c r="C19" s="384">
        <f t="shared" si="1"/>
        <v>13299043</v>
      </c>
      <c r="D19" s="384">
        <f t="shared" si="1"/>
        <v>13299043</v>
      </c>
      <c r="E19" s="384">
        <f t="shared" si="1"/>
        <v>13299043</v>
      </c>
      <c r="F19" s="384">
        <f t="shared" si="1"/>
        <v>13299043</v>
      </c>
      <c r="G19" s="384">
        <f t="shared" si="1"/>
        <v>13299043</v>
      </c>
      <c r="H19" s="384">
        <f t="shared" si="1"/>
        <v>13299043</v>
      </c>
      <c r="I19" s="384"/>
      <c r="J19" s="384"/>
    </row>
    <row r="20" spans="1:10" ht="24.75" customHeight="1">
      <c r="A20" s="386" t="s">
        <v>377</v>
      </c>
      <c r="B20" s="375">
        <f>4713600+2940000+2504100+735000</f>
        <v>10892700</v>
      </c>
      <c r="C20" s="375">
        <f>4713600+2940000+2504100+735000</f>
        <v>10892700</v>
      </c>
      <c r="D20" s="375">
        <f>4713600+2940000+2504100+735000</f>
        <v>10892700</v>
      </c>
      <c r="E20" s="375">
        <f>4713600+2940000+2651400+735000</f>
        <v>11040000</v>
      </c>
      <c r="F20" s="375">
        <f>4713600+2940000+2651400+735000</f>
        <v>11040000</v>
      </c>
      <c r="G20" s="375">
        <f>4713600+2940000+2651400+735000</f>
        <v>11040000</v>
      </c>
      <c r="H20" s="375">
        <f>4713600+2940000+2651400+735000</f>
        <v>11040000</v>
      </c>
      <c r="I20" s="375"/>
      <c r="J20" s="375"/>
    </row>
    <row r="21" spans="1:10" ht="24.75" customHeight="1" thickBot="1">
      <c r="A21" s="381" t="s">
        <v>378</v>
      </c>
      <c r="B21" s="380">
        <f>599133+354033</f>
        <v>953166</v>
      </c>
      <c r="C21" s="380">
        <f>599133+354033</f>
        <v>953166</v>
      </c>
      <c r="D21" s="380">
        <f>599133+354033</f>
        <v>953166</v>
      </c>
      <c r="E21" s="380">
        <f>599133+381267</f>
        <v>980400</v>
      </c>
      <c r="F21" s="380">
        <f>599133+381267</f>
        <v>980400</v>
      </c>
      <c r="G21" s="380">
        <f>599133+381267</f>
        <v>980400</v>
      </c>
      <c r="H21" s="380">
        <f>599133+381267</f>
        <v>980400</v>
      </c>
      <c r="I21" s="380"/>
      <c r="J21" s="380"/>
    </row>
    <row r="22" spans="1:10" s="385" customFormat="1" ht="24.75" customHeight="1" thickBot="1">
      <c r="A22" s="383" t="s">
        <v>379</v>
      </c>
      <c r="B22" s="387">
        <f aca="true" t="shared" si="2" ref="B22:H22">SUM(B20:B21)</f>
        <v>11845866</v>
      </c>
      <c r="C22" s="387">
        <f t="shared" si="2"/>
        <v>11845866</v>
      </c>
      <c r="D22" s="387">
        <f t="shared" si="2"/>
        <v>11845866</v>
      </c>
      <c r="E22" s="387">
        <f t="shared" si="2"/>
        <v>12020400</v>
      </c>
      <c r="F22" s="387">
        <f t="shared" si="2"/>
        <v>12020400</v>
      </c>
      <c r="G22" s="387">
        <f t="shared" si="2"/>
        <v>12020400</v>
      </c>
      <c r="H22" s="387">
        <f t="shared" si="2"/>
        <v>12020400</v>
      </c>
      <c r="I22" s="387"/>
      <c r="J22" s="387"/>
    </row>
    <row r="23" spans="1:10" ht="24.75" customHeight="1" thickBot="1">
      <c r="A23" s="388" t="s">
        <v>380</v>
      </c>
      <c r="B23" s="389">
        <v>5161000</v>
      </c>
      <c r="C23" s="389">
        <v>5161000</v>
      </c>
      <c r="D23" s="389">
        <v>5161000</v>
      </c>
      <c r="E23" s="389">
        <v>5161000</v>
      </c>
      <c r="F23" s="389">
        <v>5161000</v>
      </c>
      <c r="G23" s="389">
        <v>5161000</v>
      </c>
      <c r="H23" s="389">
        <v>5161000</v>
      </c>
      <c r="I23" s="389"/>
      <c r="J23" s="389"/>
    </row>
    <row r="24" spans="1:10" ht="24.75" customHeight="1">
      <c r="A24" s="390" t="s">
        <v>381</v>
      </c>
      <c r="B24" s="391">
        <v>2052000</v>
      </c>
      <c r="C24" s="391">
        <v>2052000</v>
      </c>
      <c r="D24" s="391">
        <v>2052000</v>
      </c>
      <c r="E24" s="391">
        <v>2052000</v>
      </c>
      <c r="F24" s="391">
        <v>2052000</v>
      </c>
      <c r="G24" s="391">
        <f>2052000-76000</f>
        <v>1976000</v>
      </c>
      <c r="H24" s="391">
        <f>2052000-76000</f>
        <v>1976000</v>
      </c>
      <c r="I24" s="391"/>
      <c r="J24" s="391">
        <v>-76000</v>
      </c>
    </row>
    <row r="25" spans="1:10" ht="24.75" customHeight="1" thickBot="1">
      <c r="A25" s="392" t="s">
        <v>382</v>
      </c>
      <c r="B25" s="393">
        <v>1403591</v>
      </c>
      <c r="C25" s="393">
        <v>1403591</v>
      </c>
      <c r="D25" s="393">
        <f>1403591-280000</f>
        <v>1123591</v>
      </c>
      <c r="E25" s="393">
        <v>1166843</v>
      </c>
      <c r="F25" s="393">
        <v>1166843</v>
      </c>
      <c r="G25" s="393">
        <v>1166843</v>
      </c>
      <c r="H25" s="393">
        <v>1166843</v>
      </c>
      <c r="I25" s="393"/>
      <c r="J25" s="393"/>
    </row>
    <row r="26" spans="1:10" ht="24.75" customHeight="1" hidden="1" thickBot="1">
      <c r="A26" s="402" t="s">
        <v>388</v>
      </c>
      <c r="B26" s="403">
        <v>0</v>
      </c>
      <c r="C26" s="403">
        <v>0</v>
      </c>
      <c r="D26" s="403">
        <v>0</v>
      </c>
      <c r="E26" s="403">
        <v>0</v>
      </c>
      <c r="F26" s="403">
        <v>0</v>
      </c>
      <c r="G26" s="403">
        <v>0</v>
      </c>
      <c r="H26" s="403">
        <v>0</v>
      </c>
      <c r="I26" s="403"/>
      <c r="J26" s="403"/>
    </row>
    <row r="27" spans="1:10" ht="24.75" customHeight="1" thickBot="1">
      <c r="A27" s="394" t="s">
        <v>383</v>
      </c>
      <c r="B27" s="389">
        <f>SUM(B24:B26)</f>
        <v>3455591</v>
      </c>
      <c r="C27" s="389">
        <f aca="true" t="shared" si="3" ref="C27:H27">SUM(C24:C26)</f>
        <v>3455591</v>
      </c>
      <c r="D27" s="389">
        <f t="shared" si="3"/>
        <v>3175591</v>
      </c>
      <c r="E27" s="389">
        <f t="shared" si="3"/>
        <v>3218843</v>
      </c>
      <c r="F27" s="389">
        <f t="shared" si="3"/>
        <v>3218843</v>
      </c>
      <c r="G27" s="389">
        <f t="shared" si="3"/>
        <v>3142843</v>
      </c>
      <c r="H27" s="389">
        <f t="shared" si="3"/>
        <v>3142843</v>
      </c>
      <c r="I27" s="389">
        <f>SUM(I24:I26)</f>
        <v>0</v>
      </c>
      <c r="J27" s="389">
        <f>SUM(J24:J26)</f>
        <v>-76000</v>
      </c>
    </row>
    <row r="28" spans="1:10" ht="24.75" customHeight="1">
      <c r="A28" s="395" t="s">
        <v>384</v>
      </c>
      <c r="B28" s="396">
        <v>1800000</v>
      </c>
      <c r="C28" s="396">
        <v>1800000</v>
      </c>
      <c r="D28" s="396">
        <v>1800000</v>
      </c>
      <c r="E28" s="396">
        <v>1800000</v>
      </c>
      <c r="F28" s="396">
        <v>1800000</v>
      </c>
      <c r="G28" s="396">
        <v>1800000</v>
      </c>
      <c r="H28" s="396">
        <v>1800000</v>
      </c>
      <c r="I28" s="396"/>
      <c r="J28" s="396"/>
    </row>
    <row r="29" spans="1:11" ht="24.75" customHeight="1" thickBot="1">
      <c r="A29" s="901" t="s">
        <v>625</v>
      </c>
      <c r="B29" s="902"/>
      <c r="C29" s="902"/>
      <c r="D29" s="902">
        <v>32802</v>
      </c>
      <c r="E29" s="902">
        <v>49203</v>
      </c>
      <c r="F29" s="902">
        <v>49203</v>
      </c>
      <c r="G29" s="902">
        <v>49203</v>
      </c>
      <c r="H29" s="902">
        <v>49203</v>
      </c>
      <c r="I29" s="902"/>
      <c r="J29" s="902"/>
      <c r="K29" s="600"/>
    </row>
    <row r="30" spans="1:11" s="397" customFormat="1" ht="24.75" customHeight="1" thickBot="1">
      <c r="A30" s="601" t="s">
        <v>528</v>
      </c>
      <c r="B30" s="602"/>
      <c r="C30" s="602">
        <f>126102+48517+48517</f>
        <v>223136</v>
      </c>
      <c r="D30" s="602">
        <f>126102+48517+48517+194068</f>
        <v>417204</v>
      </c>
      <c r="E30" s="602">
        <f>126102+48517+48517+194068+116483</f>
        <v>533687</v>
      </c>
      <c r="F30" s="602">
        <f>126102+48517+48517+194068+116483</f>
        <v>533687</v>
      </c>
      <c r="G30" s="602">
        <f>126102+48517+48517+194068+116483</f>
        <v>533687</v>
      </c>
      <c r="H30" s="602">
        <f>126102+48517+48517+194068+116483</f>
        <v>533687</v>
      </c>
      <c r="I30" s="602"/>
      <c r="J30" s="602"/>
      <c r="K30" s="903"/>
    </row>
    <row r="31" spans="1:10" ht="24.75" customHeight="1">
      <c r="A31" s="599" t="s">
        <v>605</v>
      </c>
      <c r="B31" s="398"/>
      <c r="C31" s="398">
        <v>248920</v>
      </c>
      <c r="D31" s="398">
        <v>248920</v>
      </c>
      <c r="E31" s="398">
        <v>248920</v>
      </c>
      <c r="F31" s="398">
        <v>248920</v>
      </c>
      <c r="G31" s="398">
        <v>248920</v>
      </c>
      <c r="H31" s="398">
        <v>248920</v>
      </c>
      <c r="I31" s="398"/>
      <c r="J31" s="398"/>
    </row>
    <row r="32" spans="1:10" ht="24.75" customHeight="1">
      <c r="A32" s="599" t="s">
        <v>647</v>
      </c>
      <c r="B32" s="399"/>
      <c r="C32" s="399"/>
      <c r="D32" s="399"/>
      <c r="E32" s="399">
        <v>842859</v>
      </c>
      <c r="F32" s="399">
        <v>842859</v>
      </c>
      <c r="G32" s="399">
        <v>842859</v>
      </c>
      <c r="H32" s="399">
        <v>842859</v>
      </c>
      <c r="I32" s="399"/>
      <c r="J32" s="399"/>
    </row>
    <row r="33" spans="1:10" ht="30">
      <c r="A33" s="911" t="s">
        <v>646</v>
      </c>
      <c r="B33" s="399"/>
      <c r="C33" s="399"/>
      <c r="D33" s="399"/>
      <c r="E33" s="399">
        <v>192000</v>
      </c>
      <c r="F33" s="399">
        <v>192000</v>
      </c>
      <c r="G33" s="399">
        <v>192000</v>
      </c>
      <c r="H33" s="399">
        <v>192000</v>
      </c>
      <c r="I33" s="399">
        <v>192000</v>
      </c>
      <c r="J33" s="399"/>
    </row>
    <row r="34" spans="1:10" ht="31.5" customHeight="1" hidden="1">
      <c r="A34" s="769" t="s">
        <v>519</v>
      </c>
      <c r="B34" s="399"/>
      <c r="C34" s="399"/>
      <c r="D34" s="399"/>
      <c r="E34" s="399"/>
      <c r="F34" s="399"/>
      <c r="G34" s="399"/>
      <c r="H34" s="399"/>
      <c r="I34" s="399"/>
      <c r="J34" s="399"/>
    </row>
    <row r="35" spans="1:10" ht="30" customHeight="1" hidden="1">
      <c r="A35" s="769" t="s">
        <v>520</v>
      </c>
      <c r="B35" s="399"/>
      <c r="C35" s="399"/>
      <c r="D35" s="399"/>
      <c r="E35" s="399"/>
      <c r="F35" s="399"/>
      <c r="G35" s="399"/>
      <c r="H35" s="399"/>
      <c r="I35" s="399"/>
      <c r="J35" s="399"/>
    </row>
    <row r="36" spans="1:10" ht="24.75" customHeight="1" hidden="1">
      <c r="A36" s="382" t="s">
        <v>498</v>
      </c>
      <c r="B36" s="399"/>
      <c r="C36" s="399"/>
      <c r="D36" s="399"/>
      <c r="E36" s="399"/>
      <c r="F36" s="399"/>
      <c r="G36" s="399"/>
      <c r="H36" s="399"/>
      <c r="I36" s="399"/>
      <c r="J36" s="399"/>
    </row>
    <row r="37" spans="1:10" ht="24.75" customHeight="1">
      <c r="A37" s="382" t="s">
        <v>499</v>
      </c>
      <c r="B37" s="399"/>
      <c r="C37" s="399"/>
      <c r="D37" s="399">
        <v>1173480</v>
      </c>
      <c r="E37" s="399">
        <v>1173480</v>
      </c>
      <c r="F37" s="399">
        <v>1173480</v>
      </c>
      <c r="G37" s="399">
        <v>1173480</v>
      </c>
      <c r="H37" s="399">
        <v>1173480</v>
      </c>
      <c r="I37" s="399"/>
      <c r="J37" s="399"/>
    </row>
    <row r="38" spans="1:10" ht="24.75" customHeight="1" hidden="1">
      <c r="A38" s="382" t="s">
        <v>385</v>
      </c>
      <c r="B38" s="399"/>
      <c r="C38" s="399"/>
      <c r="D38" s="399"/>
      <c r="E38" s="399"/>
      <c r="F38" s="399"/>
      <c r="G38" s="399"/>
      <c r="H38" s="399"/>
      <c r="I38" s="399"/>
      <c r="J38" s="399"/>
    </row>
    <row r="39" spans="1:10" s="385" customFormat="1" ht="26.25" customHeight="1" thickBot="1">
      <c r="A39" s="400" t="s">
        <v>293</v>
      </c>
      <c r="B39" s="401">
        <f>B19+B22+B23+B27+B28</f>
        <v>35510260</v>
      </c>
      <c r="C39" s="401">
        <f>C19+C22+C23+C27+C28+C30+C31</f>
        <v>36033556</v>
      </c>
      <c r="D39" s="401">
        <f>D19+D22+D23+D27+D28+D30+D31+D37+D29</f>
        <v>37153906</v>
      </c>
      <c r="E39" s="401">
        <f aca="true" t="shared" si="4" ref="E39:J39">E19+E22+E23+E27+E28+E30+E31+E37+E29+E32+E33</f>
        <v>38539435</v>
      </c>
      <c r="F39" s="401">
        <f t="shared" si="4"/>
        <v>38539435</v>
      </c>
      <c r="G39" s="401">
        <f t="shared" si="4"/>
        <v>38463435</v>
      </c>
      <c r="H39" s="401">
        <f t="shared" si="4"/>
        <v>38463435</v>
      </c>
      <c r="I39" s="401">
        <f t="shared" si="4"/>
        <v>192000</v>
      </c>
      <c r="J39" s="401">
        <f t="shared" si="4"/>
        <v>-76000</v>
      </c>
    </row>
    <row r="40" spans="3:5" ht="15">
      <c r="C40" s="600"/>
      <c r="D40" s="600"/>
      <c r="E40" s="600"/>
    </row>
    <row r="41" spans="2:9" ht="15">
      <c r="B41" s="600"/>
      <c r="C41" s="600"/>
      <c r="D41" s="600"/>
      <c r="E41" s="600"/>
      <c r="H41" s="600"/>
      <c r="I41" s="600"/>
    </row>
    <row r="42" spans="5:9" ht="15">
      <c r="E42" s="600"/>
      <c r="H42" s="600"/>
      <c r="I42" s="600"/>
    </row>
    <row r="43" spans="4:9" ht="15">
      <c r="D43" s="600"/>
      <c r="H43" s="600"/>
      <c r="I43" s="600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zoomScale="55" zoomScaleNormal="55" workbookViewId="0" topLeftCell="A33">
      <selection activeCell="J14" sqref="J14"/>
    </sheetView>
  </sheetViews>
  <sheetFormatPr defaultColWidth="9.140625" defaultRowHeight="12.75"/>
  <cols>
    <col min="1" max="1" width="5.00390625" style="59" customWidth="1"/>
    <col min="2" max="2" width="3.8515625" style="60" customWidth="1"/>
    <col min="3" max="3" width="5.28125" style="60" customWidth="1"/>
    <col min="4" max="4" width="50.57421875" style="61" customWidth="1"/>
    <col min="5" max="5" width="7.140625" style="61" customWidth="1"/>
    <col min="6" max="6" width="29.421875" style="62" customWidth="1"/>
    <col min="7" max="8" width="21.8515625" style="62" hidden="1" customWidth="1"/>
    <col min="9" max="11" width="21.8515625" style="62" customWidth="1"/>
    <col min="12" max="12" width="29.57421875" style="63" customWidth="1"/>
    <col min="13" max="14" width="20.421875" style="63" hidden="1" customWidth="1"/>
    <col min="15" max="17" width="20.421875" style="63" customWidth="1"/>
    <col min="18" max="18" width="27.7109375" style="63" customWidth="1"/>
    <col min="19" max="20" width="18.8515625" style="63" hidden="1" customWidth="1"/>
    <col min="21" max="23" width="18.8515625" style="63" customWidth="1"/>
    <col min="24" max="29" width="18.8515625" style="63" hidden="1" customWidth="1"/>
    <col min="30" max="30" width="23.8515625" style="63" customWidth="1"/>
    <col min="31" max="31" width="10.7109375" style="62" hidden="1" customWidth="1"/>
    <col min="32" max="36" width="9.140625" style="62" hidden="1" customWidth="1"/>
    <col min="37" max="16384" width="9.140625" style="62" customWidth="1"/>
  </cols>
  <sheetData>
    <row r="1" spans="1:30" ht="44.25" customHeight="1" hidden="1">
      <c r="A1" s="1322"/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1322"/>
      <c r="P1" s="1322"/>
      <c r="Q1" s="1322"/>
      <c r="R1" s="1322"/>
      <c r="S1" s="1322"/>
      <c r="T1" s="1322"/>
      <c r="U1" s="1322"/>
      <c r="V1" s="1322"/>
      <c r="W1" s="1322"/>
      <c r="X1" s="1322"/>
      <c r="Y1" s="1322"/>
      <c r="Z1" s="1322"/>
      <c r="AA1" s="1322"/>
      <c r="AB1" s="1322"/>
      <c r="AC1" s="1322"/>
      <c r="AD1" s="1322"/>
    </row>
    <row r="2" spans="1:30" ht="21.75" customHeight="1" hidden="1">
      <c r="A2" s="1323"/>
      <c r="B2" s="1323"/>
      <c r="C2" s="65"/>
      <c r="D2" s="66"/>
      <c r="E2" s="66"/>
      <c r="AD2" s="67" t="s">
        <v>0</v>
      </c>
    </row>
    <row r="3" spans="1:30" ht="41.25" customHeight="1">
      <c r="A3" s="1324" t="s">
        <v>511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  <c r="AB3" s="1324"/>
      <c r="AC3" s="1324"/>
      <c r="AD3" s="1324"/>
    </row>
    <row r="4" spans="1:30" ht="36.75" customHeight="1">
      <c r="A4" s="64"/>
      <c r="B4" s="64"/>
      <c r="C4" s="65"/>
      <c r="D4" s="66"/>
      <c r="E4" s="7"/>
      <c r="AD4" s="67"/>
    </row>
    <row r="5" spans="1:30" ht="18.75" customHeight="1" thickBot="1">
      <c r="A5" s="64"/>
      <c r="B5" s="64"/>
      <c r="C5" s="65"/>
      <c r="D5" s="66"/>
      <c r="E5" s="66"/>
      <c r="R5" s="1268" t="s">
        <v>478</v>
      </c>
      <c r="S5" s="1268"/>
      <c r="T5" s="1268"/>
      <c r="U5" s="1268"/>
      <c r="V5" s="1268"/>
      <c r="W5" s="1268"/>
      <c r="X5" s="1268"/>
      <c r="Y5" s="1268"/>
      <c r="Z5" s="1268"/>
      <c r="AA5" s="1268"/>
      <c r="AB5" s="1268"/>
      <c r="AC5" s="1268"/>
      <c r="AD5" s="1268"/>
    </row>
    <row r="6" spans="1:36" s="7" customFormat="1" ht="56.25" customHeight="1" thickBot="1">
      <c r="A6" s="1325" t="s">
        <v>133</v>
      </c>
      <c r="B6" s="1325"/>
      <c r="C6" s="1325"/>
      <c r="D6" s="1325"/>
      <c r="E6" s="51" t="s">
        <v>3</v>
      </c>
      <c r="F6" s="1284" t="s">
        <v>4</v>
      </c>
      <c r="G6" s="1285"/>
      <c r="H6" s="1285"/>
      <c r="I6" s="1285"/>
      <c r="J6" s="1285"/>
      <c r="K6" s="1286"/>
      <c r="L6" s="1284" t="s">
        <v>243</v>
      </c>
      <c r="M6" s="1285"/>
      <c r="N6" s="1285"/>
      <c r="O6" s="1285"/>
      <c r="P6" s="1285"/>
      <c r="Q6" s="1286"/>
      <c r="R6" s="1284" t="s">
        <v>296</v>
      </c>
      <c r="S6" s="1285"/>
      <c r="T6" s="1285"/>
      <c r="U6" s="1285"/>
      <c r="V6" s="1285"/>
      <c r="W6" s="1286"/>
      <c r="X6" s="595"/>
      <c r="Y6" s="595"/>
      <c r="Z6" s="595"/>
      <c r="AA6" s="595"/>
      <c r="AB6" s="595"/>
      <c r="AC6" s="595"/>
      <c r="AD6" s="1326" t="s">
        <v>134</v>
      </c>
      <c r="AE6" s="1327"/>
      <c r="AF6" s="1327"/>
      <c r="AG6" s="1327"/>
      <c r="AH6" s="1327"/>
      <c r="AI6" s="1327"/>
      <c r="AJ6" s="1327"/>
    </row>
    <row r="7" spans="1:36" s="7" customFormat="1" ht="32.25" thickBot="1">
      <c r="A7" s="68"/>
      <c r="B7" s="69"/>
      <c r="C7" s="69"/>
      <c r="D7" s="69"/>
      <c r="E7" s="51"/>
      <c r="F7" s="422"/>
      <c r="G7" s="751"/>
      <c r="H7" s="751"/>
      <c r="I7" s="751"/>
      <c r="J7" s="751"/>
      <c r="K7" s="751"/>
      <c r="L7" s="70"/>
      <c r="M7" s="71"/>
      <c r="N7" s="751"/>
      <c r="O7" s="751"/>
      <c r="P7" s="751"/>
      <c r="Q7" s="751"/>
      <c r="R7" s="70"/>
      <c r="S7" s="75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2" t="s">
        <v>6</v>
      </c>
      <c r="AE7" s="70" t="s">
        <v>135</v>
      </c>
      <c r="AF7" s="70" t="s">
        <v>136</v>
      </c>
      <c r="AG7" s="70" t="s">
        <v>137</v>
      </c>
      <c r="AH7" s="70" t="s">
        <v>138</v>
      </c>
      <c r="AI7" s="71" t="s">
        <v>139</v>
      </c>
      <c r="AJ7" s="71" t="s">
        <v>139</v>
      </c>
    </row>
    <row r="8" spans="1:36" s="7" customFormat="1" ht="39" customHeight="1" thickBot="1">
      <c r="A8" s="68"/>
      <c r="B8" s="69"/>
      <c r="C8" s="69"/>
      <c r="D8" s="69"/>
      <c r="E8" s="51"/>
      <c r="F8" s="752" t="s">
        <v>6</v>
      </c>
      <c r="G8" s="729" t="s">
        <v>135</v>
      </c>
      <c r="H8" s="763" t="s">
        <v>136</v>
      </c>
      <c r="I8" s="763" t="s">
        <v>137</v>
      </c>
      <c r="J8" s="763" t="s">
        <v>286</v>
      </c>
      <c r="K8" s="763" t="s">
        <v>291</v>
      </c>
      <c r="L8" s="752" t="s">
        <v>6</v>
      </c>
      <c r="M8" s="729" t="s">
        <v>135</v>
      </c>
      <c r="N8" s="763" t="s">
        <v>136</v>
      </c>
      <c r="O8" s="763" t="s">
        <v>137</v>
      </c>
      <c r="P8" s="763" t="s">
        <v>286</v>
      </c>
      <c r="Q8" s="763" t="s">
        <v>291</v>
      </c>
      <c r="R8" s="752" t="s">
        <v>6</v>
      </c>
      <c r="S8" s="729" t="s">
        <v>135</v>
      </c>
      <c r="T8" s="763" t="s">
        <v>136</v>
      </c>
      <c r="U8" s="763" t="s">
        <v>137</v>
      </c>
      <c r="V8" s="763" t="s">
        <v>286</v>
      </c>
      <c r="W8" s="763" t="s">
        <v>291</v>
      </c>
      <c r="X8" s="1150"/>
      <c r="Y8" s="1150"/>
      <c r="Z8" s="1150"/>
      <c r="AA8" s="1150"/>
      <c r="AB8" s="1150"/>
      <c r="AC8" s="1150"/>
      <c r="AD8" s="1152" t="s">
        <v>903</v>
      </c>
      <c r="AE8" s="422"/>
      <c r="AF8" s="422"/>
      <c r="AG8" s="422"/>
      <c r="AH8" s="422"/>
      <c r="AI8" s="421"/>
      <c r="AJ8" s="421"/>
    </row>
    <row r="9" spans="1:36" s="73" customFormat="1" ht="33" customHeight="1" thickBot="1">
      <c r="A9" s="40" t="s">
        <v>10</v>
      </c>
      <c r="B9" s="1317" t="s">
        <v>140</v>
      </c>
      <c r="C9" s="1317"/>
      <c r="D9" s="1317"/>
      <c r="E9" s="72"/>
      <c r="F9" s="753">
        <f>F10+F11+F12+F13+F14</f>
        <v>99994722</v>
      </c>
      <c r="G9" s="534">
        <f>G10+G11+G12+G13+G14</f>
        <v>100202062</v>
      </c>
      <c r="H9" s="534">
        <f>H10+H11+H12+H13+H14</f>
        <v>102257613</v>
      </c>
      <c r="I9" s="534">
        <f>I10+I11+I12+I13+I14</f>
        <v>100212237</v>
      </c>
      <c r="J9" s="534">
        <f>J10+J11+J12+J13+J14</f>
        <v>77221541</v>
      </c>
      <c r="K9" s="1145">
        <f>+J9/I9</f>
        <v>0.7705799542225567</v>
      </c>
      <c r="L9" s="753">
        <f aca="true" t="shared" si="0" ref="L9:L39">F9-R9</f>
        <v>95058860</v>
      </c>
      <c r="M9" s="534">
        <f aca="true" t="shared" si="1" ref="M9:M39">G9-S9</f>
        <v>93625800</v>
      </c>
      <c r="N9" s="534">
        <f aca="true" t="shared" si="2" ref="N9:N39">H9-T9</f>
        <v>95681351</v>
      </c>
      <c r="O9" s="534">
        <f aca="true" t="shared" si="3" ref="O9:P39">I9-U9</f>
        <v>79388616</v>
      </c>
      <c r="P9" s="534">
        <f t="shared" si="3"/>
        <v>72238422</v>
      </c>
      <c r="Q9" s="1145">
        <f>+P9/O9</f>
        <v>0.9099342656382875</v>
      </c>
      <c r="R9" s="753">
        <f>R10+R11+R12+R13+R14</f>
        <v>4935862</v>
      </c>
      <c r="S9" s="534">
        <f>S10+S11+S12+S13+S14</f>
        <v>6576262</v>
      </c>
      <c r="T9" s="534">
        <f>T10+T11+T12+T13+T14</f>
        <v>6576262</v>
      </c>
      <c r="U9" s="534">
        <f>U10+U11+U12+U13+U14</f>
        <v>20823621</v>
      </c>
      <c r="V9" s="534">
        <f>V10+V11+V12+V13+V14</f>
        <v>4983119</v>
      </c>
      <c r="W9" s="1145">
        <f>+V9/U9</f>
        <v>0.23930127233875415</v>
      </c>
      <c r="X9" s="936"/>
      <c r="Y9" s="936"/>
      <c r="Z9" s="936"/>
      <c r="AA9" s="936"/>
      <c r="AB9" s="936"/>
      <c r="AC9" s="936"/>
      <c r="AD9" s="604"/>
      <c r="AE9" s="50" t="e">
        <f aca="true" t="shared" si="4" ref="AE9:AJ9">AE10+AE11+AE12+AE13+AE14</f>
        <v>#REF!</v>
      </c>
      <c r="AF9" s="50" t="e">
        <f t="shared" si="4"/>
        <v>#REF!</v>
      </c>
      <c r="AG9" s="50" t="e">
        <f t="shared" si="4"/>
        <v>#REF!</v>
      </c>
      <c r="AH9" s="50" t="e">
        <f t="shared" si="4"/>
        <v>#REF!</v>
      </c>
      <c r="AI9" s="50" t="e">
        <f t="shared" si="4"/>
        <v>#REF!</v>
      </c>
      <c r="AJ9" s="50" t="e">
        <f t="shared" si="4"/>
        <v>#REF!</v>
      </c>
    </row>
    <row r="10" spans="1:36" s="79" customFormat="1" ht="33" customHeight="1">
      <c r="A10" s="74"/>
      <c r="B10" s="75" t="s">
        <v>13</v>
      </c>
      <c r="C10" s="75"/>
      <c r="D10" s="76" t="s">
        <v>141</v>
      </c>
      <c r="E10" s="77" t="s">
        <v>142</v>
      </c>
      <c r="F10" s="754">
        <f>'4.sz.m.ÖNK kiadás'!F7+'5. sz. m óvoda'!J34</f>
        <v>44933519</v>
      </c>
      <c r="G10" s="535">
        <f>'4.sz.m.ÖNK kiadás'!G7+'5. sz. m óvoda'!K34</f>
        <v>43613519</v>
      </c>
      <c r="H10" s="535">
        <f>'4.sz.m.ÖNK kiadás'!H7+'5. sz. m óvoda'!L34</f>
        <v>43818262</v>
      </c>
      <c r="I10" s="535">
        <f>'4.sz.m.ÖNK kiadás'!I7+'5. sz. m óvoda'!M34</f>
        <v>41704637</v>
      </c>
      <c r="J10" s="535">
        <f>'4.sz.m.ÖNK kiadás'!J7+'5. sz. m óvoda'!N34</f>
        <v>36184035</v>
      </c>
      <c r="K10" s="1146">
        <f aca="true" t="shared" si="5" ref="K10:K39">+J10/I10</f>
        <v>0.8676261826712459</v>
      </c>
      <c r="L10" s="758">
        <f t="shared" si="0"/>
        <v>44305019</v>
      </c>
      <c r="M10" s="539">
        <f t="shared" si="1"/>
        <v>42985019</v>
      </c>
      <c r="N10" s="539">
        <f t="shared" si="2"/>
        <v>43189762</v>
      </c>
      <c r="O10" s="539">
        <f t="shared" si="3"/>
        <v>37667354</v>
      </c>
      <c r="P10" s="539">
        <f t="shared" si="3"/>
        <v>34621754</v>
      </c>
      <c r="Q10" s="1146">
        <f aca="true" t="shared" si="6" ref="Q10:Q39">+P10/O10</f>
        <v>0.9191448382596771</v>
      </c>
      <c r="R10" s="754">
        <f>'4.sz.m.ÖNK kiadás'!R7</f>
        <v>628500</v>
      </c>
      <c r="S10" s="535">
        <f>'4.sz.m.ÖNK kiadás'!S7</f>
        <v>628500</v>
      </c>
      <c r="T10" s="535">
        <f>'4.sz.m.ÖNK kiadás'!T7</f>
        <v>628500</v>
      </c>
      <c r="U10" s="535">
        <f>'4.sz.m.ÖNK kiadás'!U7</f>
        <v>4037283</v>
      </c>
      <c r="V10" s="535">
        <f>'4.sz.m.ÖNK kiadás'!V7</f>
        <v>1562281</v>
      </c>
      <c r="W10" s="1146">
        <f>+V10/U10</f>
        <v>0.3869634603271557</v>
      </c>
      <c r="X10" s="933"/>
      <c r="Y10" s="933"/>
      <c r="Z10" s="933"/>
      <c r="AA10" s="933"/>
      <c r="AB10" s="933"/>
      <c r="AC10" s="933"/>
      <c r="AD10" s="605"/>
      <c r="AE10" s="78" t="e">
        <f>#REF!</f>
        <v>#REF!</v>
      </c>
      <c r="AF10" s="78" t="e">
        <f>#REF!</f>
        <v>#REF!</v>
      </c>
      <c r="AG10" s="78" t="e">
        <f>#REF!</f>
        <v>#REF!</v>
      </c>
      <c r="AH10" s="78" t="e">
        <f>#REF!</f>
        <v>#REF!</v>
      </c>
      <c r="AI10" s="78" t="e">
        <f>#REF!</f>
        <v>#REF!</v>
      </c>
      <c r="AJ10" s="78" t="e">
        <f>#REF!</f>
        <v>#REF!</v>
      </c>
    </row>
    <row r="11" spans="1:36" s="79" customFormat="1" ht="33" customHeight="1">
      <c r="A11" s="80"/>
      <c r="B11" s="81" t="s">
        <v>23</v>
      </c>
      <c r="C11" s="81"/>
      <c r="D11" s="82" t="s">
        <v>143</v>
      </c>
      <c r="E11" s="77" t="s">
        <v>144</v>
      </c>
      <c r="F11" s="754">
        <f>'4.sz.m.ÖNK kiadás'!F8+'5. sz. m óvoda'!J35</f>
        <v>8616810</v>
      </c>
      <c r="G11" s="535">
        <f>'4.sz.m.ÖNK kiadás'!G8+'5. sz. m óvoda'!K35</f>
        <v>8326410</v>
      </c>
      <c r="H11" s="535">
        <f>'4.sz.m.ÖNK kiadás'!H8+'5. sz. m óvoda'!L35</f>
        <v>8331762</v>
      </c>
      <c r="I11" s="535">
        <f>'4.sz.m.ÖNK kiadás'!I8+'5. sz. m óvoda'!M35</f>
        <v>7870953</v>
      </c>
      <c r="J11" s="535">
        <f>'4.sz.m.ÖNK kiadás'!J8+'5. sz. m óvoda'!N35</f>
        <v>7124607</v>
      </c>
      <c r="K11" s="1146">
        <f t="shared" si="5"/>
        <v>0.9051771748605283</v>
      </c>
      <c r="L11" s="759">
        <f t="shared" si="0"/>
        <v>8485553</v>
      </c>
      <c r="M11" s="540">
        <f t="shared" si="1"/>
        <v>8195153</v>
      </c>
      <c r="N11" s="540">
        <f t="shared" si="2"/>
        <v>8200505</v>
      </c>
      <c r="O11" s="540">
        <f t="shared" si="3"/>
        <v>6994839</v>
      </c>
      <c r="P11" s="540">
        <f t="shared" si="3"/>
        <v>6812295</v>
      </c>
      <c r="Q11" s="1146">
        <f t="shared" si="6"/>
        <v>0.9739030448020319</v>
      </c>
      <c r="R11" s="754">
        <f>'4.sz.m.ÖNK kiadás'!R8</f>
        <v>131257</v>
      </c>
      <c r="S11" s="535">
        <f>'4.sz.m.ÖNK kiadás'!S8</f>
        <v>131257</v>
      </c>
      <c r="T11" s="535">
        <f>'4.sz.m.ÖNK kiadás'!T8</f>
        <v>131257</v>
      </c>
      <c r="U11" s="535">
        <f>'4.sz.m.ÖNK kiadás'!U8</f>
        <v>876114</v>
      </c>
      <c r="V11" s="535">
        <f>'4.sz.m.ÖNK kiadás'!V8</f>
        <v>312312</v>
      </c>
      <c r="W11" s="1146">
        <f>+V11/U11</f>
        <v>0.35647415747265765</v>
      </c>
      <c r="X11" s="933"/>
      <c r="Y11" s="933"/>
      <c r="Z11" s="933"/>
      <c r="AA11" s="933"/>
      <c r="AB11" s="933"/>
      <c r="AC11" s="933"/>
      <c r="AD11" s="605"/>
      <c r="AE11" s="78" t="e">
        <f>#REF!</f>
        <v>#REF!</v>
      </c>
      <c r="AF11" s="78" t="e">
        <f>#REF!</f>
        <v>#REF!</v>
      </c>
      <c r="AG11" s="78" t="e">
        <f>#REF!</f>
        <v>#REF!</v>
      </c>
      <c r="AH11" s="78" t="e">
        <f>#REF!</f>
        <v>#REF!</v>
      </c>
      <c r="AI11" s="78" t="e">
        <f>#REF!</f>
        <v>#REF!</v>
      </c>
      <c r="AJ11" s="78" t="e">
        <f>#REF!</f>
        <v>#REF!</v>
      </c>
    </row>
    <row r="12" spans="1:36" s="79" customFormat="1" ht="33" customHeight="1">
      <c r="A12" s="80"/>
      <c r="B12" s="81" t="s">
        <v>145</v>
      </c>
      <c r="C12" s="81"/>
      <c r="D12" s="82" t="s">
        <v>146</v>
      </c>
      <c r="E12" s="77" t="s">
        <v>147</v>
      </c>
      <c r="F12" s="754">
        <f>'4.sz.m.ÖNK kiadás'!F9+'5. sz. m óvoda'!J36</f>
        <v>39765688</v>
      </c>
      <c r="G12" s="535">
        <f>'4.sz.m.ÖNK kiadás'!G9+'5. sz. m óvoda'!K36</f>
        <v>39943028</v>
      </c>
      <c r="H12" s="535">
        <f>'4.sz.m.ÖNK kiadás'!H9+'5. sz. m óvoda'!L36</f>
        <v>41758484</v>
      </c>
      <c r="I12" s="535">
        <f>'4.sz.m.ÖNK kiadás'!I9+'5. sz. m óvoda'!M36</f>
        <v>43859036</v>
      </c>
      <c r="J12" s="535">
        <f>'4.sz.m.ÖNK kiadás'!J9+'5. sz. m óvoda'!N36</f>
        <v>27135288</v>
      </c>
      <c r="K12" s="1146">
        <f t="shared" si="5"/>
        <v>0.6186932152361945</v>
      </c>
      <c r="L12" s="759">
        <f t="shared" si="0"/>
        <v>38673688</v>
      </c>
      <c r="M12" s="540">
        <f t="shared" si="1"/>
        <v>38851028</v>
      </c>
      <c r="N12" s="540">
        <f t="shared" si="2"/>
        <v>40666484</v>
      </c>
      <c r="O12" s="540">
        <f t="shared" si="3"/>
        <v>30377087</v>
      </c>
      <c r="P12" s="540">
        <f t="shared" si="3"/>
        <v>26455037</v>
      </c>
      <c r="Q12" s="1146">
        <f t="shared" si="6"/>
        <v>0.8708878833576109</v>
      </c>
      <c r="R12" s="754">
        <f>'4.sz.m.ÖNK kiadás'!R9</f>
        <v>1092000</v>
      </c>
      <c r="S12" s="535">
        <f>'4.sz.m.ÖNK kiadás'!S9</f>
        <v>1092000</v>
      </c>
      <c r="T12" s="535">
        <f>'4.sz.m.ÖNK kiadás'!T9</f>
        <v>1092000</v>
      </c>
      <c r="U12" s="535">
        <f>'4.sz.m.ÖNK kiadás'!U9</f>
        <v>13481949</v>
      </c>
      <c r="V12" s="535">
        <f>'4.sz.m.ÖNK kiadás'!V9</f>
        <v>680251</v>
      </c>
      <c r="W12" s="1146">
        <f>+V12/U12</f>
        <v>0.0504564288145579</v>
      </c>
      <c r="X12" s="933"/>
      <c r="Y12" s="933"/>
      <c r="Z12" s="933"/>
      <c r="AA12" s="933"/>
      <c r="AB12" s="933"/>
      <c r="AC12" s="933"/>
      <c r="AD12" s="605"/>
      <c r="AE12" s="78" t="e">
        <f>#REF!</f>
        <v>#REF!</v>
      </c>
      <c r="AF12" s="78" t="e">
        <f>#REF!</f>
        <v>#REF!</v>
      </c>
      <c r="AG12" s="78" t="e">
        <f>#REF!</f>
        <v>#REF!</v>
      </c>
      <c r="AH12" s="78" t="e">
        <f>#REF!</f>
        <v>#REF!</v>
      </c>
      <c r="AI12" s="78" t="e">
        <f>#REF!</f>
        <v>#REF!</v>
      </c>
      <c r="AJ12" s="78" t="e">
        <f>#REF!</f>
        <v>#REF!</v>
      </c>
    </row>
    <row r="13" spans="1:36" s="79" customFormat="1" ht="33" customHeight="1">
      <c r="A13" s="80"/>
      <c r="B13" s="81" t="s">
        <v>33</v>
      </c>
      <c r="C13" s="81"/>
      <c r="D13" s="82" t="s">
        <v>148</v>
      </c>
      <c r="E13" s="77" t="s">
        <v>149</v>
      </c>
      <c r="F13" s="754">
        <f>'4.sz.m.ÖNK kiadás'!F10</f>
        <v>2579000</v>
      </c>
      <c r="G13" s="535">
        <f>'4.sz.m.ÖNK kiadás'!G10</f>
        <v>2579000</v>
      </c>
      <c r="H13" s="535">
        <f>'4.sz.m.ÖNK kiadás'!H10</f>
        <v>2609000</v>
      </c>
      <c r="I13" s="535">
        <f>'4.sz.m.ÖNK kiadás'!I10</f>
        <v>3577000</v>
      </c>
      <c r="J13" s="535">
        <f>'4.sz.m.ÖNK kiadás'!J10</f>
        <v>3577000</v>
      </c>
      <c r="K13" s="1146">
        <f t="shared" si="5"/>
        <v>1</v>
      </c>
      <c r="L13" s="759">
        <f t="shared" si="0"/>
        <v>1769000</v>
      </c>
      <c r="M13" s="540">
        <f t="shared" si="1"/>
        <v>1769000</v>
      </c>
      <c r="N13" s="540">
        <f t="shared" si="2"/>
        <v>1799000</v>
      </c>
      <c r="O13" s="540">
        <f t="shared" si="3"/>
        <v>3577000</v>
      </c>
      <c r="P13" s="540">
        <f t="shared" si="3"/>
        <v>3577000</v>
      </c>
      <c r="Q13" s="1146">
        <f t="shared" si="6"/>
        <v>1</v>
      </c>
      <c r="R13" s="754">
        <f>'4.sz.m.ÖNK kiadás'!R10</f>
        <v>810000</v>
      </c>
      <c r="S13" s="535">
        <f>'4.sz.m.ÖNK kiadás'!S10</f>
        <v>810000</v>
      </c>
      <c r="T13" s="535">
        <f>'4.sz.m.ÖNK kiadás'!T10</f>
        <v>810000</v>
      </c>
      <c r="U13" s="535">
        <f>'4.sz.m.ÖNK kiadás'!U10</f>
        <v>0</v>
      </c>
      <c r="V13" s="535">
        <f>'4.sz.m.ÖNK kiadás'!V10</f>
        <v>0</v>
      </c>
      <c r="W13" s="1146"/>
      <c r="X13" s="933"/>
      <c r="Y13" s="933"/>
      <c r="Z13" s="933"/>
      <c r="AA13" s="933"/>
      <c r="AB13" s="933"/>
      <c r="AC13" s="933"/>
      <c r="AD13" s="605"/>
      <c r="AE13" s="78"/>
      <c r="AF13" s="78"/>
      <c r="AG13" s="78"/>
      <c r="AH13" s="78"/>
      <c r="AI13" s="78"/>
      <c r="AJ13" s="78"/>
    </row>
    <row r="14" spans="1:36" s="79" customFormat="1" ht="33" customHeight="1">
      <c r="A14" s="80"/>
      <c r="B14" s="81" t="s">
        <v>40</v>
      </c>
      <c r="C14" s="81"/>
      <c r="D14" s="83" t="s">
        <v>150</v>
      </c>
      <c r="E14" s="84" t="s">
        <v>151</v>
      </c>
      <c r="F14" s="754">
        <f>F15+F16+F17+F18</f>
        <v>4099705</v>
      </c>
      <c r="G14" s="535">
        <f>G15+G16+G17+G18</f>
        <v>5740105</v>
      </c>
      <c r="H14" s="535">
        <f>H15+H16+H17+H18</f>
        <v>5740105</v>
      </c>
      <c r="I14" s="535">
        <f>I15+I16+I17+I18</f>
        <v>3200611</v>
      </c>
      <c r="J14" s="535">
        <f>J15+J16+J17+J18</f>
        <v>3200611</v>
      </c>
      <c r="K14" s="1146">
        <f t="shared" si="5"/>
        <v>1</v>
      </c>
      <c r="L14" s="759">
        <f t="shared" si="0"/>
        <v>1825600</v>
      </c>
      <c r="M14" s="540">
        <f t="shared" si="1"/>
        <v>1825600</v>
      </c>
      <c r="N14" s="540">
        <f t="shared" si="2"/>
        <v>1825600</v>
      </c>
      <c r="O14" s="540">
        <f t="shared" si="3"/>
        <v>772336</v>
      </c>
      <c r="P14" s="540">
        <f t="shared" si="3"/>
        <v>772336</v>
      </c>
      <c r="Q14" s="1146">
        <f t="shared" si="6"/>
        <v>1</v>
      </c>
      <c r="R14" s="754">
        <f>'4.sz.m.ÖNK kiadás'!R11</f>
        <v>2274105</v>
      </c>
      <c r="S14" s="535">
        <f>'4.sz.m.ÖNK kiadás'!S11</f>
        <v>3914505</v>
      </c>
      <c r="T14" s="535">
        <f>'4.sz.m.ÖNK kiadás'!T11</f>
        <v>3914505</v>
      </c>
      <c r="U14" s="535">
        <f>'4.sz.m.ÖNK kiadás'!U11</f>
        <v>2428275</v>
      </c>
      <c r="V14" s="535">
        <f>'4.sz.m.ÖNK kiadás'!V11</f>
        <v>2428275</v>
      </c>
      <c r="W14" s="1146">
        <f>+V14/U14</f>
        <v>1</v>
      </c>
      <c r="X14" s="933"/>
      <c r="Y14" s="933"/>
      <c r="Z14" s="933"/>
      <c r="AA14" s="933"/>
      <c r="AB14" s="933"/>
      <c r="AC14" s="933"/>
      <c r="AD14" s="605"/>
      <c r="AE14" s="78"/>
      <c r="AF14" s="78"/>
      <c r="AG14" s="78"/>
      <c r="AH14" s="78"/>
      <c r="AI14" s="78"/>
      <c r="AJ14" s="78"/>
    </row>
    <row r="15" spans="1:36" s="79" customFormat="1" ht="33" customHeight="1">
      <c r="A15" s="80"/>
      <c r="B15" s="85"/>
      <c r="C15" s="81" t="s">
        <v>152</v>
      </c>
      <c r="D15" s="82" t="s">
        <v>153</v>
      </c>
      <c r="E15" s="77"/>
      <c r="F15" s="754">
        <f>'4.sz.m.ÖNK kiadás'!F12</f>
        <v>0</v>
      </c>
      <c r="G15" s="535">
        <f>'4.sz.m.ÖNK kiadás'!G12</f>
        <v>0</v>
      </c>
      <c r="H15" s="535">
        <f>'4.sz.m.ÖNK kiadás'!H12</f>
        <v>0</v>
      </c>
      <c r="I15" s="535">
        <f>'4.sz.m.ÖNK kiadás'!I12</f>
        <v>0</v>
      </c>
      <c r="J15" s="535">
        <f>'4.sz.m.ÖNK kiadás'!J12</f>
        <v>0</v>
      </c>
      <c r="K15" s="1146"/>
      <c r="L15" s="759">
        <f t="shared" si="0"/>
        <v>0</v>
      </c>
      <c r="M15" s="540">
        <f t="shared" si="1"/>
        <v>0</v>
      </c>
      <c r="N15" s="540">
        <f t="shared" si="2"/>
        <v>0</v>
      </c>
      <c r="O15" s="540">
        <f t="shared" si="3"/>
        <v>0</v>
      </c>
      <c r="P15" s="540">
        <f t="shared" si="3"/>
        <v>0</v>
      </c>
      <c r="Q15" s="1146"/>
      <c r="R15" s="754">
        <f>'4.sz.m.ÖNK kiadás'!R12</f>
        <v>0</v>
      </c>
      <c r="S15" s="535">
        <f>'4.sz.m.ÖNK kiadás'!S12</f>
        <v>0</v>
      </c>
      <c r="T15" s="535">
        <f>'4.sz.m.ÖNK kiadás'!T12</f>
        <v>0</v>
      </c>
      <c r="U15" s="535">
        <f>'4.sz.m.ÖNK kiadás'!U12</f>
        <v>0</v>
      </c>
      <c r="V15" s="535">
        <f>'4.sz.m.ÖNK kiadás'!V12</f>
        <v>0</v>
      </c>
      <c r="W15" s="1146"/>
      <c r="X15" s="933"/>
      <c r="Y15" s="933"/>
      <c r="Z15" s="933"/>
      <c r="AA15" s="933"/>
      <c r="AB15" s="933"/>
      <c r="AC15" s="933"/>
      <c r="AD15" s="605"/>
      <c r="AE15" s="78"/>
      <c r="AF15" s="78"/>
      <c r="AG15" s="78"/>
      <c r="AH15" s="78"/>
      <c r="AI15" s="78"/>
      <c r="AJ15" s="78"/>
    </row>
    <row r="16" spans="1:36" s="79" customFormat="1" ht="57.75" customHeight="1">
      <c r="A16" s="80"/>
      <c r="B16" s="81"/>
      <c r="C16" s="81" t="s">
        <v>154</v>
      </c>
      <c r="D16" s="82" t="s">
        <v>155</v>
      </c>
      <c r="E16" s="77"/>
      <c r="F16" s="754">
        <f>'4.sz.m.ÖNK kiadás'!F13</f>
        <v>1973000</v>
      </c>
      <c r="G16" s="535">
        <f>'4.sz.m.ÖNK kiadás'!G13</f>
        <v>2003000</v>
      </c>
      <c r="H16" s="535">
        <f>'4.sz.m.ÖNK kiadás'!H13</f>
        <v>2003000</v>
      </c>
      <c r="I16" s="535">
        <f>'4.sz.m.ÖNK kiadás'!I13</f>
        <v>1640558</v>
      </c>
      <c r="J16" s="535">
        <f>'4.sz.m.ÖNK kiadás'!J13</f>
        <v>1640558</v>
      </c>
      <c r="K16" s="1146">
        <f t="shared" si="5"/>
        <v>1</v>
      </c>
      <c r="L16" s="759">
        <f t="shared" si="0"/>
        <v>0</v>
      </c>
      <c r="M16" s="540">
        <f t="shared" si="1"/>
        <v>0</v>
      </c>
      <c r="N16" s="540">
        <f t="shared" si="2"/>
        <v>0</v>
      </c>
      <c r="O16" s="540">
        <f t="shared" si="3"/>
        <v>0</v>
      </c>
      <c r="P16" s="540">
        <f t="shared" si="3"/>
        <v>0</v>
      </c>
      <c r="Q16" s="1146"/>
      <c r="R16" s="754">
        <f>'4.sz.m.ÖNK kiadás'!R13</f>
        <v>1973000</v>
      </c>
      <c r="S16" s="535">
        <f>'4.sz.m.ÖNK kiadás'!S13</f>
        <v>2003000</v>
      </c>
      <c r="T16" s="535">
        <f>'4.sz.m.ÖNK kiadás'!T13</f>
        <v>2003000</v>
      </c>
      <c r="U16" s="535">
        <f>'4.sz.m.ÖNK kiadás'!U13</f>
        <v>1640558</v>
      </c>
      <c r="V16" s="535">
        <f>'4.sz.m.ÖNK kiadás'!V13</f>
        <v>1640558</v>
      </c>
      <c r="W16" s="1146"/>
      <c r="X16" s="933"/>
      <c r="Y16" s="933"/>
      <c r="Z16" s="933"/>
      <c r="AA16" s="933"/>
      <c r="AB16" s="933"/>
      <c r="AC16" s="933"/>
      <c r="AD16" s="605"/>
      <c r="AE16" s="78"/>
      <c r="AF16" s="78"/>
      <c r="AG16" s="78"/>
      <c r="AH16" s="78"/>
      <c r="AI16" s="78"/>
      <c r="AJ16" s="78"/>
    </row>
    <row r="17" spans="1:36" s="79" customFormat="1" ht="54.75" customHeight="1">
      <c r="A17" s="86"/>
      <c r="B17" s="87"/>
      <c r="C17" s="81" t="s">
        <v>156</v>
      </c>
      <c r="D17" s="82" t="s">
        <v>157</v>
      </c>
      <c r="E17" s="77"/>
      <c r="F17" s="754">
        <f>'4.sz.m.ÖNK kiadás'!F14</f>
        <v>2126705</v>
      </c>
      <c r="G17" s="535">
        <f>'4.sz.m.ÖNK kiadás'!G14</f>
        <v>3737105</v>
      </c>
      <c r="H17" s="535">
        <f>'4.sz.m.ÖNK kiadás'!H14</f>
        <v>3737105</v>
      </c>
      <c r="I17" s="535">
        <f>'4.sz.m.ÖNK kiadás'!I14</f>
        <v>1560053</v>
      </c>
      <c r="J17" s="535">
        <f>'4.sz.m.ÖNK kiadás'!J14</f>
        <v>1560053</v>
      </c>
      <c r="K17" s="1146">
        <f t="shared" si="5"/>
        <v>1</v>
      </c>
      <c r="L17" s="749">
        <f t="shared" si="0"/>
        <v>1825600</v>
      </c>
      <c r="M17" s="540">
        <f t="shared" si="1"/>
        <v>1825600</v>
      </c>
      <c r="N17" s="540">
        <f t="shared" si="2"/>
        <v>1825600</v>
      </c>
      <c r="O17" s="540">
        <f t="shared" si="3"/>
        <v>772336</v>
      </c>
      <c r="P17" s="540">
        <f t="shared" si="3"/>
        <v>772336</v>
      </c>
      <c r="Q17" s="1146">
        <f t="shared" si="6"/>
        <v>1</v>
      </c>
      <c r="R17" s="754">
        <f>'4.sz.m.ÖNK kiadás'!R14</f>
        <v>301105</v>
      </c>
      <c r="S17" s="535">
        <f>'4.sz.m.ÖNK kiadás'!S14</f>
        <v>1911505</v>
      </c>
      <c r="T17" s="535">
        <f>'4.sz.m.ÖNK kiadás'!T14</f>
        <v>1911505</v>
      </c>
      <c r="U17" s="535">
        <f>'4.sz.m.ÖNK kiadás'!U14</f>
        <v>787717</v>
      </c>
      <c r="V17" s="535">
        <f>'4.sz.m.ÖNK kiadás'!V14</f>
        <v>787717</v>
      </c>
      <c r="W17" s="1146">
        <f>+V17/U17</f>
        <v>1</v>
      </c>
      <c r="X17" s="933"/>
      <c r="Y17" s="933"/>
      <c r="Z17" s="933"/>
      <c r="AA17" s="933"/>
      <c r="AB17" s="933"/>
      <c r="AC17" s="933"/>
      <c r="AD17" s="605"/>
      <c r="AE17" s="78"/>
      <c r="AF17" s="78"/>
      <c r="AG17" s="78"/>
      <c r="AH17" s="78"/>
      <c r="AI17" s="78"/>
      <c r="AJ17" s="78"/>
    </row>
    <row r="18" spans="1:36" s="79" customFormat="1" ht="59.25" customHeight="1" thickBot="1">
      <c r="A18" s="80"/>
      <c r="B18" s="81"/>
      <c r="C18" s="81" t="s">
        <v>158</v>
      </c>
      <c r="D18" s="82" t="s">
        <v>424</v>
      </c>
      <c r="E18" s="77"/>
      <c r="F18" s="754">
        <f>'4.sz.m.ÖNK kiadás'!F15</f>
        <v>0</v>
      </c>
      <c r="G18" s="535">
        <f>'4.sz.m.ÖNK kiadás'!G15</f>
        <v>0</v>
      </c>
      <c r="H18" s="535">
        <f>'4.sz.m.ÖNK kiadás'!H15</f>
        <v>0</v>
      </c>
      <c r="I18" s="535">
        <f>'4.sz.m.ÖNK kiadás'!I15</f>
        <v>0</v>
      </c>
      <c r="J18" s="535">
        <f>'4.sz.m.ÖNK kiadás'!J15</f>
        <v>0</v>
      </c>
      <c r="K18" s="1146"/>
      <c r="L18" s="761">
        <f t="shared" si="0"/>
        <v>0</v>
      </c>
      <c r="M18" s="762">
        <f t="shared" si="1"/>
        <v>0</v>
      </c>
      <c r="N18" s="762">
        <f t="shared" si="2"/>
        <v>0</v>
      </c>
      <c r="O18" s="762">
        <f t="shared" si="3"/>
        <v>0</v>
      </c>
      <c r="P18" s="762">
        <f t="shared" si="3"/>
        <v>0</v>
      </c>
      <c r="Q18" s="1146"/>
      <c r="R18" s="754">
        <f>'4.sz.m.ÖNK kiadás'!R15</f>
        <v>0</v>
      </c>
      <c r="S18" s="535">
        <f>'4.sz.m.ÖNK kiadás'!S15</f>
        <v>0</v>
      </c>
      <c r="T18" s="535">
        <f>'4.sz.m.ÖNK kiadás'!T15</f>
        <v>0</v>
      </c>
      <c r="U18" s="535">
        <f>'4.sz.m.ÖNK kiadás'!U15</f>
        <v>0</v>
      </c>
      <c r="V18" s="535">
        <f>'4.sz.m.ÖNK kiadás'!V15</f>
        <v>0</v>
      </c>
      <c r="W18" s="1146"/>
      <c r="X18" s="933"/>
      <c r="Y18" s="933"/>
      <c r="Z18" s="933"/>
      <c r="AA18" s="933"/>
      <c r="AB18" s="933"/>
      <c r="AC18" s="933"/>
      <c r="AD18" s="605"/>
      <c r="AE18" s="78"/>
      <c r="AF18" s="78"/>
      <c r="AG18" s="78"/>
      <c r="AH18" s="78"/>
      <c r="AI18" s="78"/>
      <c r="AJ18" s="78"/>
    </row>
    <row r="19" spans="1:36" s="79" customFormat="1" ht="33" customHeight="1" hidden="1" thickBot="1">
      <c r="A19" s="88"/>
      <c r="B19" s="89"/>
      <c r="C19" s="89" t="s">
        <v>160</v>
      </c>
      <c r="D19" s="90" t="s">
        <v>161</v>
      </c>
      <c r="E19" s="91"/>
      <c r="F19" s="754"/>
      <c r="G19" s="535"/>
      <c r="H19" s="535"/>
      <c r="I19" s="535"/>
      <c r="J19" s="535"/>
      <c r="K19" s="1146" t="e">
        <f t="shared" si="5"/>
        <v>#DIV/0!</v>
      </c>
      <c r="L19" s="753">
        <f t="shared" si="0"/>
        <v>0</v>
      </c>
      <c r="M19" s="534">
        <f t="shared" si="1"/>
        <v>0</v>
      </c>
      <c r="N19" s="534">
        <f t="shared" si="2"/>
        <v>0</v>
      </c>
      <c r="O19" s="534">
        <f t="shared" si="3"/>
        <v>0</v>
      </c>
      <c r="P19" s="534">
        <f t="shared" si="3"/>
        <v>0</v>
      </c>
      <c r="Q19" s="1146" t="e">
        <f t="shared" si="6"/>
        <v>#DIV/0!</v>
      </c>
      <c r="R19" s="754"/>
      <c r="S19" s="535"/>
      <c r="T19" s="535"/>
      <c r="U19" s="535"/>
      <c r="V19" s="535"/>
      <c r="W19" s="1146" t="e">
        <f>+V19/U19</f>
        <v>#DIV/0!</v>
      </c>
      <c r="X19" s="933"/>
      <c r="Y19" s="933"/>
      <c r="Z19" s="933"/>
      <c r="AA19" s="933"/>
      <c r="AB19" s="933"/>
      <c r="AC19" s="933"/>
      <c r="AD19" s="605"/>
      <c r="AE19" s="78"/>
      <c r="AF19" s="78"/>
      <c r="AG19" s="78"/>
      <c r="AH19" s="78"/>
      <c r="AI19" s="78"/>
      <c r="AJ19" s="78"/>
    </row>
    <row r="20" spans="1:36" s="79" customFormat="1" ht="33" customHeight="1" thickBot="1">
      <c r="A20" s="40" t="s">
        <v>162</v>
      </c>
      <c r="B20" s="1317" t="s">
        <v>163</v>
      </c>
      <c r="C20" s="1317"/>
      <c r="D20" s="1317"/>
      <c r="E20" s="72"/>
      <c r="F20" s="753">
        <f>F21+F22+F23</f>
        <v>70524454</v>
      </c>
      <c r="G20" s="534">
        <f>G21+G22+G23</f>
        <v>71334500</v>
      </c>
      <c r="H20" s="534">
        <f>H21+H22+H23</f>
        <v>72185431</v>
      </c>
      <c r="I20" s="534">
        <f>I21+I22+I23</f>
        <v>69821585</v>
      </c>
      <c r="J20" s="534">
        <f>J21+J22+J23</f>
        <v>58293511</v>
      </c>
      <c r="K20" s="1145">
        <f t="shared" si="5"/>
        <v>0.8348924046911854</v>
      </c>
      <c r="L20" s="753">
        <f t="shared" si="0"/>
        <v>67895711</v>
      </c>
      <c r="M20" s="534">
        <f t="shared" si="1"/>
        <v>68273711</v>
      </c>
      <c r="N20" s="534">
        <f t="shared" si="2"/>
        <v>69124642</v>
      </c>
      <c r="O20" s="534">
        <f t="shared" si="3"/>
        <v>67130796</v>
      </c>
      <c r="P20" s="534">
        <f t="shared" si="3"/>
        <v>56661465</v>
      </c>
      <c r="Q20" s="1145">
        <f t="shared" si="6"/>
        <v>0.8440457789298372</v>
      </c>
      <c r="R20" s="753">
        <f>R21+R22+R23</f>
        <v>2628743</v>
      </c>
      <c r="S20" s="753">
        <f>S21+S22+S23</f>
        <v>3060789</v>
      </c>
      <c r="T20" s="753">
        <f>T21+T22+T23</f>
        <v>3060789</v>
      </c>
      <c r="U20" s="534">
        <f>U23+U21</f>
        <v>2690789</v>
      </c>
      <c r="V20" s="534">
        <f>V23+V21</f>
        <v>1632046</v>
      </c>
      <c r="W20" s="1145">
        <f>+V20/U20</f>
        <v>0.6065306495604077</v>
      </c>
      <c r="X20" s="936"/>
      <c r="Y20" s="936"/>
      <c r="Z20" s="936"/>
      <c r="AA20" s="936"/>
      <c r="AB20" s="936"/>
      <c r="AC20" s="936"/>
      <c r="AD20" s="604"/>
      <c r="AE20" s="92">
        <f aca="true" t="shared" si="7" ref="AE20:AJ20">SUM(AE21:AE23)</f>
        <v>0</v>
      </c>
      <c r="AF20" s="92">
        <f t="shared" si="7"/>
        <v>0</v>
      </c>
      <c r="AG20" s="92">
        <f t="shared" si="7"/>
        <v>0</v>
      </c>
      <c r="AH20" s="92">
        <f t="shared" si="7"/>
        <v>0</v>
      </c>
      <c r="AI20" s="92">
        <f t="shared" si="7"/>
        <v>0</v>
      </c>
      <c r="AJ20" s="92">
        <f t="shared" si="7"/>
        <v>0</v>
      </c>
    </row>
    <row r="21" spans="1:36" s="79" customFormat="1" ht="33" customHeight="1">
      <c r="A21" s="74"/>
      <c r="B21" s="75" t="s">
        <v>46</v>
      </c>
      <c r="C21" s="1318" t="s">
        <v>164</v>
      </c>
      <c r="D21" s="1318"/>
      <c r="E21" s="93" t="s">
        <v>165</v>
      </c>
      <c r="F21" s="754">
        <f>'4.sz.m.ÖNK kiadás'!F18+'5. sz. m óvoda'!J40</f>
        <v>11693143</v>
      </c>
      <c r="G21" s="535">
        <f>'4.sz.m.ÖNK kiadás'!G18+'5. sz. m óvoda'!K40</f>
        <v>11693143</v>
      </c>
      <c r="H21" s="535">
        <f>'4.sz.m.ÖNK kiadás'!H18+'5. sz. m óvoda'!L40</f>
        <v>12544074</v>
      </c>
      <c r="I21" s="535">
        <f>'4.sz.m.ÖNK kiadás'!I18+'5. sz. m óvoda'!M40</f>
        <v>11768624</v>
      </c>
      <c r="J21" s="535">
        <f>'4.sz.m.ÖNK kiadás'!J18+'5. sz. m óvoda'!N40</f>
        <v>1018549</v>
      </c>
      <c r="K21" s="1146">
        <f t="shared" si="5"/>
        <v>0.08654784110699773</v>
      </c>
      <c r="L21" s="758">
        <f t="shared" si="0"/>
        <v>10634400</v>
      </c>
      <c r="M21" s="758">
        <f t="shared" si="1"/>
        <v>10634400</v>
      </c>
      <c r="N21" s="758">
        <f t="shared" si="2"/>
        <v>11485331</v>
      </c>
      <c r="O21" s="539">
        <f t="shared" si="3"/>
        <v>10709881</v>
      </c>
      <c r="P21" s="539">
        <f t="shared" si="3"/>
        <v>1018549</v>
      </c>
      <c r="Q21" s="1146">
        <f t="shared" si="6"/>
        <v>0.09510367108654148</v>
      </c>
      <c r="R21" s="754">
        <f>+'4.sz.m.ÖNK kiadás'!R18</f>
        <v>1058743</v>
      </c>
      <c r="S21" s="754">
        <f>+'4.sz.m.ÖNK kiadás'!S18</f>
        <v>1058743</v>
      </c>
      <c r="T21" s="754">
        <f>+'4.sz.m.ÖNK kiadás'!T18</f>
        <v>1058743</v>
      </c>
      <c r="U21" s="535">
        <f>+'4.sz.m.ÖNK kiadás'!U18</f>
        <v>1058743</v>
      </c>
      <c r="V21" s="535">
        <f>+'4.sz.m.ÖNK kiadás'!V18</f>
        <v>0</v>
      </c>
      <c r="W21" s="1146">
        <f>+V21/U21</f>
        <v>0</v>
      </c>
      <c r="X21" s="933"/>
      <c r="Y21" s="933"/>
      <c r="Z21" s="933"/>
      <c r="AA21" s="933"/>
      <c r="AB21" s="933"/>
      <c r="AC21" s="933"/>
      <c r="AD21" s="605"/>
      <c r="AE21" s="78"/>
      <c r="AF21" s="78"/>
      <c r="AG21" s="78"/>
      <c r="AH21" s="78"/>
      <c r="AI21" s="78"/>
      <c r="AJ21" s="78"/>
    </row>
    <row r="22" spans="1:36" s="79" customFormat="1" ht="33" customHeight="1">
      <c r="A22" s="80"/>
      <c r="B22" s="81" t="s">
        <v>49</v>
      </c>
      <c r="C22" s="1319" t="s">
        <v>166</v>
      </c>
      <c r="D22" s="1319"/>
      <c r="E22" s="93" t="s">
        <v>167</v>
      </c>
      <c r="F22" s="754">
        <f>'4.sz.m.ÖNK kiadás'!F19</f>
        <v>57261311</v>
      </c>
      <c r="G22" s="535">
        <f>'4.sz.m.ÖNK kiadás'!G19</f>
        <v>57639311</v>
      </c>
      <c r="H22" s="535">
        <f>'4.sz.m.ÖNK kiadás'!H19</f>
        <v>57639311</v>
      </c>
      <c r="I22" s="535">
        <f>'4.sz.m.ÖNK kiadás'!I19</f>
        <v>56420915</v>
      </c>
      <c r="J22" s="535">
        <f>'4.sz.m.ÖNK kiadás'!J19</f>
        <v>55642916</v>
      </c>
      <c r="K22" s="1146">
        <f t="shared" si="5"/>
        <v>0.986210804982514</v>
      </c>
      <c r="L22" s="759">
        <f t="shared" si="0"/>
        <v>57261311</v>
      </c>
      <c r="M22" s="540">
        <f t="shared" si="1"/>
        <v>57639311</v>
      </c>
      <c r="N22" s="540">
        <f t="shared" si="2"/>
        <v>57639311</v>
      </c>
      <c r="O22" s="540">
        <f t="shared" si="3"/>
        <v>56420915</v>
      </c>
      <c r="P22" s="540">
        <f t="shared" si="3"/>
        <v>55642916</v>
      </c>
      <c r="Q22" s="1146">
        <f t="shared" si="6"/>
        <v>0.986210804982514</v>
      </c>
      <c r="R22" s="754">
        <f>+'4.sz.m.ÖNK kiadás'!R19</f>
        <v>0</v>
      </c>
      <c r="S22" s="535"/>
      <c r="T22" s="535"/>
      <c r="U22" s="535"/>
      <c r="V22" s="535"/>
      <c r="W22" s="1146"/>
      <c r="X22" s="933"/>
      <c r="Y22" s="933"/>
      <c r="Z22" s="933"/>
      <c r="AA22" s="933"/>
      <c r="AB22" s="933"/>
      <c r="AC22" s="933"/>
      <c r="AD22" s="605"/>
      <c r="AE22" s="78"/>
      <c r="AF22" s="78"/>
      <c r="AG22" s="78"/>
      <c r="AH22" s="78"/>
      <c r="AI22" s="78"/>
      <c r="AJ22" s="78"/>
    </row>
    <row r="23" spans="1:36" s="79" customFormat="1" ht="33" customHeight="1">
      <c r="A23" s="94"/>
      <c r="B23" s="81" t="s">
        <v>52</v>
      </c>
      <c r="C23" s="1272" t="s">
        <v>168</v>
      </c>
      <c r="D23" s="1272"/>
      <c r="E23" s="36" t="s">
        <v>169</v>
      </c>
      <c r="F23" s="754">
        <f>SUM(F24:F27)</f>
        <v>1570000</v>
      </c>
      <c r="G23" s="535">
        <f>SUM(G24:G27)</f>
        <v>2002046</v>
      </c>
      <c r="H23" s="535">
        <f>SUM(H24:H27)</f>
        <v>2002046</v>
      </c>
      <c r="I23" s="535">
        <f>SUM(I24:I27)</f>
        <v>1632046</v>
      </c>
      <c r="J23" s="535">
        <f>SUM(J24:J27)</f>
        <v>1632046</v>
      </c>
      <c r="K23" s="1146">
        <f t="shared" si="5"/>
        <v>1</v>
      </c>
      <c r="L23" s="759">
        <f t="shared" si="0"/>
        <v>0</v>
      </c>
      <c r="M23" s="540">
        <f t="shared" si="1"/>
        <v>0</v>
      </c>
      <c r="N23" s="540">
        <f t="shared" si="2"/>
        <v>0</v>
      </c>
      <c r="O23" s="540">
        <f t="shared" si="3"/>
        <v>0</v>
      </c>
      <c r="P23" s="540">
        <f t="shared" si="3"/>
        <v>0</v>
      </c>
      <c r="Q23" s="1146"/>
      <c r="R23" s="754">
        <f>SUM(R24:R27)</f>
        <v>1570000</v>
      </c>
      <c r="S23" s="535">
        <f>SUM(S24:S27)</f>
        <v>2002046</v>
      </c>
      <c r="T23" s="535">
        <f>SUM(T24:T27)</f>
        <v>2002046</v>
      </c>
      <c r="U23" s="535">
        <f>SUM(U24:U27)</f>
        <v>1632046</v>
      </c>
      <c r="V23" s="535">
        <f>SUM(V24:V27)</f>
        <v>1632046</v>
      </c>
      <c r="W23" s="1146"/>
      <c r="X23" s="933"/>
      <c r="Y23" s="933"/>
      <c r="Z23" s="933"/>
      <c r="AA23" s="933"/>
      <c r="AB23" s="933"/>
      <c r="AC23" s="933"/>
      <c r="AD23" s="605"/>
      <c r="AE23" s="78"/>
      <c r="AF23" s="78"/>
      <c r="AG23" s="78"/>
      <c r="AH23" s="78"/>
      <c r="AI23" s="78"/>
      <c r="AJ23" s="78"/>
    </row>
    <row r="24" spans="1:36" s="79" customFormat="1" ht="33" customHeight="1">
      <c r="A24" s="95"/>
      <c r="B24" s="96"/>
      <c r="C24" s="96" t="s">
        <v>55</v>
      </c>
      <c r="D24" s="25" t="s">
        <v>170</v>
      </c>
      <c r="E24" s="36"/>
      <c r="F24" s="754">
        <f>'4.sz.m.ÖNK kiadás'!F21</f>
        <v>1570000</v>
      </c>
      <c r="G24" s="535">
        <f>'4.sz.m.ÖNK kiadás'!G21</f>
        <v>2002046</v>
      </c>
      <c r="H24" s="535">
        <f>'4.sz.m.ÖNK kiadás'!H21</f>
        <v>2002046</v>
      </c>
      <c r="I24" s="535">
        <f>'4.sz.m.ÖNK kiadás'!I21</f>
        <v>1632046</v>
      </c>
      <c r="J24" s="535">
        <f>'4.sz.m.ÖNK kiadás'!J21</f>
        <v>1632046</v>
      </c>
      <c r="K24" s="1146">
        <f t="shared" si="5"/>
        <v>1</v>
      </c>
      <c r="L24" s="759">
        <f t="shared" si="0"/>
        <v>0</v>
      </c>
      <c r="M24" s="540">
        <f t="shared" si="1"/>
        <v>0</v>
      </c>
      <c r="N24" s="540">
        <f t="shared" si="2"/>
        <v>0</v>
      </c>
      <c r="O24" s="540">
        <f t="shared" si="3"/>
        <v>0</v>
      </c>
      <c r="P24" s="540">
        <f t="shared" si="3"/>
        <v>0</v>
      </c>
      <c r="Q24" s="1146"/>
      <c r="R24" s="754">
        <f>'4.sz.m.ÖNK kiadás'!R21</f>
        <v>1570000</v>
      </c>
      <c r="S24" s="535">
        <f>'4.sz.m.ÖNK kiadás'!S21</f>
        <v>2002046</v>
      </c>
      <c r="T24" s="535">
        <f>'4.sz.m.ÖNK kiadás'!T21</f>
        <v>2002046</v>
      </c>
      <c r="U24" s="535">
        <f>'4.sz.m.ÖNK kiadás'!U21</f>
        <v>1632046</v>
      </c>
      <c r="V24" s="535">
        <f>'4.sz.m.ÖNK kiadás'!V21</f>
        <v>1632046</v>
      </c>
      <c r="W24" s="1146"/>
      <c r="X24" s="933"/>
      <c r="Y24" s="933"/>
      <c r="Z24" s="933"/>
      <c r="AA24" s="933"/>
      <c r="AB24" s="933"/>
      <c r="AC24" s="933"/>
      <c r="AD24" s="605"/>
      <c r="AE24" s="78"/>
      <c r="AF24" s="78"/>
      <c r="AG24" s="78"/>
      <c r="AH24" s="78"/>
      <c r="AI24" s="78"/>
      <c r="AJ24" s="78"/>
    </row>
    <row r="25" spans="1:36" s="79" customFormat="1" ht="33" customHeight="1">
      <c r="A25" s="95"/>
      <c r="B25" s="96"/>
      <c r="C25" s="96" t="s">
        <v>57</v>
      </c>
      <c r="D25" s="25" t="s">
        <v>171</v>
      </c>
      <c r="E25" s="36"/>
      <c r="F25" s="754"/>
      <c r="G25" s="535"/>
      <c r="H25" s="535"/>
      <c r="I25" s="535"/>
      <c r="J25" s="535"/>
      <c r="K25" s="1146"/>
      <c r="L25" s="759">
        <f t="shared" si="0"/>
        <v>0</v>
      </c>
      <c r="M25" s="540">
        <f t="shared" si="1"/>
        <v>0</v>
      </c>
      <c r="N25" s="540">
        <f t="shared" si="2"/>
        <v>0</v>
      </c>
      <c r="O25" s="540">
        <f t="shared" si="3"/>
        <v>0</v>
      </c>
      <c r="P25" s="540">
        <f t="shared" si="3"/>
        <v>0</v>
      </c>
      <c r="Q25" s="1146"/>
      <c r="R25" s="754"/>
      <c r="S25" s="535"/>
      <c r="T25" s="535"/>
      <c r="U25" s="535"/>
      <c r="V25" s="535"/>
      <c r="W25" s="1146"/>
      <c r="X25" s="933"/>
      <c r="Y25" s="933"/>
      <c r="Z25" s="933"/>
      <c r="AA25" s="933"/>
      <c r="AB25" s="933"/>
      <c r="AC25" s="933"/>
      <c r="AD25" s="605"/>
      <c r="AE25" s="78"/>
      <c r="AF25" s="78"/>
      <c r="AG25" s="78"/>
      <c r="AH25" s="78"/>
      <c r="AI25" s="78"/>
      <c r="AJ25" s="78"/>
    </row>
    <row r="26" spans="1:36" s="79" customFormat="1" ht="33" customHeight="1">
      <c r="A26" s="94"/>
      <c r="B26" s="25"/>
      <c r="C26" s="96" t="s">
        <v>59</v>
      </c>
      <c r="D26" s="25" t="s">
        <v>159</v>
      </c>
      <c r="E26" s="36"/>
      <c r="F26" s="754"/>
      <c r="G26" s="535"/>
      <c r="H26" s="535"/>
      <c r="I26" s="535"/>
      <c r="J26" s="535"/>
      <c r="K26" s="1146"/>
      <c r="L26" s="759">
        <f t="shared" si="0"/>
        <v>0</v>
      </c>
      <c r="M26" s="540">
        <f t="shared" si="1"/>
        <v>0</v>
      </c>
      <c r="N26" s="540">
        <f t="shared" si="2"/>
        <v>0</v>
      </c>
      <c r="O26" s="540">
        <f t="shared" si="3"/>
        <v>0</v>
      </c>
      <c r="P26" s="540">
        <f t="shared" si="3"/>
        <v>0</v>
      </c>
      <c r="Q26" s="1146"/>
      <c r="R26" s="754"/>
      <c r="S26" s="535"/>
      <c r="T26" s="535"/>
      <c r="U26" s="535"/>
      <c r="V26" s="535"/>
      <c r="W26" s="1146"/>
      <c r="X26" s="933"/>
      <c r="Y26" s="933"/>
      <c r="Z26" s="933"/>
      <c r="AA26" s="933"/>
      <c r="AB26" s="933"/>
      <c r="AC26" s="933"/>
      <c r="AD26" s="605"/>
      <c r="AE26" s="78"/>
      <c r="AF26" s="78"/>
      <c r="AG26" s="78"/>
      <c r="AH26" s="78"/>
      <c r="AI26" s="78"/>
      <c r="AJ26" s="78"/>
    </row>
    <row r="27" spans="1:36" s="79" customFormat="1" ht="33" customHeight="1" thickBot="1">
      <c r="A27" s="97"/>
      <c r="B27" s="98"/>
      <c r="C27" s="99" t="s">
        <v>172</v>
      </c>
      <c r="D27" s="98" t="s">
        <v>173</v>
      </c>
      <c r="E27" s="100"/>
      <c r="F27" s="754"/>
      <c r="G27" s="535"/>
      <c r="H27" s="535"/>
      <c r="I27" s="535"/>
      <c r="J27" s="535"/>
      <c r="K27" s="1146"/>
      <c r="L27" s="760">
        <f t="shared" si="0"/>
        <v>0</v>
      </c>
      <c r="M27" s="541">
        <f t="shared" si="1"/>
        <v>0</v>
      </c>
      <c r="N27" s="541">
        <f t="shared" si="2"/>
        <v>0</v>
      </c>
      <c r="O27" s="541">
        <f t="shared" si="3"/>
        <v>0</v>
      </c>
      <c r="P27" s="541">
        <f t="shared" si="3"/>
        <v>0</v>
      </c>
      <c r="Q27" s="1146"/>
      <c r="R27" s="754"/>
      <c r="S27" s="535"/>
      <c r="T27" s="535"/>
      <c r="U27" s="535"/>
      <c r="V27" s="535"/>
      <c r="W27" s="1146"/>
      <c r="X27" s="933"/>
      <c r="Y27" s="933"/>
      <c r="Z27" s="933"/>
      <c r="AA27" s="933"/>
      <c r="AB27" s="933"/>
      <c r="AC27" s="933"/>
      <c r="AD27" s="605"/>
      <c r="AE27" s="78"/>
      <c r="AF27" s="78"/>
      <c r="AG27" s="78"/>
      <c r="AH27" s="78"/>
      <c r="AI27" s="78"/>
      <c r="AJ27" s="78"/>
    </row>
    <row r="28" spans="1:36" s="79" customFormat="1" ht="33" customHeight="1" thickBot="1">
      <c r="A28" s="40" t="s">
        <v>70</v>
      </c>
      <c r="B28" s="1317" t="s">
        <v>174</v>
      </c>
      <c r="C28" s="1317"/>
      <c r="D28" s="1317"/>
      <c r="E28" s="72" t="s">
        <v>175</v>
      </c>
      <c r="F28" s="753">
        <f>F29+F31</f>
        <v>2224091</v>
      </c>
      <c r="G28" s="534">
        <f>G29+G31</f>
        <v>2615872</v>
      </c>
      <c r="H28" s="534">
        <f>H29+H31</f>
        <v>2970</v>
      </c>
      <c r="I28" s="534">
        <f>I29+I31</f>
        <v>0</v>
      </c>
      <c r="J28" s="534">
        <f>J29+J31</f>
        <v>0</v>
      </c>
      <c r="K28" s="1145"/>
      <c r="L28" s="753">
        <f t="shared" si="0"/>
        <v>2224091</v>
      </c>
      <c r="M28" s="534">
        <f t="shared" si="1"/>
        <v>2615872</v>
      </c>
      <c r="N28" s="534">
        <f t="shared" si="2"/>
        <v>2970</v>
      </c>
      <c r="O28" s="534">
        <f t="shared" si="3"/>
        <v>0</v>
      </c>
      <c r="P28" s="534">
        <f t="shared" si="3"/>
        <v>0</v>
      </c>
      <c r="Q28" s="1145"/>
      <c r="R28" s="753"/>
      <c r="S28" s="534"/>
      <c r="T28" s="534"/>
      <c r="U28" s="534"/>
      <c r="V28" s="534"/>
      <c r="W28" s="1145"/>
      <c r="X28" s="936"/>
      <c r="Y28" s="936"/>
      <c r="Z28" s="936"/>
      <c r="AA28" s="936"/>
      <c r="AB28" s="936"/>
      <c r="AC28" s="936"/>
      <c r="AD28" s="604"/>
      <c r="AE28" s="92">
        <f aca="true" t="shared" si="8" ref="AE28:AJ28">SUM(AE29:AE31)</f>
        <v>0</v>
      </c>
      <c r="AF28" s="92">
        <f t="shared" si="8"/>
        <v>0</v>
      </c>
      <c r="AG28" s="92">
        <f t="shared" si="8"/>
        <v>0</v>
      </c>
      <c r="AH28" s="92">
        <f t="shared" si="8"/>
        <v>0</v>
      </c>
      <c r="AI28" s="92">
        <f t="shared" si="8"/>
        <v>0</v>
      </c>
      <c r="AJ28" s="92">
        <f t="shared" si="8"/>
        <v>0</v>
      </c>
    </row>
    <row r="29" spans="1:36" s="79" customFormat="1" ht="33" customHeight="1">
      <c r="A29" s="74"/>
      <c r="B29" s="75" t="s">
        <v>73</v>
      </c>
      <c r="C29" s="1318" t="s">
        <v>176</v>
      </c>
      <c r="D29" s="1318"/>
      <c r="E29" s="93"/>
      <c r="F29" s="754">
        <f>'4.sz.m.ÖNK kiadás'!F26</f>
        <v>2224091</v>
      </c>
      <c r="G29" s="535">
        <f>'4.sz.m.ÖNK kiadás'!G26</f>
        <v>2615872</v>
      </c>
      <c r="H29" s="535">
        <f>'4.sz.m.ÖNK kiadás'!H26</f>
        <v>2970</v>
      </c>
      <c r="I29" s="535">
        <f>'4.sz.m.ÖNK kiadás'!I26</f>
        <v>0</v>
      </c>
      <c r="J29" s="535">
        <f>'4.sz.m.ÖNK kiadás'!J26</f>
        <v>0</v>
      </c>
      <c r="K29" s="1146"/>
      <c r="L29" s="758">
        <f t="shared" si="0"/>
        <v>2224091</v>
      </c>
      <c r="M29" s="539">
        <f t="shared" si="1"/>
        <v>2615872</v>
      </c>
      <c r="N29" s="539">
        <f t="shared" si="2"/>
        <v>2970</v>
      </c>
      <c r="O29" s="539">
        <f t="shared" si="3"/>
        <v>0</v>
      </c>
      <c r="P29" s="539">
        <f t="shared" si="3"/>
        <v>0</v>
      </c>
      <c r="Q29" s="1146"/>
      <c r="R29" s="754"/>
      <c r="S29" s="535"/>
      <c r="T29" s="535"/>
      <c r="U29" s="535"/>
      <c r="V29" s="535"/>
      <c r="W29" s="1146"/>
      <c r="X29" s="933"/>
      <c r="Y29" s="933"/>
      <c r="Z29" s="933"/>
      <c r="AA29" s="933"/>
      <c r="AB29" s="933"/>
      <c r="AC29" s="933"/>
      <c r="AD29" s="605"/>
      <c r="AE29" s="78"/>
      <c r="AF29" s="78"/>
      <c r="AG29" s="78"/>
      <c r="AH29" s="78"/>
      <c r="AI29" s="78"/>
      <c r="AJ29" s="78"/>
    </row>
    <row r="30" spans="1:36" s="73" customFormat="1" ht="33" customHeight="1">
      <c r="A30" s="86"/>
      <c r="B30" s="81" t="s">
        <v>76</v>
      </c>
      <c r="C30" s="1320" t="s">
        <v>177</v>
      </c>
      <c r="D30" s="1320"/>
      <c r="E30" s="101"/>
      <c r="F30" s="754">
        <f>'4.sz.m.ÖNK kiadás'!F27</f>
        <v>0</v>
      </c>
      <c r="G30" s="535">
        <f>'4.sz.m.ÖNK kiadás'!G27</f>
        <v>0</v>
      </c>
      <c r="H30" s="535">
        <f>'4.sz.m.ÖNK kiadás'!H27</f>
        <v>0</v>
      </c>
      <c r="I30" s="535">
        <f>'4.sz.m.ÖNK kiadás'!I27</f>
        <v>0</v>
      </c>
      <c r="J30" s="535">
        <f>'4.sz.m.ÖNK kiadás'!J27</f>
        <v>0</v>
      </c>
      <c r="K30" s="1146"/>
      <c r="L30" s="759">
        <f t="shared" si="0"/>
        <v>0</v>
      </c>
      <c r="M30" s="540">
        <f t="shared" si="1"/>
        <v>0</v>
      </c>
      <c r="N30" s="540">
        <f t="shared" si="2"/>
        <v>0</v>
      </c>
      <c r="O30" s="540">
        <f t="shared" si="3"/>
        <v>0</v>
      </c>
      <c r="P30" s="540">
        <f t="shared" si="3"/>
        <v>0</v>
      </c>
      <c r="Q30" s="1146"/>
      <c r="R30" s="754"/>
      <c r="S30" s="535"/>
      <c r="T30" s="535"/>
      <c r="U30" s="535"/>
      <c r="V30" s="535"/>
      <c r="W30" s="1146"/>
      <c r="X30" s="933"/>
      <c r="Y30" s="933"/>
      <c r="Z30" s="933"/>
      <c r="AA30" s="933"/>
      <c r="AB30" s="933"/>
      <c r="AC30" s="933"/>
      <c r="AD30" s="605"/>
      <c r="AE30" s="78"/>
      <c r="AF30" s="78"/>
      <c r="AG30" s="78"/>
      <c r="AH30" s="78"/>
      <c r="AI30" s="78"/>
      <c r="AJ30" s="78"/>
    </row>
    <row r="31" spans="1:36" s="73" customFormat="1" ht="33" customHeight="1" thickBot="1">
      <c r="A31" s="102"/>
      <c r="B31" s="89" t="s">
        <v>77</v>
      </c>
      <c r="C31" s="103" t="s">
        <v>178</v>
      </c>
      <c r="D31" s="103"/>
      <c r="E31" s="104"/>
      <c r="F31" s="754">
        <f>'4.sz.m.ÖNK kiadás'!F28</f>
        <v>0</v>
      </c>
      <c r="G31" s="535">
        <f>'4.sz.m.ÖNK kiadás'!G28</f>
        <v>0</v>
      </c>
      <c r="H31" s="535">
        <f>'4.sz.m.ÖNK kiadás'!H28</f>
        <v>0</v>
      </c>
      <c r="I31" s="535">
        <f>'4.sz.m.ÖNK kiadás'!I28</f>
        <v>0</v>
      </c>
      <c r="J31" s="535">
        <f>'4.sz.m.ÖNK kiadás'!J28</f>
        <v>0</v>
      </c>
      <c r="K31" s="1146"/>
      <c r="L31" s="760">
        <f t="shared" si="0"/>
        <v>0</v>
      </c>
      <c r="M31" s="541">
        <f t="shared" si="1"/>
        <v>0</v>
      </c>
      <c r="N31" s="541">
        <f t="shared" si="2"/>
        <v>0</v>
      </c>
      <c r="O31" s="541">
        <f t="shared" si="3"/>
        <v>0</v>
      </c>
      <c r="P31" s="541">
        <f t="shared" si="3"/>
        <v>0</v>
      </c>
      <c r="Q31" s="1146"/>
      <c r="R31" s="754"/>
      <c r="S31" s="535"/>
      <c r="T31" s="535"/>
      <c r="U31" s="535"/>
      <c r="V31" s="535"/>
      <c r="W31" s="1146"/>
      <c r="X31" s="933"/>
      <c r="Y31" s="933"/>
      <c r="Z31" s="933"/>
      <c r="AA31" s="933"/>
      <c r="AB31" s="933"/>
      <c r="AC31" s="933"/>
      <c r="AD31" s="605"/>
      <c r="AE31" s="78"/>
      <c r="AF31" s="78"/>
      <c r="AG31" s="78"/>
      <c r="AH31" s="78"/>
      <c r="AI31" s="78"/>
      <c r="AJ31" s="78"/>
    </row>
    <row r="32" spans="1:36" s="73" customFormat="1" ht="33" customHeight="1" thickBot="1">
      <c r="A32" s="105" t="s">
        <v>87</v>
      </c>
      <c r="B32" s="106" t="s">
        <v>179</v>
      </c>
      <c r="C32" s="106"/>
      <c r="D32" s="106"/>
      <c r="E32" s="107"/>
      <c r="F32" s="753"/>
      <c r="G32" s="534"/>
      <c r="H32" s="534"/>
      <c r="I32" s="534"/>
      <c r="J32" s="534"/>
      <c r="K32" s="1145"/>
      <c r="L32" s="753">
        <f t="shared" si="0"/>
        <v>0</v>
      </c>
      <c r="M32" s="534">
        <f t="shared" si="1"/>
        <v>0</v>
      </c>
      <c r="N32" s="534">
        <f t="shared" si="2"/>
        <v>0</v>
      </c>
      <c r="O32" s="534">
        <f t="shared" si="3"/>
        <v>0</v>
      </c>
      <c r="P32" s="534">
        <f t="shared" si="3"/>
        <v>0</v>
      </c>
      <c r="Q32" s="1145"/>
      <c r="R32" s="753"/>
      <c r="S32" s="534"/>
      <c r="T32" s="534"/>
      <c r="U32" s="534"/>
      <c r="V32" s="534"/>
      <c r="W32" s="1145"/>
      <c r="X32" s="936"/>
      <c r="Y32" s="936"/>
      <c r="Z32" s="936"/>
      <c r="AA32" s="936"/>
      <c r="AB32" s="936"/>
      <c r="AC32" s="936"/>
      <c r="AD32" s="604"/>
      <c r="AE32" s="108"/>
      <c r="AF32" s="108"/>
      <c r="AG32" s="108"/>
      <c r="AH32" s="108"/>
      <c r="AI32" s="108"/>
      <c r="AJ32" s="108"/>
    </row>
    <row r="33" spans="1:36" s="73" customFormat="1" ht="33" customHeight="1" thickBot="1">
      <c r="A33" s="40" t="s">
        <v>100</v>
      </c>
      <c r="B33" s="1321" t="s">
        <v>180</v>
      </c>
      <c r="C33" s="1321"/>
      <c r="D33" s="1321"/>
      <c r="E33" s="53"/>
      <c r="F33" s="753">
        <f>F9+F20+F28</f>
        <v>172743267</v>
      </c>
      <c r="G33" s="534">
        <f>G9+G20+G28</f>
        <v>174152434</v>
      </c>
      <c r="H33" s="534">
        <f>H9+H20+H28</f>
        <v>174446014</v>
      </c>
      <c r="I33" s="534">
        <f>I9+I20+I28</f>
        <v>170033822</v>
      </c>
      <c r="J33" s="534">
        <f>J9+J20+J28</f>
        <v>135515052</v>
      </c>
      <c r="K33" s="1145">
        <f t="shared" si="5"/>
        <v>0.7969888014397511</v>
      </c>
      <c r="L33" s="753">
        <f t="shared" si="0"/>
        <v>165178662</v>
      </c>
      <c r="M33" s="534">
        <f t="shared" si="1"/>
        <v>164515383</v>
      </c>
      <c r="N33" s="534">
        <f t="shared" si="2"/>
        <v>164808963</v>
      </c>
      <c r="O33" s="534">
        <f t="shared" si="3"/>
        <v>146519412</v>
      </c>
      <c r="P33" s="534">
        <f t="shared" si="3"/>
        <v>128899887</v>
      </c>
      <c r="Q33" s="1145">
        <f t="shared" si="6"/>
        <v>0.8797461390303696</v>
      </c>
      <c r="R33" s="753">
        <f>R9+R20</f>
        <v>7564605</v>
      </c>
      <c r="S33" s="534">
        <f>S9+S20</f>
        <v>9637051</v>
      </c>
      <c r="T33" s="534">
        <f>T9+T20</f>
        <v>9637051</v>
      </c>
      <c r="U33" s="534">
        <f>U9+U20</f>
        <v>23514410</v>
      </c>
      <c r="V33" s="534">
        <f>V9+V20</f>
        <v>6615165</v>
      </c>
      <c r="W33" s="1145">
        <f>+V33/U33</f>
        <v>0.2813238775712425</v>
      </c>
      <c r="X33" s="936"/>
      <c r="Y33" s="936"/>
      <c r="Z33" s="936"/>
      <c r="AA33" s="936"/>
      <c r="AB33" s="936"/>
      <c r="AC33" s="936"/>
      <c r="AD33" s="604"/>
      <c r="AE33" s="92" t="e">
        <f aca="true" t="shared" si="9" ref="AE33:AJ33">AE9+AE20+AE28+AE32</f>
        <v>#REF!</v>
      </c>
      <c r="AF33" s="92" t="e">
        <f t="shared" si="9"/>
        <v>#REF!</v>
      </c>
      <c r="AG33" s="92" t="e">
        <f t="shared" si="9"/>
        <v>#REF!</v>
      </c>
      <c r="AH33" s="92" t="e">
        <f t="shared" si="9"/>
        <v>#REF!</v>
      </c>
      <c r="AI33" s="92" t="e">
        <f t="shared" si="9"/>
        <v>#REF!</v>
      </c>
      <c r="AJ33" s="92" t="e">
        <f t="shared" si="9"/>
        <v>#REF!</v>
      </c>
    </row>
    <row r="34" spans="1:36" s="73" customFormat="1" ht="33" customHeight="1" thickBot="1">
      <c r="A34" s="105" t="s">
        <v>108</v>
      </c>
      <c r="B34" s="1309" t="s">
        <v>181</v>
      </c>
      <c r="C34" s="1309"/>
      <c r="D34" s="1309"/>
      <c r="E34" s="107" t="s">
        <v>182</v>
      </c>
      <c r="F34" s="755">
        <f>SUM(F35:F36)</f>
        <v>1276685</v>
      </c>
      <c r="G34" s="536">
        <f>SUM(G35:G36)</f>
        <v>1276685</v>
      </c>
      <c r="H34" s="536">
        <f>SUM(H35:H36)</f>
        <v>1276685</v>
      </c>
      <c r="I34" s="536">
        <f>SUM(I35:I36)</f>
        <v>1276685</v>
      </c>
      <c r="J34" s="536">
        <f>SUM(J35:J36)</f>
        <v>1276685</v>
      </c>
      <c r="K34" s="1147">
        <f t="shared" si="5"/>
        <v>1</v>
      </c>
      <c r="L34" s="753">
        <f t="shared" si="0"/>
        <v>1276685</v>
      </c>
      <c r="M34" s="534">
        <f t="shared" si="1"/>
        <v>1276685</v>
      </c>
      <c r="N34" s="534">
        <f t="shared" si="2"/>
        <v>1276685</v>
      </c>
      <c r="O34" s="534">
        <f t="shared" si="3"/>
        <v>1276685</v>
      </c>
      <c r="P34" s="534">
        <f t="shared" si="3"/>
        <v>1276685</v>
      </c>
      <c r="Q34" s="1147">
        <f t="shared" si="6"/>
        <v>1</v>
      </c>
      <c r="R34" s="755"/>
      <c r="S34" s="536"/>
      <c r="T34" s="536"/>
      <c r="U34" s="536"/>
      <c r="V34" s="536"/>
      <c r="W34" s="1147"/>
      <c r="X34" s="935"/>
      <c r="Y34" s="935"/>
      <c r="Z34" s="935"/>
      <c r="AA34" s="935"/>
      <c r="AB34" s="935"/>
      <c r="AC34" s="935"/>
      <c r="AD34" s="606"/>
      <c r="AE34" s="42"/>
      <c r="AF34" s="42"/>
      <c r="AG34" s="42"/>
      <c r="AH34" s="42"/>
      <c r="AI34" s="42"/>
      <c r="AJ34" s="42"/>
    </row>
    <row r="35" spans="1:36" s="79" customFormat="1" ht="33" customHeight="1">
      <c r="A35" s="109"/>
      <c r="B35" s="75" t="s">
        <v>111</v>
      </c>
      <c r="C35" s="1270" t="s">
        <v>183</v>
      </c>
      <c r="D35" s="1270"/>
      <c r="E35" s="36"/>
      <c r="F35" s="754"/>
      <c r="G35" s="535"/>
      <c r="H35" s="535"/>
      <c r="I35" s="535"/>
      <c r="J35" s="535"/>
      <c r="K35" s="1146"/>
      <c r="L35" s="758">
        <f t="shared" si="0"/>
        <v>0</v>
      </c>
      <c r="M35" s="539">
        <f t="shared" si="1"/>
        <v>0</v>
      </c>
      <c r="N35" s="539">
        <f t="shared" si="2"/>
        <v>0</v>
      </c>
      <c r="O35" s="539">
        <f t="shared" si="3"/>
        <v>0</v>
      </c>
      <c r="P35" s="539">
        <f t="shared" si="3"/>
        <v>0</v>
      </c>
      <c r="Q35" s="1146"/>
      <c r="R35" s="754"/>
      <c r="S35" s="535"/>
      <c r="T35" s="535"/>
      <c r="U35" s="535"/>
      <c r="V35" s="535"/>
      <c r="W35" s="1146"/>
      <c r="X35" s="933"/>
      <c r="Y35" s="933"/>
      <c r="Z35" s="933"/>
      <c r="AA35" s="933"/>
      <c r="AB35" s="933"/>
      <c r="AC35" s="933"/>
      <c r="AD35" s="605"/>
      <c r="AE35" s="78"/>
      <c r="AF35" s="78"/>
      <c r="AG35" s="78"/>
      <c r="AH35" s="78"/>
      <c r="AI35" s="78"/>
      <c r="AJ35" s="78"/>
    </row>
    <row r="36" spans="1:36" s="79" customFormat="1" ht="33" customHeight="1" thickBot="1">
      <c r="A36" s="88"/>
      <c r="B36" s="89" t="s">
        <v>114</v>
      </c>
      <c r="C36" s="1316" t="s">
        <v>386</v>
      </c>
      <c r="D36" s="1316"/>
      <c r="E36" s="110"/>
      <c r="F36" s="756">
        <f>'4.sz.m.ÖNK kiadás'!F34</f>
        <v>1276685</v>
      </c>
      <c r="G36" s="537">
        <f>'4.sz.m.ÖNK kiadás'!G34</f>
        <v>1276685</v>
      </c>
      <c r="H36" s="537">
        <f>'4.sz.m.ÖNK kiadás'!H34</f>
        <v>1276685</v>
      </c>
      <c r="I36" s="537">
        <f>'4.sz.m.ÖNK kiadás'!I34</f>
        <v>1276685</v>
      </c>
      <c r="J36" s="537">
        <f>'4.sz.m.ÖNK kiadás'!J34</f>
        <v>1276685</v>
      </c>
      <c r="K36" s="1148">
        <f t="shared" si="5"/>
        <v>1</v>
      </c>
      <c r="L36" s="760">
        <f t="shared" si="0"/>
        <v>1276685</v>
      </c>
      <c r="M36" s="541">
        <f t="shared" si="1"/>
        <v>1276685</v>
      </c>
      <c r="N36" s="541">
        <f t="shared" si="2"/>
        <v>1276685</v>
      </c>
      <c r="O36" s="541">
        <f t="shared" si="3"/>
        <v>1276685</v>
      </c>
      <c r="P36" s="541">
        <f t="shared" si="3"/>
        <v>1276685</v>
      </c>
      <c r="Q36" s="1148">
        <f t="shared" si="6"/>
        <v>1</v>
      </c>
      <c r="R36" s="756"/>
      <c r="S36" s="537"/>
      <c r="T36" s="537"/>
      <c r="U36" s="537"/>
      <c r="V36" s="537"/>
      <c r="W36" s="1148"/>
      <c r="X36" s="937"/>
      <c r="Y36" s="937"/>
      <c r="Z36" s="937"/>
      <c r="AA36" s="937"/>
      <c r="AB36" s="937"/>
      <c r="AC36" s="937"/>
      <c r="AD36" s="607"/>
      <c r="AE36" s="111"/>
      <c r="AF36" s="111"/>
      <c r="AG36" s="111"/>
      <c r="AH36" s="111"/>
      <c r="AI36" s="111"/>
      <c r="AJ36" s="111"/>
    </row>
    <row r="37" spans="1:36" s="79" customFormat="1" ht="33" customHeight="1" hidden="1" thickBot="1">
      <c r="A37" s="112" t="s">
        <v>117</v>
      </c>
      <c r="B37" s="1311"/>
      <c r="C37" s="1311"/>
      <c r="D37" s="1311"/>
      <c r="E37" s="114"/>
      <c r="F37" s="757"/>
      <c r="G37" s="538"/>
      <c r="H37" s="538"/>
      <c r="I37" s="538"/>
      <c r="J37" s="538"/>
      <c r="K37" s="1149" t="e">
        <f t="shared" si="5"/>
        <v>#DIV/0!</v>
      </c>
      <c r="L37" s="753">
        <f t="shared" si="0"/>
        <v>0</v>
      </c>
      <c r="M37" s="534">
        <f t="shared" si="1"/>
        <v>0</v>
      </c>
      <c r="N37" s="534">
        <f t="shared" si="2"/>
        <v>0</v>
      </c>
      <c r="O37" s="534">
        <f t="shared" si="3"/>
        <v>0</v>
      </c>
      <c r="P37" s="534">
        <f t="shared" si="3"/>
        <v>0</v>
      </c>
      <c r="Q37" s="1149" t="e">
        <f t="shared" si="6"/>
        <v>#DIV/0!</v>
      </c>
      <c r="R37" s="757"/>
      <c r="S37" s="538"/>
      <c r="T37" s="538"/>
      <c r="U37" s="538"/>
      <c r="V37" s="538"/>
      <c r="W37" s="1149" t="e">
        <f>+V37/U37</f>
        <v>#DIV/0!</v>
      </c>
      <c r="X37" s="1151"/>
      <c r="Y37" s="1151"/>
      <c r="Z37" s="1151"/>
      <c r="AA37" s="1151"/>
      <c r="AB37" s="1151"/>
      <c r="AC37" s="1151"/>
      <c r="AD37" s="608"/>
      <c r="AE37" s="115" t="e">
        <f aca="true" t="shared" si="10" ref="AE37:AJ37">AE33+AE34</f>
        <v>#REF!</v>
      </c>
      <c r="AF37" s="115" t="e">
        <f t="shared" si="10"/>
        <v>#REF!</v>
      </c>
      <c r="AG37" s="115" t="e">
        <f t="shared" si="10"/>
        <v>#REF!</v>
      </c>
      <c r="AH37" s="115" t="e">
        <f t="shared" si="10"/>
        <v>#REF!</v>
      </c>
      <c r="AI37" s="115" t="e">
        <f t="shared" si="10"/>
        <v>#REF!</v>
      </c>
      <c r="AJ37" s="115" t="e">
        <f t="shared" si="10"/>
        <v>#REF!</v>
      </c>
    </row>
    <row r="38" spans="1:36" s="79" customFormat="1" ht="33" customHeight="1" hidden="1" thickBot="1">
      <c r="A38" s="1312" t="s">
        <v>184</v>
      </c>
      <c r="B38" s="1312"/>
      <c r="C38" s="1312"/>
      <c r="D38" s="1312"/>
      <c r="E38" s="116"/>
      <c r="F38" s="756"/>
      <c r="G38" s="537"/>
      <c r="H38" s="537"/>
      <c r="I38" s="537"/>
      <c r="J38" s="537"/>
      <c r="K38" s="1148" t="e">
        <f t="shared" si="5"/>
        <v>#DIV/0!</v>
      </c>
      <c r="L38" s="753">
        <f t="shared" si="0"/>
        <v>0</v>
      </c>
      <c r="M38" s="534">
        <f t="shared" si="1"/>
        <v>0</v>
      </c>
      <c r="N38" s="534">
        <f t="shared" si="2"/>
        <v>0</v>
      </c>
      <c r="O38" s="534">
        <f t="shared" si="3"/>
        <v>0</v>
      </c>
      <c r="P38" s="534">
        <f t="shared" si="3"/>
        <v>0</v>
      </c>
      <c r="Q38" s="1148" t="e">
        <f t="shared" si="6"/>
        <v>#DIV/0!</v>
      </c>
      <c r="R38" s="756"/>
      <c r="S38" s="537"/>
      <c r="T38" s="537"/>
      <c r="U38" s="537"/>
      <c r="V38" s="537"/>
      <c r="W38" s="1148" t="e">
        <f>+V38/U38</f>
        <v>#DIV/0!</v>
      </c>
      <c r="X38" s="937"/>
      <c r="Y38" s="937"/>
      <c r="Z38" s="937"/>
      <c r="AA38" s="937"/>
      <c r="AB38" s="937"/>
      <c r="AC38" s="937"/>
      <c r="AD38" s="609"/>
      <c r="AE38" s="117"/>
      <c r="AF38" s="117"/>
      <c r="AG38" s="117"/>
      <c r="AH38" s="111"/>
      <c r="AI38" s="111"/>
      <c r="AJ38" s="111"/>
    </row>
    <row r="39" spans="1:36" s="79" customFormat="1" ht="43.5" customHeight="1" thickBot="1">
      <c r="A39" s="1277" t="s">
        <v>185</v>
      </c>
      <c r="B39" s="1277"/>
      <c r="C39" s="1277"/>
      <c r="D39" s="1277"/>
      <c r="E39" s="53"/>
      <c r="F39" s="753">
        <f>F33+F34</f>
        <v>174019952</v>
      </c>
      <c r="G39" s="534">
        <f>G33+G34</f>
        <v>175429119</v>
      </c>
      <c r="H39" s="534">
        <f>H33+H34</f>
        <v>175722699</v>
      </c>
      <c r="I39" s="534">
        <f>I33+I34</f>
        <v>171310507</v>
      </c>
      <c r="J39" s="534">
        <f>J33+J34</f>
        <v>136791737</v>
      </c>
      <c r="K39" s="1145">
        <f t="shared" si="5"/>
        <v>0.7985017346309062</v>
      </c>
      <c r="L39" s="753">
        <f t="shared" si="0"/>
        <v>166455347</v>
      </c>
      <c r="M39" s="534">
        <f t="shared" si="1"/>
        <v>165792068</v>
      </c>
      <c r="N39" s="534">
        <f t="shared" si="2"/>
        <v>166085648</v>
      </c>
      <c r="O39" s="534">
        <f t="shared" si="3"/>
        <v>147796097</v>
      </c>
      <c r="P39" s="534">
        <f t="shared" si="3"/>
        <v>130176572</v>
      </c>
      <c r="Q39" s="1145">
        <f t="shared" si="6"/>
        <v>0.8807849100372387</v>
      </c>
      <c r="R39" s="753">
        <f>R33+R34</f>
        <v>7564605</v>
      </c>
      <c r="S39" s="534">
        <f>S33+S34</f>
        <v>9637051</v>
      </c>
      <c r="T39" s="534">
        <f>T33+T34</f>
        <v>9637051</v>
      </c>
      <c r="U39" s="534">
        <f>U33+U34</f>
        <v>23514410</v>
      </c>
      <c r="V39" s="534">
        <f>V33+V34</f>
        <v>6615165</v>
      </c>
      <c r="W39" s="1145">
        <f>+V39/U39</f>
        <v>0.2813238775712425</v>
      </c>
      <c r="X39" s="936"/>
      <c r="Y39" s="936"/>
      <c r="Z39" s="936"/>
      <c r="AA39" s="936"/>
      <c r="AB39" s="936"/>
      <c r="AC39" s="936"/>
      <c r="AD39" s="604"/>
      <c r="AE39" s="92" t="e">
        <f aca="true" t="shared" si="11" ref="AE39:AJ39">AE37+AE38</f>
        <v>#REF!</v>
      </c>
      <c r="AF39" s="92" t="e">
        <f t="shared" si="11"/>
        <v>#REF!</v>
      </c>
      <c r="AG39" s="92" t="e">
        <f t="shared" si="11"/>
        <v>#REF!</v>
      </c>
      <c r="AH39" s="92" t="e">
        <f t="shared" si="11"/>
        <v>#REF!</v>
      </c>
      <c r="AI39" s="92" t="e">
        <f t="shared" si="11"/>
        <v>#REF!</v>
      </c>
      <c r="AJ39" s="92" t="e">
        <f t="shared" si="11"/>
        <v>#REF!</v>
      </c>
    </row>
    <row r="40" spans="1:35" s="79" customFormat="1" ht="19.5" customHeight="1">
      <c r="A40" s="118"/>
      <c r="B40" s="65"/>
      <c r="C40" s="118"/>
      <c r="D40" s="118"/>
      <c r="E40" s="118"/>
      <c r="F40" s="119"/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66"/>
      <c r="AE40" s="66"/>
      <c r="AF40" s="66"/>
      <c r="AG40" s="66"/>
      <c r="AH40" s="66"/>
      <c r="AI40" s="66"/>
    </row>
    <row r="41" spans="1:35" s="79" customFormat="1" ht="19.5" customHeight="1">
      <c r="A41" s="118"/>
      <c r="B41" s="65"/>
      <c r="C41" s="118"/>
      <c r="D41" s="118"/>
      <c r="E41" s="118"/>
      <c r="F41" s="119"/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  <c r="AE41" s="121"/>
      <c r="AF41" s="121"/>
      <c r="AG41" s="121"/>
      <c r="AH41" s="121"/>
      <c r="AI41" s="121"/>
    </row>
    <row r="42" spans="1:35" s="79" customFormat="1" ht="19.5" customHeight="1">
      <c r="A42" s="118"/>
      <c r="B42" s="65"/>
      <c r="C42" s="1313" t="s">
        <v>186</v>
      </c>
      <c r="D42" s="1313"/>
      <c r="E42" s="1313"/>
      <c r="F42" s="1313"/>
      <c r="G42" s="1313"/>
      <c r="H42" s="1313"/>
      <c r="I42" s="1313"/>
      <c r="J42" s="1313"/>
      <c r="K42" s="1313"/>
      <c r="L42" s="1313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3"/>
      <c r="AG42" s="123"/>
      <c r="AH42" s="123"/>
      <c r="AI42" s="124"/>
    </row>
    <row r="43" spans="1:35" s="79" customFormat="1" ht="19.5" customHeight="1" thickBot="1">
      <c r="A43" s="125" t="s">
        <v>187</v>
      </c>
      <c r="B43" s="125"/>
      <c r="F43" s="126"/>
      <c r="G43" s="126"/>
      <c r="H43" s="126"/>
      <c r="I43" s="126"/>
      <c r="J43" s="126"/>
      <c r="K43" s="126"/>
      <c r="L43" s="127"/>
      <c r="M43" s="127"/>
      <c r="N43" s="127"/>
      <c r="O43" s="127"/>
      <c r="P43" s="127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0"/>
      <c r="AE43" s="120"/>
      <c r="AF43" s="120"/>
      <c r="AG43" s="120"/>
      <c r="AH43" s="120"/>
      <c r="AI43" s="129"/>
    </row>
    <row r="44" spans="1:36" ht="52.5" customHeight="1" thickBot="1">
      <c r="A44" s="130">
        <v>1</v>
      </c>
      <c r="B44" s="1314" t="s">
        <v>188</v>
      </c>
      <c r="C44" s="1314"/>
      <c r="D44" s="1314"/>
      <c r="E44" s="450"/>
      <c r="F44" s="451">
        <f>'1.sz.m-önk.össze.bev'!F60-'1 .sz.m.önk.össz.kiad.'!F33</f>
        <v>-38584315</v>
      </c>
      <c r="G44" s="451">
        <f>'1.sz.m-önk.össze.bev'!G60-'1 .sz.m.önk.össz.kiad.'!G33</f>
        <v>-38584315</v>
      </c>
      <c r="H44" s="451">
        <f>'1.sz.m-önk.össze.bev'!H60-'1 .sz.m.önk.össz.kiad.'!H33</f>
        <v>-26607254</v>
      </c>
      <c r="I44" s="451">
        <f>'1.sz.m-önk.össze.bev'!I60-'1 .sz.m.önk.össz.kiad.'!I33</f>
        <v>-16077377</v>
      </c>
      <c r="J44" s="451">
        <f>'1.sz.m-önk.össze.bev'!J60-'1 .sz.m.önk.össz.kiad.'!J33</f>
        <v>4803829</v>
      </c>
      <c r="K44" s="451">
        <f>'1.sz.m-önk.össze.bev'!K60-'1 .sz.m.önk.össz.kiad.'!K33</f>
        <v>0.11443053537333259</v>
      </c>
      <c r="L44" s="451">
        <f>'1.sz.m-önk.össze.bev'!L60-'1 .sz.m.önk.össz.kiad.'!L33</f>
        <v>-38584315</v>
      </c>
      <c r="M44" s="451">
        <f>'1.sz.m-önk.össze.bev'!M60-'1 .sz.m.önk.össz.kiad.'!M33</f>
        <v>-38584315</v>
      </c>
      <c r="N44" s="451">
        <f>'1.sz.m-önk.össze.bev'!N60-'1 .sz.m.önk.össz.kiad.'!N33</f>
        <v>-26607254</v>
      </c>
      <c r="O44" s="451">
        <f>'1.sz.m-önk.össze.bev'!O60-'1 .sz.m.önk.össz.kiad.'!O33</f>
        <v>-16077377</v>
      </c>
      <c r="P44" s="451">
        <f>'1.sz.m-önk.össze.bev'!P60-'1 .sz.m.önk.össz.kiad.'!P33</f>
        <v>-521161</v>
      </c>
      <c r="Q44" s="451">
        <f>'1.sz.m-önk.össze.bev'!Q60-'1 .sz.m.önk.össz.kiad.'!Q33</f>
        <v>0.1044360381336098</v>
      </c>
      <c r="R44" s="451">
        <f>'1.sz.m-önk.össze.bev'!R60-'1 .sz.m.önk.össz.kiad.'!R33</f>
        <v>0</v>
      </c>
      <c r="S44" s="451">
        <f>'1.sz.m-önk.össze.bev'!S60-'1 .sz.m.önk.össz.kiad.'!S33</f>
        <v>0</v>
      </c>
      <c r="T44" s="451">
        <f>'1.sz.m-önk.össze.bev'!T60-'1 .sz.m.önk.össz.kiad.'!T33</f>
        <v>0</v>
      </c>
      <c r="U44" s="451">
        <f>'1.sz.m-önk.össze.bev'!U60-'1 .sz.m.önk.össz.kiad.'!U33</f>
        <v>0</v>
      </c>
      <c r="V44" s="451">
        <f>'1.sz.m-önk.össze.bev'!V60-'1 .sz.m.önk.össz.kiad.'!V33</f>
        <v>5324990</v>
      </c>
      <c r="W44" s="451">
        <f>'1.sz.m-önk.össze.bev'!W60-'1 .sz.m.önk.össz.kiad.'!W33</f>
        <v>0.22645645797619413</v>
      </c>
      <c r="X44" s="451"/>
      <c r="Y44" s="451"/>
      <c r="Z44" s="451"/>
      <c r="AA44" s="451"/>
      <c r="AB44" s="451"/>
      <c r="AC44" s="451"/>
      <c r="AD44" s="451">
        <f>'1.sz.m-önk.össze.bev'!X60-'1 .sz.m.önk.össz.kiad.'!AD33</f>
        <v>0</v>
      </c>
      <c r="AE44" s="131" t="e">
        <f>#REF!-'1 .sz.m.önk.össz.kiad.'!AE33</f>
        <v>#REF!</v>
      </c>
      <c r="AF44" s="131" t="e">
        <f>#REF!-'1 .sz.m.önk.össz.kiad.'!AF33</f>
        <v>#REF!</v>
      </c>
      <c r="AG44" s="131" t="e">
        <f>#REF!-'1 .sz.m.önk.össz.kiad.'!AG33</f>
        <v>#REF!</v>
      </c>
      <c r="AH44" s="131" t="e">
        <f>#REF!-'1 .sz.m.önk.össz.kiad.'!AH33</f>
        <v>#REF!</v>
      </c>
      <c r="AI44" s="131" t="e">
        <f>#REF!-'1 .sz.m.önk.össz.kiad.'!AI33</f>
        <v>#REF!</v>
      </c>
      <c r="AJ44" s="131" t="e">
        <f>#REF!-'1 .sz.m.önk.össz.kiad.'!AJ33</f>
        <v>#REF!</v>
      </c>
    </row>
    <row r="45" spans="3:29" ht="18.75" customHeight="1">
      <c r="C45" s="126"/>
      <c r="D45" s="126"/>
      <c r="E45" s="126"/>
      <c r="F45" s="132"/>
      <c r="G45" s="132"/>
      <c r="H45" s="132"/>
      <c r="I45" s="132"/>
      <c r="J45" s="132"/>
      <c r="K45" s="132"/>
      <c r="L45" s="452"/>
      <c r="M45" s="452"/>
      <c r="N45" s="452"/>
      <c r="O45" s="452"/>
      <c r="P45" s="452"/>
      <c r="Q45" s="452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</row>
    <row r="46" spans="3:29" ht="15.75" customHeight="1">
      <c r="C46" s="1303"/>
      <c r="D46" s="1303"/>
      <c r="E46" s="1303"/>
      <c r="F46" s="1303"/>
      <c r="G46" s="1303"/>
      <c r="H46" s="1303"/>
      <c r="I46" s="1303"/>
      <c r="J46" s="1303"/>
      <c r="K46" s="1303"/>
      <c r="L46" s="130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  <row r="47" spans="1:29" ht="16.5" customHeight="1" thickBot="1">
      <c r="A47" s="125" t="s">
        <v>189</v>
      </c>
      <c r="C47" s="1315"/>
      <c r="D47" s="1315"/>
      <c r="E47" s="454"/>
      <c r="F47" s="126"/>
      <c r="G47" s="126"/>
      <c r="H47" s="126"/>
      <c r="I47" s="126"/>
      <c r="J47" s="126"/>
      <c r="K47" s="126"/>
      <c r="L47" s="452"/>
      <c r="M47" s="452"/>
      <c r="N47" s="452"/>
      <c r="O47" s="452"/>
      <c r="P47" s="452"/>
      <c r="Q47" s="452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</row>
    <row r="48" spans="1:36" ht="27.75" customHeight="1">
      <c r="A48" s="479" t="s">
        <v>10</v>
      </c>
      <c r="B48" s="1294" t="s">
        <v>521</v>
      </c>
      <c r="C48" s="1295"/>
      <c r="D48" s="1296"/>
      <c r="E48" s="455"/>
      <c r="F48" s="490">
        <f>'2.sz.m.összehasonlító'!B15</f>
        <v>4022416</v>
      </c>
      <c r="G48" s="490">
        <f>'2.sz.m.összehasonlító'!C15</f>
        <v>4022416</v>
      </c>
      <c r="H48" s="490">
        <f>'2.sz.m.összehasonlító'!D15</f>
        <v>3068273</v>
      </c>
      <c r="I48" s="490">
        <f>'2.sz.m.összehasonlító'!E15</f>
        <v>3068273</v>
      </c>
      <c r="J48" s="490">
        <f>'2.sz.m.összehasonlító'!F15</f>
        <v>3068273</v>
      </c>
      <c r="K48" s="490"/>
      <c r="L48" s="490">
        <f>'2.sz.m.összehasonlító'!B15</f>
        <v>4022416</v>
      </c>
      <c r="M48" s="490">
        <f>'2.sz.m.összehasonlító'!C15</f>
        <v>4022416</v>
      </c>
      <c r="N48" s="490">
        <f>'2.sz.m.összehasonlító'!D15</f>
        <v>3068273</v>
      </c>
      <c r="O48" s="490">
        <f>'2.sz.m.összehasonlító'!E15</f>
        <v>3068273</v>
      </c>
      <c r="P48" s="490">
        <f>'2.sz.m.összehasonlító'!F15</f>
        <v>3068273</v>
      </c>
      <c r="Q48" s="490"/>
      <c r="R48" s="490"/>
      <c r="S48" s="490"/>
      <c r="T48" s="490"/>
      <c r="U48" s="490"/>
      <c r="V48" s="490"/>
      <c r="W48" s="456"/>
      <c r="X48" s="456"/>
      <c r="Y48" s="456"/>
      <c r="Z48" s="456"/>
      <c r="AA48" s="456"/>
      <c r="AB48" s="456"/>
      <c r="AC48" s="456"/>
      <c r="AD48" s="456"/>
      <c r="AE48" s="134" t="e">
        <f>#REF!</f>
        <v>#REF!</v>
      </c>
      <c r="AF48" s="134" t="e">
        <f>#REF!</f>
        <v>#REF!</v>
      </c>
      <c r="AG48" s="134" t="e">
        <f>#REF!</f>
        <v>#REF!</v>
      </c>
      <c r="AH48" s="134" t="e">
        <f>#REF!</f>
        <v>#REF!</v>
      </c>
      <c r="AI48" s="134" t="e">
        <f>#REF!</f>
        <v>#REF!</v>
      </c>
      <c r="AJ48" s="134" t="e">
        <f>#REF!</f>
        <v>#REF!</v>
      </c>
    </row>
    <row r="49" spans="1:36" ht="27.75" customHeight="1">
      <c r="A49" s="480" t="s">
        <v>162</v>
      </c>
      <c r="B49" s="1297" t="s">
        <v>522</v>
      </c>
      <c r="C49" s="1298"/>
      <c r="D49" s="1299"/>
      <c r="E49" s="457"/>
      <c r="F49" s="491">
        <f>'2.sz.m.összehasonlító'!B28</f>
        <v>13170409</v>
      </c>
      <c r="G49" s="491">
        <f>'2.sz.m.összehasonlító'!C28</f>
        <v>13170409</v>
      </c>
      <c r="H49" s="491">
        <f>'2.sz.m.összehasonlító'!D28</f>
        <v>13170409</v>
      </c>
      <c r="I49" s="491">
        <f>'2.sz.m.összehasonlító'!E28</f>
        <v>13170409</v>
      </c>
      <c r="J49" s="491">
        <f>'2.sz.m.összehasonlító'!F28</f>
        <v>13170409</v>
      </c>
      <c r="K49" s="491"/>
      <c r="L49" s="491">
        <f>'2.sz.m.összehasonlító'!B28</f>
        <v>13170409</v>
      </c>
      <c r="M49" s="491">
        <f>'2.sz.m.összehasonlító'!C28</f>
        <v>13170409</v>
      </c>
      <c r="N49" s="491">
        <f>'2.sz.m.összehasonlító'!D28</f>
        <v>13170409</v>
      </c>
      <c r="O49" s="491">
        <f>'2.sz.m.összehasonlító'!E28</f>
        <v>13170409</v>
      </c>
      <c r="P49" s="491">
        <f>'2.sz.m.összehasonlító'!F28</f>
        <v>13170409</v>
      </c>
      <c r="Q49" s="491"/>
      <c r="R49" s="491"/>
      <c r="S49" s="491"/>
      <c r="T49" s="491"/>
      <c r="U49" s="491"/>
      <c r="V49" s="491"/>
      <c r="W49" s="458"/>
      <c r="X49" s="458"/>
      <c r="Y49" s="458"/>
      <c r="Z49" s="458"/>
      <c r="AA49" s="458"/>
      <c r="AB49" s="458"/>
      <c r="AC49" s="458"/>
      <c r="AD49" s="458"/>
      <c r="AE49" s="135"/>
      <c r="AF49" s="135"/>
      <c r="AG49" s="135"/>
      <c r="AH49" s="135"/>
      <c r="AI49" s="135"/>
      <c r="AJ49" s="135"/>
    </row>
    <row r="50" spans="1:36" ht="27.75" customHeight="1" thickBot="1">
      <c r="A50" s="481" t="s">
        <v>70</v>
      </c>
      <c r="B50" s="1306" t="s">
        <v>523</v>
      </c>
      <c r="C50" s="1307"/>
      <c r="D50" s="1308"/>
      <c r="E50" s="459"/>
      <c r="F50" s="489">
        <f aca="true" t="shared" si="12" ref="F50:M50">F48+F49</f>
        <v>17192825</v>
      </c>
      <c r="G50" s="489">
        <f t="shared" si="12"/>
        <v>17192825</v>
      </c>
      <c r="H50" s="489">
        <f>H48+H49</f>
        <v>16238682</v>
      </c>
      <c r="I50" s="489">
        <f>I48+I49</f>
        <v>16238682</v>
      </c>
      <c r="J50" s="489">
        <f>J48+J49</f>
        <v>16238682</v>
      </c>
      <c r="K50" s="489"/>
      <c r="L50" s="489">
        <f t="shared" si="12"/>
        <v>17192825</v>
      </c>
      <c r="M50" s="489">
        <f t="shared" si="12"/>
        <v>17192825</v>
      </c>
      <c r="N50" s="489">
        <f>N48+N49</f>
        <v>16238682</v>
      </c>
      <c r="O50" s="489">
        <f>O48+O49</f>
        <v>16238682</v>
      </c>
      <c r="P50" s="489">
        <f>P48+P49</f>
        <v>16238682</v>
      </c>
      <c r="Q50" s="489"/>
      <c r="R50" s="489"/>
      <c r="S50" s="489"/>
      <c r="T50" s="489"/>
      <c r="U50" s="489"/>
      <c r="V50" s="489"/>
      <c r="W50" s="460"/>
      <c r="X50" s="460"/>
      <c r="Y50" s="460"/>
      <c r="Z50" s="460"/>
      <c r="AA50" s="460"/>
      <c r="AB50" s="460"/>
      <c r="AC50" s="460"/>
      <c r="AD50" s="460"/>
      <c r="AE50" s="136" t="e">
        <f aca="true" t="shared" si="13" ref="AE50:AJ50">AE48+AE49</f>
        <v>#REF!</v>
      </c>
      <c r="AF50" s="136" t="e">
        <f t="shared" si="13"/>
        <v>#REF!</v>
      </c>
      <c r="AG50" s="136" t="e">
        <f t="shared" si="13"/>
        <v>#REF!</v>
      </c>
      <c r="AH50" s="136" t="e">
        <f t="shared" si="13"/>
        <v>#REF!</v>
      </c>
      <c r="AI50" s="136" t="e">
        <f t="shared" si="13"/>
        <v>#REF!</v>
      </c>
      <c r="AJ50" s="136" t="e">
        <f t="shared" si="13"/>
        <v>#REF!</v>
      </c>
    </row>
    <row r="51" spans="3:30" ht="15.75">
      <c r="C51" s="461"/>
      <c r="D51" s="462"/>
      <c r="E51" s="462"/>
      <c r="F51" s="463"/>
      <c r="G51" s="463"/>
      <c r="H51" s="463"/>
      <c r="I51" s="463"/>
      <c r="J51" s="463"/>
      <c r="K51" s="463"/>
      <c r="L51" s="452"/>
      <c r="M51" s="452"/>
      <c r="N51" s="452"/>
      <c r="O51" s="452"/>
      <c r="P51" s="452"/>
      <c r="Q51" s="452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64"/>
    </row>
    <row r="52" spans="3:29" ht="15.75" customHeight="1">
      <c r="C52" s="1303"/>
      <c r="D52" s="1303"/>
      <c r="E52" s="1303"/>
      <c r="F52" s="1303"/>
      <c r="G52" s="1303"/>
      <c r="H52" s="1303"/>
      <c r="I52" s="1303"/>
      <c r="J52" s="1303"/>
      <c r="K52" s="1303"/>
      <c r="L52" s="130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</row>
    <row r="53" spans="1:29" ht="16.5" customHeight="1" thickBot="1">
      <c r="A53" s="125" t="s">
        <v>190</v>
      </c>
      <c r="B53" s="465"/>
      <c r="C53" s="1310"/>
      <c r="D53" s="1310"/>
      <c r="E53" s="454"/>
      <c r="F53" s="126"/>
      <c r="G53" s="126"/>
      <c r="H53" s="126"/>
      <c r="I53" s="126"/>
      <c r="J53" s="126"/>
      <c r="K53" s="126"/>
      <c r="L53" s="452"/>
      <c r="M53" s="452"/>
      <c r="N53" s="452"/>
      <c r="O53" s="452"/>
      <c r="P53" s="452"/>
      <c r="Q53" s="452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</row>
    <row r="54" spans="1:36" ht="27.75" customHeight="1">
      <c r="A54" s="479" t="s">
        <v>10</v>
      </c>
      <c r="B54" s="1294" t="s">
        <v>524</v>
      </c>
      <c r="C54" s="1295"/>
      <c r="D54" s="1296"/>
      <c r="E54" s="455"/>
      <c r="F54" s="466">
        <f>'1.sz.m-önk.össze.bev'!F63</f>
        <v>0</v>
      </c>
      <c r="G54" s="466">
        <f>'1.sz.m-önk.össze.bev'!G63</f>
        <v>0</v>
      </c>
      <c r="H54" s="466">
        <f>'1.sz.m-önk.össze.bev'!H63</f>
        <v>0</v>
      </c>
      <c r="I54" s="466">
        <v>0</v>
      </c>
      <c r="J54" s="466">
        <v>0</v>
      </c>
      <c r="K54" s="466"/>
      <c r="L54" s="466">
        <f>'1.sz.m-önk.össze.bev'!L63</f>
        <v>0</v>
      </c>
      <c r="M54" s="466">
        <f>'1.sz.m-önk.össze.bev'!M63</f>
        <v>0</v>
      </c>
      <c r="N54" s="466">
        <f>'1.sz.m-önk.össze.bev'!N63</f>
        <v>0</v>
      </c>
      <c r="O54" s="466">
        <v>0</v>
      </c>
      <c r="P54" s="466">
        <v>0</v>
      </c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>
        <f>'1.sz.m-önk.össze.bev'!Y63</f>
        <v>0</v>
      </c>
      <c r="AF54" s="466">
        <f>'1.sz.m-önk.össze.bev'!Z63</f>
        <v>0</v>
      </c>
      <c r="AG54" s="466">
        <f>'1.sz.m-önk.össze.bev'!AA63</f>
        <v>0</v>
      </c>
      <c r="AH54" s="466">
        <f>'1.sz.m-önk.össze.bev'!AB63</f>
        <v>0</v>
      </c>
      <c r="AI54" s="466">
        <f>'1.sz.m-önk.össze.bev'!AC63</f>
        <v>0</v>
      </c>
      <c r="AJ54" s="466">
        <f>'1.sz.m-önk.össze.bev'!AD63</f>
        <v>0</v>
      </c>
    </row>
    <row r="55" spans="1:36" ht="27.75" customHeight="1">
      <c r="A55" s="480" t="s">
        <v>162</v>
      </c>
      <c r="B55" s="1297" t="s">
        <v>525</v>
      </c>
      <c r="C55" s="1298"/>
      <c r="D55" s="1299"/>
      <c r="E55" s="457"/>
      <c r="F55" s="467">
        <f>'1.sz.m-önk.össze.bev'!F62</f>
        <v>22668175</v>
      </c>
      <c r="G55" s="467">
        <f>'1.sz.m-önk.össze.bev'!G62</f>
        <v>22668175</v>
      </c>
      <c r="H55" s="467">
        <f>'1.sz.m-önk.össze.bev'!H62</f>
        <v>11645257</v>
      </c>
      <c r="I55" s="467">
        <f>'1.sz.m-önk.össze.bev'!I62</f>
        <v>0</v>
      </c>
      <c r="J55" s="467">
        <f>'1.sz.m-önk.össze.bev'!J62</f>
        <v>0</v>
      </c>
      <c r="K55" s="467"/>
      <c r="L55" s="467">
        <f>'1.sz.m-önk.össze.bev'!L62</f>
        <v>22668175</v>
      </c>
      <c r="M55" s="467">
        <f>'1.sz.m-önk.össze.bev'!M62</f>
        <v>22668175</v>
      </c>
      <c r="N55" s="467">
        <f>'1.sz.m-önk.össze.bev'!N62</f>
        <v>11645257</v>
      </c>
      <c r="O55" s="467">
        <f>'1.sz.m-önk.össze.bev'!O62</f>
        <v>0</v>
      </c>
      <c r="P55" s="467">
        <f>'1.sz.m-önk.össze.bev'!P62</f>
        <v>0</v>
      </c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137" t="e">
        <f>#REF!</f>
        <v>#REF!</v>
      </c>
      <c r="AF55" s="137" t="e">
        <f>#REF!</f>
        <v>#REF!</v>
      </c>
      <c r="AG55" s="137" t="e">
        <f>#REF!</f>
        <v>#REF!</v>
      </c>
      <c r="AH55" s="137" t="e">
        <f>#REF!</f>
        <v>#REF!</v>
      </c>
      <c r="AI55" s="137" t="e">
        <f>#REF!</f>
        <v>#REF!</v>
      </c>
      <c r="AJ55" s="137" t="e">
        <f>#REF!</f>
        <v>#REF!</v>
      </c>
    </row>
    <row r="56" spans="1:36" ht="27.75" customHeight="1" thickBot="1">
      <c r="A56" s="481" t="s">
        <v>70</v>
      </c>
      <c r="B56" s="1300" t="s">
        <v>526</v>
      </c>
      <c r="C56" s="1301"/>
      <c r="D56" s="1302"/>
      <c r="E56" s="468"/>
      <c r="F56" s="469">
        <f aca="true" t="shared" si="14" ref="F56:M56">F54+F55</f>
        <v>22668175</v>
      </c>
      <c r="G56" s="469">
        <f t="shared" si="14"/>
        <v>22668175</v>
      </c>
      <c r="H56" s="469">
        <f>H54+H55</f>
        <v>11645257</v>
      </c>
      <c r="I56" s="469">
        <f>I54+I55</f>
        <v>0</v>
      </c>
      <c r="J56" s="469">
        <f>J54+J55</f>
        <v>0</v>
      </c>
      <c r="K56" s="469"/>
      <c r="L56" s="469">
        <f t="shared" si="14"/>
        <v>22668175</v>
      </c>
      <c r="M56" s="469">
        <f t="shared" si="14"/>
        <v>22668175</v>
      </c>
      <c r="N56" s="469">
        <f>N54+N55</f>
        <v>11645257</v>
      </c>
      <c r="O56" s="469">
        <f>O54+O55</f>
        <v>0</v>
      </c>
      <c r="P56" s="469">
        <f>P54+P55</f>
        <v>0</v>
      </c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138" t="e">
        <f aca="true" t="shared" si="15" ref="AE56:AJ56">AE54+AE55</f>
        <v>#REF!</v>
      </c>
      <c r="AF56" s="138" t="e">
        <f t="shared" si="15"/>
        <v>#REF!</v>
      </c>
      <c r="AG56" s="138" t="e">
        <f t="shared" si="15"/>
        <v>#REF!</v>
      </c>
      <c r="AH56" s="138" t="e">
        <f t="shared" si="15"/>
        <v>#REF!</v>
      </c>
      <c r="AI56" s="138" t="e">
        <f t="shared" si="15"/>
        <v>#REF!</v>
      </c>
      <c r="AJ56" s="138" t="e">
        <f t="shared" si="15"/>
        <v>#REF!</v>
      </c>
    </row>
    <row r="57" spans="3:34" ht="15.75">
      <c r="C57" s="461"/>
      <c r="D57" s="462"/>
      <c r="E57" s="462"/>
      <c r="F57" s="463"/>
      <c r="G57" s="463"/>
      <c r="H57" s="463"/>
      <c r="I57" s="463"/>
      <c r="J57" s="463"/>
      <c r="K57" s="463"/>
      <c r="L57" s="452"/>
      <c r="M57" s="452"/>
      <c r="N57" s="452"/>
      <c r="O57" s="452"/>
      <c r="P57" s="452"/>
      <c r="Q57" s="452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H57" s="63"/>
    </row>
    <row r="58" spans="3:29" ht="15.75" customHeight="1">
      <c r="C58" s="1303"/>
      <c r="D58" s="1303"/>
      <c r="E58" s="1303"/>
      <c r="F58" s="1303"/>
      <c r="G58" s="1303"/>
      <c r="H58" s="1303"/>
      <c r="I58" s="1303"/>
      <c r="J58" s="1303"/>
      <c r="K58" s="1303"/>
      <c r="L58" s="130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</row>
    <row r="59" spans="3:29" ht="15.75">
      <c r="C59" s="133"/>
      <c r="D59" s="133"/>
      <c r="E59" s="133"/>
      <c r="F59" s="133"/>
      <c r="G59" s="133"/>
      <c r="H59" s="133"/>
      <c r="I59" s="133"/>
      <c r="J59" s="133"/>
      <c r="K59" s="133"/>
      <c r="L59" s="452"/>
      <c r="M59" s="452"/>
      <c r="N59" s="452"/>
      <c r="O59" s="452"/>
      <c r="P59" s="452"/>
      <c r="Q59" s="452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</row>
    <row r="60" spans="1:29" ht="16.5" thickBot="1">
      <c r="A60" s="125" t="s">
        <v>191</v>
      </c>
      <c r="C60" s="1304"/>
      <c r="D60" s="1304"/>
      <c r="E60" s="470"/>
      <c r="F60" s="133"/>
      <c r="G60" s="133"/>
      <c r="H60" s="133"/>
      <c r="I60" s="133"/>
      <c r="J60" s="133"/>
      <c r="K60" s="133"/>
      <c r="L60" s="452"/>
      <c r="M60" s="452"/>
      <c r="N60" s="452"/>
      <c r="O60" s="452"/>
      <c r="P60" s="452"/>
      <c r="Q60" s="452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</row>
    <row r="61" spans="1:36" ht="58.5" customHeight="1">
      <c r="A61" s="139" t="s">
        <v>10</v>
      </c>
      <c r="B61" s="1305" t="s">
        <v>192</v>
      </c>
      <c r="C61" s="1305"/>
      <c r="D61" s="1305"/>
      <c r="E61" s="471"/>
      <c r="F61" s="472">
        <f aca="true" t="shared" si="16" ref="F61:M61">F62-F65</f>
        <v>38584315</v>
      </c>
      <c r="G61" s="472">
        <f t="shared" si="16"/>
        <v>38584315</v>
      </c>
      <c r="H61" s="472">
        <f>H62-H65</f>
        <v>26607254</v>
      </c>
      <c r="I61" s="472">
        <f>I62-I65</f>
        <v>16077377</v>
      </c>
      <c r="J61" s="472">
        <f>J62-J65</f>
        <v>16077377</v>
      </c>
      <c r="K61" s="472"/>
      <c r="L61" s="472">
        <f t="shared" si="16"/>
        <v>38584315</v>
      </c>
      <c r="M61" s="472">
        <f t="shared" si="16"/>
        <v>38584315</v>
      </c>
      <c r="N61" s="472">
        <f>N62-N65</f>
        <v>26607254</v>
      </c>
      <c r="O61" s="472">
        <f>O62-O65</f>
        <v>16077377</v>
      </c>
      <c r="P61" s="472">
        <f>P62-P65</f>
        <v>16077377</v>
      </c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140" t="e">
        <f aca="true" t="shared" si="17" ref="AE61:AJ61">AE62-AE65</f>
        <v>#REF!</v>
      </c>
      <c r="AF61" s="140" t="e">
        <f t="shared" si="17"/>
        <v>#REF!</v>
      </c>
      <c r="AG61" s="140" t="e">
        <f t="shared" si="17"/>
        <v>#REF!</v>
      </c>
      <c r="AH61" s="140" t="e">
        <f t="shared" si="17"/>
        <v>#REF!</v>
      </c>
      <c r="AI61" s="140" t="e">
        <f t="shared" si="17"/>
        <v>#REF!</v>
      </c>
      <c r="AJ61" s="140" t="e">
        <f t="shared" si="17"/>
        <v>#REF!</v>
      </c>
    </row>
    <row r="62" spans="1:36" ht="27" customHeight="1">
      <c r="A62" s="482" t="s">
        <v>409</v>
      </c>
      <c r="B62" s="1291" t="s">
        <v>410</v>
      </c>
      <c r="C62" s="1291"/>
      <c r="D62" s="1291"/>
      <c r="E62" s="483"/>
      <c r="F62" s="483">
        <f aca="true" t="shared" si="18" ref="F62:M62">F63+F64</f>
        <v>39861000</v>
      </c>
      <c r="G62" s="483">
        <f t="shared" si="18"/>
        <v>39861000</v>
      </c>
      <c r="H62" s="483">
        <f>H63+H64</f>
        <v>27883939</v>
      </c>
      <c r="I62" s="483">
        <f>I63+I64</f>
        <v>17354062</v>
      </c>
      <c r="J62" s="483">
        <f>J63+J64</f>
        <v>17354062</v>
      </c>
      <c r="K62" s="483"/>
      <c r="L62" s="483">
        <f t="shared" si="18"/>
        <v>39861000</v>
      </c>
      <c r="M62" s="483">
        <f t="shared" si="18"/>
        <v>39861000</v>
      </c>
      <c r="N62" s="483">
        <f>N63+N64</f>
        <v>27883939</v>
      </c>
      <c r="O62" s="483">
        <f>O63+O64</f>
        <v>17354062</v>
      </c>
      <c r="P62" s="483">
        <f>P63+P64</f>
        <v>17354062</v>
      </c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 t="e">
        <f aca="true" t="shared" si="19" ref="AE62:AJ62">AE63+AE64</f>
        <v>#REF!</v>
      </c>
      <c r="AF62" s="483" t="e">
        <f t="shared" si="19"/>
        <v>#REF!</v>
      </c>
      <c r="AG62" s="483" t="e">
        <f t="shared" si="19"/>
        <v>#REF!</v>
      </c>
      <c r="AH62" s="483" t="e">
        <f t="shared" si="19"/>
        <v>#REF!</v>
      </c>
      <c r="AI62" s="483" t="e">
        <f t="shared" si="19"/>
        <v>#REF!</v>
      </c>
      <c r="AJ62" s="483" t="e">
        <f t="shared" si="19"/>
        <v>#REF!</v>
      </c>
    </row>
    <row r="63" spans="1:36" ht="27" customHeight="1">
      <c r="A63" s="482" t="s">
        <v>411</v>
      </c>
      <c r="B63" s="1292" t="s">
        <v>412</v>
      </c>
      <c r="C63" s="1292"/>
      <c r="D63" s="1292"/>
      <c r="E63" s="483"/>
      <c r="F63" s="483">
        <f>'2.sz.m.összehasonlító'!B17</f>
        <v>4022416</v>
      </c>
      <c r="G63" s="483">
        <f>'2.sz.m.összehasonlító'!C17</f>
        <v>4022416</v>
      </c>
      <c r="H63" s="483">
        <f>'2.sz.m.összehasonlító'!D17</f>
        <v>3068273</v>
      </c>
      <c r="I63" s="483">
        <f>'2.sz.m.összehasonlító'!E17</f>
        <v>4183653</v>
      </c>
      <c r="J63" s="483">
        <f>'2.sz.m.összehasonlító'!F17</f>
        <v>4183653</v>
      </c>
      <c r="K63" s="483"/>
      <c r="L63" s="483">
        <f>'2.sz.m.összehasonlító'!B17</f>
        <v>4022416</v>
      </c>
      <c r="M63" s="483">
        <f>'2.sz.m.összehasonlító'!C17</f>
        <v>4022416</v>
      </c>
      <c r="N63" s="483">
        <f>'2.sz.m.összehasonlító'!D17</f>
        <v>3068273</v>
      </c>
      <c r="O63" s="483">
        <f>'2.sz.m.összehasonlító'!E17</f>
        <v>4183653</v>
      </c>
      <c r="P63" s="483">
        <f>'2.sz.m.összehasonlító'!F17</f>
        <v>4183653</v>
      </c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141" t="e">
        <f>#REF!</f>
        <v>#REF!</v>
      </c>
      <c r="AF63" s="142" t="e">
        <f>#REF!</f>
        <v>#REF!</v>
      </c>
      <c r="AG63" s="142" t="e">
        <f>#REF!</f>
        <v>#REF!</v>
      </c>
      <c r="AH63" s="142" t="e">
        <f>#REF!</f>
        <v>#REF!</v>
      </c>
      <c r="AI63" s="142" t="e">
        <f>#REF!</f>
        <v>#REF!</v>
      </c>
      <c r="AJ63" s="142" t="e">
        <f>#REF!</f>
        <v>#REF!</v>
      </c>
    </row>
    <row r="64" spans="1:36" ht="27" customHeight="1">
      <c r="A64" s="484" t="s">
        <v>413</v>
      </c>
      <c r="B64" s="1292" t="s">
        <v>414</v>
      </c>
      <c r="C64" s="1292"/>
      <c r="D64" s="1292"/>
      <c r="E64" s="483"/>
      <c r="F64" s="483">
        <f>'2.sz.m.összehasonlító'!B30</f>
        <v>35838584</v>
      </c>
      <c r="G64" s="483">
        <f>'2.sz.m.összehasonlító'!C30</f>
        <v>35838584</v>
      </c>
      <c r="H64" s="483">
        <f>'2.sz.m.összehasonlító'!D30</f>
        <v>24815666</v>
      </c>
      <c r="I64" s="483">
        <f>'2.sz.m.összehasonlító'!E30</f>
        <v>13170409</v>
      </c>
      <c r="J64" s="483">
        <f>'2.sz.m.összehasonlító'!F30</f>
        <v>13170409</v>
      </c>
      <c r="K64" s="483"/>
      <c r="L64" s="483">
        <f>'2.sz.m.összehasonlító'!B30</f>
        <v>35838584</v>
      </c>
      <c r="M64" s="483">
        <f>'2.sz.m.összehasonlító'!C30</f>
        <v>35838584</v>
      </c>
      <c r="N64" s="483">
        <f>'2.sz.m.összehasonlító'!D30</f>
        <v>24815666</v>
      </c>
      <c r="O64" s="483">
        <f>'2.sz.m.összehasonlító'!E30</f>
        <v>13170409</v>
      </c>
      <c r="P64" s="483">
        <f>'2.sz.m.összehasonlító'!F30</f>
        <v>13170409</v>
      </c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141" t="e">
        <f>#REF!</f>
        <v>#REF!</v>
      </c>
      <c r="AF64" s="142" t="e">
        <f>#REF!</f>
        <v>#REF!</v>
      </c>
      <c r="AG64" s="142" t="e">
        <f>#REF!</f>
        <v>#REF!</v>
      </c>
      <c r="AH64" s="142" t="e">
        <f>#REF!</f>
        <v>#REF!</v>
      </c>
      <c r="AI64" s="142" t="e">
        <f>#REF!</f>
        <v>#REF!</v>
      </c>
      <c r="AJ64" s="142" t="e">
        <f>#REF!</f>
        <v>#REF!</v>
      </c>
    </row>
    <row r="65" spans="1:36" ht="27" customHeight="1">
      <c r="A65" s="485" t="s">
        <v>415</v>
      </c>
      <c r="B65" s="1291" t="s">
        <v>416</v>
      </c>
      <c r="C65" s="1291"/>
      <c r="D65" s="1291"/>
      <c r="E65" s="486"/>
      <c r="F65" s="486">
        <f aca="true" t="shared" si="20" ref="F65:M65">F34</f>
        <v>1276685</v>
      </c>
      <c r="G65" s="486">
        <f t="shared" si="20"/>
        <v>1276685</v>
      </c>
      <c r="H65" s="486">
        <f>H34</f>
        <v>1276685</v>
      </c>
      <c r="I65" s="486">
        <f>I34</f>
        <v>1276685</v>
      </c>
      <c r="J65" s="486">
        <f>J34</f>
        <v>1276685</v>
      </c>
      <c r="K65" s="486"/>
      <c r="L65" s="486">
        <f t="shared" si="20"/>
        <v>1276685</v>
      </c>
      <c r="M65" s="486">
        <f t="shared" si="20"/>
        <v>1276685</v>
      </c>
      <c r="N65" s="486">
        <f>N34</f>
        <v>1276685</v>
      </c>
      <c r="O65" s="486">
        <f>O34</f>
        <v>1276685</v>
      </c>
      <c r="P65" s="486">
        <f>P34</f>
        <v>1276685</v>
      </c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143">
        <f aca="true" t="shared" si="21" ref="AE65:AJ65">AE34</f>
        <v>0</v>
      </c>
      <c r="AF65" s="144">
        <f t="shared" si="21"/>
        <v>0</v>
      </c>
      <c r="AG65" s="144">
        <f t="shared" si="21"/>
        <v>0</v>
      </c>
      <c r="AH65" s="144">
        <f t="shared" si="21"/>
        <v>0</v>
      </c>
      <c r="AI65" s="144">
        <f t="shared" si="21"/>
        <v>0</v>
      </c>
      <c r="AJ65" s="144">
        <f t="shared" si="21"/>
        <v>0</v>
      </c>
    </row>
    <row r="66" spans="1:36" ht="27" customHeight="1">
      <c r="A66" s="482" t="s">
        <v>417</v>
      </c>
      <c r="B66" s="1292" t="s">
        <v>418</v>
      </c>
      <c r="C66" s="1292"/>
      <c r="D66" s="1292"/>
      <c r="E66" s="483"/>
      <c r="F66" s="483">
        <f aca="true" t="shared" si="22" ref="F66:M66">F34</f>
        <v>1276685</v>
      </c>
      <c r="G66" s="483">
        <f t="shared" si="22"/>
        <v>1276685</v>
      </c>
      <c r="H66" s="483">
        <f>H34</f>
        <v>1276685</v>
      </c>
      <c r="I66" s="483">
        <f>I34</f>
        <v>1276685</v>
      </c>
      <c r="J66" s="483">
        <f>J34</f>
        <v>1276685</v>
      </c>
      <c r="K66" s="483"/>
      <c r="L66" s="483">
        <f t="shared" si="22"/>
        <v>1276685</v>
      </c>
      <c r="M66" s="483">
        <f t="shared" si="22"/>
        <v>1276685</v>
      </c>
      <c r="N66" s="483">
        <f>N34</f>
        <v>1276685</v>
      </c>
      <c r="O66" s="483">
        <f>O34</f>
        <v>1276685</v>
      </c>
      <c r="P66" s="483">
        <f>P34</f>
        <v>1276685</v>
      </c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141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v>0</v>
      </c>
    </row>
    <row r="67" spans="1:36" ht="27" customHeight="1" thickBot="1">
      <c r="A67" s="487" t="s">
        <v>419</v>
      </c>
      <c r="B67" s="1293" t="s">
        <v>420</v>
      </c>
      <c r="C67" s="1293"/>
      <c r="D67" s="1293"/>
      <c r="E67" s="488"/>
      <c r="F67" s="488">
        <v>0</v>
      </c>
      <c r="G67" s="488">
        <v>0</v>
      </c>
      <c r="H67" s="488">
        <v>0</v>
      </c>
      <c r="I67" s="488">
        <v>0</v>
      </c>
      <c r="J67" s="488">
        <v>0</v>
      </c>
      <c r="K67" s="488"/>
      <c r="L67" s="488">
        <v>0</v>
      </c>
      <c r="M67" s="488">
        <v>0</v>
      </c>
      <c r="N67" s="488">
        <v>0</v>
      </c>
      <c r="O67" s="488">
        <v>0</v>
      </c>
      <c r="P67" s="488">
        <v>0</v>
      </c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145">
        <v>0</v>
      </c>
      <c r="AF67" s="146">
        <v>0</v>
      </c>
      <c r="AG67" s="146">
        <v>0</v>
      </c>
      <c r="AH67" s="146">
        <v>0</v>
      </c>
      <c r="AI67" s="146">
        <v>0</v>
      </c>
      <c r="AJ67" s="146">
        <v>0</v>
      </c>
    </row>
  </sheetData>
  <sheetProtection selectLockedCells="1" selectUnlockedCells="1"/>
  <mergeCells count="45">
    <mergeCell ref="R6:W6"/>
    <mergeCell ref="A1:AD1"/>
    <mergeCell ref="A2:B2"/>
    <mergeCell ref="A3:AD3"/>
    <mergeCell ref="A6:D6"/>
    <mergeCell ref="AD6:AJ6"/>
    <mergeCell ref="R5:AD5"/>
    <mergeCell ref="F6:K6"/>
    <mergeCell ref="L6:Q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L42"/>
    <mergeCell ref="B44:D44"/>
    <mergeCell ref="C46:L46"/>
    <mergeCell ref="C47:D47"/>
    <mergeCell ref="B63:D63"/>
    <mergeCell ref="B64:D64"/>
    <mergeCell ref="B48:D48"/>
    <mergeCell ref="B49:D49"/>
    <mergeCell ref="B50:D50"/>
    <mergeCell ref="C52:L52"/>
    <mergeCell ref="B65:D65"/>
    <mergeCell ref="B66:D66"/>
    <mergeCell ref="B67:D67"/>
    <mergeCell ref="B54:D54"/>
    <mergeCell ref="B55:D55"/>
    <mergeCell ref="B56:D56"/>
    <mergeCell ref="C58:L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30" min="1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A18" sqref="A18:D21"/>
    </sheetView>
  </sheetViews>
  <sheetFormatPr defaultColWidth="9.140625" defaultRowHeight="12.75"/>
  <cols>
    <col min="1" max="1" width="31.00390625" style="1191" customWidth="1"/>
    <col min="2" max="2" width="19.7109375" style="1192" customWidth="1"/>
    <col min="3" max="3" width="15.28125" style="1192" customWidth="1"/>
    <col min="4" max="4" width="14.28125" style="1192" customWidth="1"/>
    <col min="5" max="5" width="13.421875" style="1192" customWidth="1"/>
    <col min="6" max="6" width="13.8515625" style="1192" customWidth="1"/>
    <col min="7" max="7" width="12.8515625" style="1192" customWidth="1"/>
    <col min="8" max="8" width="13.57421875" style="1192" customWidth="1"/>
    <col min="9" max="16384" width="9.140625" style="1192" customWidth="1"/>
  </cols>
  <sheetData>
    <row r="1" spans="3:7" ht="15">
      <c r="C1" s="1193"/>
      <c r="F1" s="1475" t="s">
        <v>456</v>
      </c>
      <c r="G1" s="1475"/>
    </row>
    <row r="2" spans="1:7" ht="24.75" customHeight="1">
      <c r="A2" s="1476" t="s">
        <v>442</v>
      </c>
      <c r="B2" s="1476"/>
      <c r="C2" s="1476"/>
      <c r="D2" s="1476"/>
      <c r="E2" s="1476"/>
      <c r="F2" s="1476"/>
      <c r="G2" s="1476"/>
    </row>
    <row r="3" spans="1:7" ht="18.75" customHeight="1">
      <c r="A3" s="1477">
        <v>2018</v>
      </c>
      <c r="B3" s="1477"/>
      <c r="C3" s="1477"/>
      <c r="D3" s="1477"/>
      <c r="E3" s="1477"/>
      <c r="F3" s="1477"/>
      <c r="G3" s="1477"/>
    </row>
    <row r="4" spans="1:7" ht="24.75" customHeight="1">
      <c r="A4" s="1471" t="s">
        <v>443</v>
      </c>
      <c r="B4" s="1471"/>
      <c r="C4" s="1471"/>
      <c r="D4" s="1471"/>
      <c r="E4" s="1471"/>
      <c r="F4" s="1471"/>
      <c r="G4" s="1471"/>
    </row>
    <row r="5" spans="6:7" ht="15.75" thickBot="1">
      <c r="F5" s="1478" t="s">
        <v>478</v>
      </c>
      <c r="G5" s="1478"/>
    </row>
    <row r="6" spans="1:7" ht="24.75" customHeight="1" thickBot="1">
      <c r="A6" s="1472" t="s">
        <v>444</v>
      </c>
      <c r="B6" s="1473" t="s">
        <v>445</v>
      </c>
      <c r="C6" s="1473"/>
      <c r="D6" s="1473"/>
      <c r="E6" s="1474" t="s">
        <v>446</v>
      </c>
      <c r="F6" s="1474"/>
      <c r="G6" s="1474"/>
    </row>
    <row r="7" spans="1:7" ht="24.75" customHeight="1" thickBot="1">
      <c r="A7" s="1472"/>
      <c r="B7" s="1194" t="s">
        <v>447</v>
      </c>
      <c r="C7" s="1194" t="s">
        <v>448</v>
      </c>
      <c r="D7" s="1194" t="s">
        <v>449</v>
      </c>
      <c r="E7" s="1195" t="s">
        <v>447</v>
      </c>
      <c r="F7" s="1194" t="s">
        <v>450</v>
      </c>
      <c r="G7" s="1196" t="s">
        <v>449</v>
      </c>
    </row>
    <row r="8" spans="1:7" ht="33.75" customHeight="1">
      <c r="A8" s="1197" t="s">
        <v>21</v>
      </c>
      <c r="B8" s="1198"/>
      <c r="C8" s="1198"/>
      <c r="D8" s="1198"/>
      <c r="E8" s="1199"/>
      <c r="F8" s="1199"/>
      <c r="G8" s="1200"/>
    </row>
    <row r="9" spans="1:7" ht="33.75" customHeight="1">
      <c r="A9" s="1201" t="s">
        <v>451</v>
      </c>
      <c r="B9" s="1202"/>
      <c r="C9" s="1202"/>
      <c r="D9" s="1198"/>
      <c r="E9" s="1203"/>
      <c r="F9" s="1203"/>
      <c r="G9" s="1204"/>
    </row>
    <row r="10" spans="1:7" ht="33.75" customHeight="1">
      <c r="A10" s="1201" t="s">
        <v>452</v>
      </c>
      <c r="B10" s="1202">
        <v>101817</v>
      </c>
      <c r="C10" s="1202"/>
      <c r="D10" s="1198">
        <f>+B10+C10</f>
        <v>101817</v>
      </c>
      <c r="E10" s="1203">
        <v>19032</v>
      </c>
      <c r="F10" s="1203"/>
      <c r="G10" s="1204">
        <f>+E10+F10</f>
        <v>19032</v>
      </c>
    </row>
    <row r="11" spans="1:7" ht="33.75" customHeight="1">
      <c r="A11" s="1205" t="s">
        <v>19</v>
      </c>
      <c r="B11" s="1206"/>
      <c r="C11" s="1206">
        <v>6004314</v>
      </c>
      <c r="D11" s="1198">
        <f>+B11+C11</f>
        <v>6004314</v>
      </c>
      <c r="E11" s="1207"/>
      <c r="F11" s="1207"/>
      <c r="G11" s="1204"/>
    </row>
    <row r="12" spans="1:7" ht="33.75" customHeight="1" thickBot="1">
      <c r="A12" s="1208" t="s">
        <v>39</v>
      </c>
      <c r="B12" s="1209"/>
      <c r="C12" s="1209"/>
      <c r="D12" s="1198"/>
      <c r="E12" s="1210"/>
      <c r="F12" s="1210"/>
      <c r="G12" s="1211"/>
    </row>
    <row r="13" spans="1:7" ht="33.75" customHeight="1" thickBot="1">
      <c r="A13" s="1212" t="s">
        <v>290</v>
      </c>
      <c r="B13" s="1213">
        <f>SUM(B10:B12)</f>
        <v>101817</v>
      </c>
      <c r="C13" s="1213">
        <f>SUM(C8:C12)</f>
        <v>6004314</v>
      </c>
      <c r="D13" s="1213">
        <f>SUM(D8:D12)</f>
        <v>6106131</v>
      </c>
      <c r="E13" s="1213">
        <f>SUM(E10:E12)</f>
        <v>19032</v>
      </c>
      <c r="F13" s="1213"/>
      <c r="G13" s="1214">
        <f>SUM(G10:G12)</f>
        <v>19032</v>
      </c>
    </row>
    <row r="15" spans="1:7" ht="28.5" customHeight="1" thickBot="1">
      <c r="A15" s="1471" t="s">
        <v>453</v>
      </c>
      <c r="B15" s="1471"/>
      <c r="C15" s="1471"/>
      <c r="D15" s="1471"/>
      <c r="E15" s="1471"/>
      <c r="F15" s="1471"/>
      <c r="G15" s="1471"/>
    </row>
    <row r="16" spans="1:7" ht="16.5" customHeight="1" thickBot="1">
      <c r="A16" s="1472" t="s">
        <v>364</v>
      </c>
      <c r="B16" s="1473" t="s">
        <v>445</v>
      </c>
      <c r="C16" s="1473"/>
      <c r="D16" s="1473"/>
      <c r="E16" s="1474" t="s">
        <v>446</v>
      </c>
      <c r="F16" s="1474"/>
      <c r="G16" s="1474"/>
    </row>
    <row r="17" spans="1:7" ht="19.5" customHeight="1" thickBot="1">
      <c r="A17" s="1472"/>
      <c r="B17" s="1194" t="s">
        <v>447</v>
      </c>
      <c r="C17" s="1194" t="s">
        <v>448</v>
      </c>
      <c r="D17" s="1194" t="s">
        <v>449</v>
      </c>
      <c r="E17" s="1195" t="s">
        <v>447</v>
      </c>
      <c r="F17" s="1194" t="s">
        <v>450</v>
      </c>
      <c r="G17" s="1196" t="s">
        <v>449</v>
      </c>
    </row>
    <row r="18" spans="1:7" ht="30" customHeight="1">
      <c r="A18" s="1205" t="s">
        <v>454</v>
      </c>
      <c r="B18" s="1206">
        <v>686784</v>
      </c>
      <c r="C18" s="1206"/>
      <c r="D18" s="1198">
        <f>SUM(B18:C18)</f>
        <v>686784</v>
      </c>
      <c r="E18" s="1207"/>
      <c r="F18" s="1207"/>
      <c r="G18" s="1204"/>
    </row>
    <row r="19" spans="1:7" ht="30" customHeight="1">
      <c r="A19" s="1205" t="s">
        <v>559</v>
      </c>
      <c r="B19" s="1206">
        <v>105600</v>
      </c>
      <c r="C19" s="1206"/>
      <c r="D19" s="1198">
        <f>SUM(B19:C19)</f>
        <v>105600</v>
      </c>
      <c r="E19" s="1207"/>
      <c r="F19" s="1207"/>
      <c r="G19" s="1215"/>
    </row>
    <row r="20" spans="1:7" ht="29.25" customHeight="1" thickBot="1">
      <c r="A20" s="1208" t="s">
        <v>455</v>
      </c>
      <c r="B20" s="1209">
        <v>288133</v>
      </c>
      <c r="C20" s="1209"/>
      <c r="D20" s="1209">
        <f>SUM(B20:C20)</f>
        <v>288133</v>
      </c>
      <c r="E20" s="1210"/>
      <c r="F20" s="1210"/>
      <c r="G20" s="1211"/>
    </row>
    <row r="21" spans="1:7" s="1216" customFormat="1" ht="27.75" customHeight="1" thickBot="1">
      <c r="A21" s="1212" t="s">
        <v>290</v>
      </c>
      <c r="B21" s="1213">
        <f>SUM(B18:B20)</f>
        <v>1080517</v>
      </c>
      <c r="C21" s="1213"/>
      <c r="D21" s="1213">
        <f>SUM(D18:D20)</f>
        <v>1080517</v>
      </c>
      <c r="E21" s="1213"/>
      <c r="F21" s="1213"/>
      <c r="G21" s="1214"/>
    </row>
  </sheetData>
  <sheetProtection selectLockedCells="1" selectUnlockedCells="1"/>
  <mergeCells count="12">
    <mergeCell ref="F5:G5"/>
    <mergeCell ref="E6:G6"/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7">
      <selection activeCell="C19" sqref="C19"/>
    </sheetView>
  </sheetViews>
  <sheetFormatPr defaultColWidth="9.140625" defaultRowHeight="12.75"/>
  <cols>
    <col min="1" max="1" width="5.8515625" style="778" customWidth="1"/>
    <col min="2" max="2" width="42.57421875" style="777" customWidth="1"/>
    <col min="3" max="8" width="11.00390625" style="777" customWidth="1"/>
    <col min="9" max="9" width="12.28125" style="777" customWidth="1"/>
    <col min="10" max="10" width="2.8515625" style="777" customWidth="1"/>
    <col min="11" max="16384" width="9.140625" style="777" customWidth="1"/>
  </cols>
  <sheetData>
    <row r="1" spans="1:9" ht="27.75" customHeight="1">
      <c r="A1" s="1482" t="s">
        <v>560</v>
      </c>
      <c r="B1" s="1482"/>
      <c r="C1" s="1482"/>
      <c r="D1" s="1482"/>
      <c r="E1" s="1482"/>
      <c r="F1" s="1482"/>
      <c r="G1" s="1482"/>
      <c r="H1" s="1482"/>
      <c r="I1" s="1482"/>
    </row>
    <row r="2" ht="20.25" customHeight="1" thickBot="1">
      <c r="I2" s="779" t="str">
        <f>'[1]1. sz tájékoztató t.'!E2</f>
        <v>Forintban!</v>
      </c>
    </row>
    <row r="3" spans="1:9" s="780" customFormat="1" ht="26.25" customHeight="1">
      <c r="A3" s="1483" t="s">
        <v>561</v>
      </c>
      <c r="B3" s="1485" t="s">
        <v>562</v>
      </c>
      <c r="C3" s="1483" t="s">
        <v>563</v>
      </c>
      <c r="D3" s="1487" t="s">
        <v>583</v>
      </c>
      <c r="E3" s="1489" t="s">
        <v>564</v>
      </c>
      <c r="F3" s="1490"/>
      <c r="G3" s="1490"/>
      <c r="H3" s="1491"/>
      <c r="I3" s="1485" t="s">
        <v>290</v>
      </c>
    </row>
    <row r="4" spans="1:9" s="783" customFormat="1" ht="32.25" customHeight="1" thickBot="1">
      <c r="A4" s="1484"/>
      <c r="B4" s="1486"/>
      <c r="C4" s="1486"/>
      <c r="D4" s="1488"/>
      <c r="E4" s="781" t="s">
        <v>565</v>
      </c>
      <c r="F4" s="781" t="s">
        <v>584</v>
      </c>
      <c r="G4" s="781" t="s">
        <v>585</v>
      </c>
      <c r="H4" s="782" t="s">
        <v>586</v>
      </c>
      <c r="I4" s="1486"/>
    </row>
    <row r="5" spans="1:9" s="789" customFormat="1" ht="12.75" customHeight="1" thickBot="1">
      <c r="A5" s="784" t="s">
        <v>566</v>
      </c>
      <c r="B5" s="785" t="s">
        <v>567</v>
      </c>
      <c r="C5" s="786" t="s">
        <v>568</v>
      </c>
      <c r="D5" s="785" t="s">
        <v>569</v>
      </c>
      <c r="E5" s="784" t="s">
        <v>570</v>
      </c>
      <c r="F5" s="786" t="s">
        <v>571</v>
      </c>
      <c r="G5" s="786" t="s">
        <v>572</v>
      </c>
      <c r="H5" s="787" t="s">
        <v>573</v>
      </c>
      <c r="I5" s="788" t="s">
        <v>574</v>
      </c>
    </row>
    <row r="6" spans="1:9" ht="24.75" customHeight="1" thickBot="1">
      <c r="A6" s="790" t="s">
        <v>10</v>
      </c>
      <c r="B6" s="790" t="s">
        <v>575</v>
      </c>
      <c r="C6" s="791"/>
      <c r="D6" s="792">
        <f>+D7+D8</f>
        <v>0</v>
      </c>
      <c r="E6" s="793">
        <f>+E7+E8</f>
        <v>0</v>
      </c>
      <c r="F6" s="794">
        <f>+F7+F8</f>
        <v>0</v>
      </c>
      <c r="G6" s="794">
        <f>+G7+G8</f>
        <v>0</v>
      </c>
      <c r="H6" s="795">
        <f>+H7+H8</f>
        <v>0</v>
      </c>
      <c r="I6" s="796">
        <f aca="true" t="shared" si="0" ref="I6:I20">SUM(D6:H6)</f>
        <v>0</v>
      </c>
    </row>
    <row r="7" spans="1:10" ht="19.5" customHeight="1">
      <c r="A7" s="797" t="s">
        <v>162</v>
      </c>
      <c r="B7" s="797" t="s">
        <v>576</v>
      </c>
      <c r="C7" s="798"/>
      <c r="D7" s="799"/>
      <c r="E7" s="800"/>
      <c r="F7" s="801"/>
      <c r="G7" s="801"/>
      <c r="H7" s="802"/>
      <c r="I7" s="803">
        <f t="shared" si="0"/>
        <v>0</v>
      </c>
      <c r="J7" s="1479"/>
    </row>
    <row r="8" spans="1:10" ht="19.5" customHeight="1" thickBot="1">
      <c r="A8" s="797" t="s">
        <v>70</v>
      </c>
      <c r="B8" s="797" t="s">
        <v>576</v>
      </c>
      <c r="C8" s="798"/>
      <c r="D8" s="799"/>
      <c r="E8" s="800"/>
      <c r="F8" s="801"/>
      <c r="G8" s="801"/>
      <c r="H8" s="802"/>
      <c r="I8" s="803">
        <f t="shared" si="0"/>
        <v>0</v>
      </c>
      <c r="J8" s="1479"/>
    </row>
    <row r="9" spans="1:10" ht="25.5" customHeight="1" thickBot="1">
      <c r="A9" s="790" t="s">
        <v>87</v>
      </c>
      <c r="B9" s="790" t="s">
        <v>577</v>
      </c>
      <c r="C9" s="791"/>
      <c r="D9" s="792">
        <f>+D10+D11</f>
        <v>0</v>
      </c>
      <c r="E9" s="793">
        <f>+E10+E11</f>
        <v>0</v>
      </c>
      <c r="F9" s="794">
        <f>+F10+F11</f>
        <v>0</v>
      </c>
      <c r="G9" s="794">
        <f>+G10+G11</f>
        <v>0</v>
      </c>
      <c r="H9" s="795">
        <f>+H10+H11</f>
        <v>0</v>
      </c>
      <c r="I9" s="796">
        <f t="shared" si="0"/>
        <v>0</v>
      </c>
      <c r="J9" s="1479"/>
    </row>
    <row r="10" spans="1:10" ht="19.5" customHeight="1">
      <c r="A10" s="797" t="s">
        <v>100</v>
      </c>
      <c r="B10" s="797" t="s">
        <v>576</v>
      </c>
      <c r="C10" s="798"/>
      <c r="D10" s="799"/>
      <c r="E10" s="800"/>
      <c r="F10" s="801"/>
      <c r="G10" s="801"/>
      <c r="H10" s="802"/>
      <c r="I10" s="803">
        <f t="shared" si="0"/>
        <v>0</v>
      </c>
      <c r="J10" s="1479"/>
    </row>
    <row r="11" spans="1:10" ht="19.5" customHeight="1" thickBot="1">
      <c r="A11" s="797" t="s">
        <v>108</v>
      </c>
      <c r="B11" s="797" t="s">
        <v>576</v>
      </c>
      <c r="C11" s="798"/>
      <c r="D11" s="799"/>
      <c r="E11" s="800"/>
      <c r="F11" s="801"/>
      <c r="G11" s="801"/>
      <c r="H11" s="802"/>
      <c r="I11" s="803">
        <f t="shared" si="0"/>
        <v>0</v>
      </c>
      <c r="J11" s="1479"/>
    </row>
    <row r="12" spans="1:10" ht="19.5" customHeight="1" thickBot="1">
      <c r="A12" s="790" t="s">
        <v>117</v>
      </c>
      <c r="B12" s="790" t="s">
        <v>578</v>
      </c>
      <c r="C12" s="791"/>
      <c r="D12" s="793">
        <f>+D14+D13</f>
        <v>150000</v>
      </c>
      <c r="E12" s="793">
        <f>+E14+E13</f>
        <v>0</v>
      </c>
      <c r="F12" s="794">
        <f>+F14+F13</f>
        <v>9691332</v>
      </c>
      <c r="G12" s="794">
        <f>+G14+G13</f>
        <v>0</v>
      </c>
      <c r="H12" s="795">
        <f>+H14+H13</f>
        <v>0</v>
      </c>
      <c r="I12" s="796">
        <f>SUM(D12:H12)</f>
        <v>9841332</v>
      </c>
      <c r="J12" s="1479"/>
    </row>
    <row r="13" spans="1:10" ht="79.5" customHeight="1">
      <c r="A13" s="804" t="s">
        <v>119</v>
      </c>
      <c r="B13" s="805" t="s">
        <v>626</v>
      </c>
      <c r="C13" s="806" t="s">
        <v>579</v>
      </c>
      <c r="D13" s="807">
        <v>150000</v>
      </c>
      <c r="E13" s="808"/>
      <c r="F13" s="808">
        <f>+'6.a sz.m.fejlesztés (2)'!G10</f>
        <v>9691332</v>
      </c>
      <c r="G13" s="808"/>
      <c r="H13" s="809"/>
      <c r="I13" s="810">
        <f>SUM(D13:H13)</f>
        <v>9841332</v>
      </c>
      <c r="J13" s="1479"/>
    </row>
    <row r="14" spans="1:10" ht="13.5" thickBot="1">
      <c r="A14" s="797" t="s">
        <v>129</v>
      </c>
      <c r="B14" s="797"/>
      <c r="C14" s="798"/>
      <c r="D14" s="799"/>
      <c r="E14" s="800"/>
      <c r="F14" s="801"/>
      <c r="G14" s="801"/>
      <c r="H14" s="802"/>
      <c r="I14" s="803">
        <f t="shared" si="0"/>
        <v>0</v>
      </c>
      <c r="J14" s="1479"/>
    </row>
    <row r="15" spans="1:10" ht="19.5" customHeight="1" thickBot="1">
      <c r="A15" s="790" t="s">
        <v>358</v>
      </c>
      <c r="B15" s="790" t="s">
        <v>580</v>
      </c>
      <c r="C15" s="791"/>
      <c r="D15" s="792">
        <f>+D16</f>
        <v>0</v>
      </c>
      <c r="E15" s="793">
        <f>+E16+E17</f>
        <v>33516445</v>
      </c>
      <c r="F15" s="793">
        <f>+F16+F17</f>
        <v>14962678</v>
      </c>
      <c r="G15" s="794">
        <f>+G16</f>
        <v>0</v>
      </c>
      <c r="H15" s="795">
        <f>+H16</f>
        <v>0</v>
      </c>
      <c r="I15" s="796">
        <f t="shared" si="0"/>
        <v>48479123</v>
      </c>
      <c r="J15" s="1479"/>
    </row>
    <row r="16" spans="1:10" ht="103.5" customHeight="1">
      <c r="A16" s="811" t="s">
        <v>359</v>
      </c>
      <c r="B16" s="797" t="s">
        <v>606</v>
      </c>
      <c r="C16" s="798" t="s">
        <v>588</v>
      </c>
      <c r="D16" s="799"/>
      <c r="E16" s="800">
        <v>33516445</v>
      </c>
      <c r="F16" s="801"/>
      <c r="G16" s="801"/>
      <c r="H16" s="802"/>
      <c r="I16" s="803">
        <f>SUM(D16:H16)</f>
        <v>33516445</v>
      </c>
      <c r="J16" s="1479"/>
    </row>
    <row r="17" spans="1:10" ht="103.5" customHeight="1" thickBot="1">
      <c r="A17" s="906" t="s">
        <v>360</v>
      </c>
      <c r="B17" s="906" t="s">
        <v>643</v>
      </c>
      <c r="C17" s="806" t="s">
        <v>642</v>
      </c>
      <c r="D17" s="907"/>
      <c r="E17" s="908"/>
      <c r="F17" s="909">
        <v>14962678</v>
      </c>
      <c r="G17" s="909"/>
      <c r="H17" s="910"/>
      <c r="I17" s="803">
        <f>SUM(D17:H17)</f>
        <v>14962678</v>
      </c>
      <c r="J17" s="1479"/>
    </row>
    <row r="18" spans="1:10" ht="19.5" customHeight="1" thickBot="1">
      <c r="A18" s="812" t="s">
        <v>361</v>
      </c>
      <c r="B18" s="812" t="s">
        <v>581</v>
      </c>
      <c r="C18" s="791"/>
      <c r="D18" s="792">
        <f>+D20</f>
        <v>0</v>
      </c>
      <c r="E18" s="793">
        <f>SUM(E19:E20)</f>
        <v>3076647</v>
      </c>
      <c r="F18" s="794">
        <f>SUM(F19:F20)</f>
        <v>15882389</v>
      </c>
      <c r="G18" s="794">
        <f>SUM(G19:G20)</f>
        <v>3000000</v>
      </c>
      <c r="H18" s="795">
        <f>SUM(H19:H20)</f>
        <v>0</v>
      </c>
      <c r="I18" s="796">
        <f t="shared" si="0"/>
        <v>21959036</v>
      </c>
      <c r="J18" s="1479"/>
    </row>
    <row r="19" spans="1:10" ht="26.25" customHeight="1">
      <c r="A19" s="813" t="s">
        <v>582</v>
      </c>
      <c r="B19" s="797" t="s">
        <v>587</v>
      </c>
      <c r="C19" s="814" t="s">
        <v>588</v>
      </c>
      <c r="D19" s="815"/>
      <c r="E19" s="815">
        <v>3076647</v>
      </c>
      <c r="F19" s="913">
        <v>15882389</v>
      </c>
      <c r="G19" s="914">
        <v>3000000</v>
      </c>
      <c r="H19" s="915"/>
      <c r="I19" s="803">
        <f>SUM(D19:H19)</f>
        <v>21959036</v>
      </c>
      <c r="J19" s="1479"/>
    </row>
    <row r="20" spans="1:10" ht="20.25" customHeight="1" thickBot="1">
      <c r="A20" s="813" t="s">
        <v>362</v>
      </c>
      <c r="B20" s="797" t="s">
        <v>576</v>
      </c>
      <c r="C20" s="816"/>
      <c r="D20" s="817"/>
      <c r="E20" s="818"/>
      <c r="F20" s="819"/>
      <c r="G20" s="819"/>
      <c r="H20" s="820"/>
      <c r="I20" s="821">
        <f t="shared" si="0"/>
        <v>0</v>
      </c>
      <c r="J20" s="1479"/>
    </row>
    <row r="21" spans="1:10" ht="19.5" customHeight="1" thickBot="1">
      <c r="A21" s="1480" t="s">
        <v>290</v>
      </c>
      <c r="B21" s="1481"/>
      <c r="C21" s="822"/>
      <c r="D21" s="792">
        <f aca="true" t="shared" si="1" ref="D21:I21">+D6+D9+D12+D15+D18</f>
        <v>150000</v>
      </c>
      <c r="E21" s="793">
        <f>+E6+E9+E12+E15+E18</f>
        <v>36593092</v>
      </c>
      <c r="F21" s="794">
        <f>+F6+F9+F12+F15+F18</f>
        <v>40536399</v>
      </c>
      <c r="G21" s="794">
        <f t="shared" si="1"/>
        <v>3000000</v>
      </c>
      <c r="H21" s="795">
        <f t="shared" si="1"/>
        <v>0</v>
      </c>
      <c r="I21" s="796">
        <f t="shared" si="1"/>
        <v>80279491</v>
      </c>
      <c r="J21" s="1479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&amp;R16.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7"/>
  </sheetPr>
  <dimension ref="A1:C13"/>
  <sheetViews>
    <sheetView workbookViewId="0" topLeftCell="A1">
      <selection activeCell="A2" sqref="A2"/>
    </sheetView>
  </sheetViews>
  <sheetFormatPr defaultColWidth="60.421875" defaultRowHeight="12.75"/>
  <cols>
    <col min="1" max="1" width="60.421875" style="0" customWidth="1"/>
    <col min="2" max="2" width="5.57421875" style="0" customWidth="1"/>
    <col min="3" max="3" width="11.00390625" style="0" customWidth="1"/>
    <col min="4" max="4" width="14.8515625" style="0" customWidth="1"/>
    <col min="5" max="255" width="10.7109375" style="0" customWidth="1"/>
  </cols>
  <sheetData>
    <row r="1" spans="1:3" ht="15.75">
      <c r="A1" s="1496" t="s">
        <v>940</v>
      </c>
      <c r="B1" s="1496"/>
      <c r="C1" s="1011"/>
    </row>
    <row r="2" spans="1:3" ht="15.75">
      <c r="A2" s="1217"/>
      <c r="B2" s="1217"/>
      <c r="C2" s="1011"/>
    </row>
    <row r="3" spans="1:3" ht="15.75">
      <c r="A3" s="1217"/>
      <c r="B3" s="1217"/>
      <c r="C3" s="1011"/>
    </row>
    <row r="4" spans="1:3" ht="15.75">
      <c r="A4" s="1217"/>
      <c r="B4" s="1217"/>
      <c r="C4" s="1011"/>
    </row>
    <row r="5" spans="1:3" ht="13.5" thickBot="1">
      <c r="A5" s="1497" t="s">
        <v>478</v>
      </c>
      <c r="B5" s="1497"/>
      <c r="C5" s="1497"/>
    </row>
    <row r="6" spans="1:3" ht="28.5" customHeight="1">
      <c r="A6" s="1218" t="s">
        <v>907</v>
      </c>
      <c r="B6" s="1498" t="s">
        <v>908</v>
      </c>
      <c r="C6" s="1499"/>
    </row>
    <row r="7" spans="1:3" ht="12.75">
      <c r="A7" s="1219" t="s">
        <v>909</v>
      </c>
      <c r="B7" s="1492">
        <v>4130000</v>
      </c>
      <c r="C7" s="1493"/>
    </row>
    <row r="8" spans="1:3" ht="12.75" hidden="1">
      <c r="A8" s="1219" t="s">
        <v>910</v>
      </c>
      <c r="B8" s="1492"/>
      <c r="C8" s="1493"/>
    </row>
    <row r="9" spans="1:3" ht="12.75" hidden="1">
      <c r="A9" s="1219"/>
      <c r="B9" s="1492"/>
      <c r="C9" s="1493"/>
    </row>
    <row r="10" spans="1:3" ht="12.75" hidden="1">
      <c r="A10" s="1219"/>
      <c r="B10" s="1492"/>
      <c r="C10" s="1493"/>
    </row>
    <row r="11" spans="1:3" ht="12.75" hidden="1">
      <c r="A11" s="1219"/>
      <c r="B11" s="1492"/>
      <c r="C11" s="1493"/>
    </row>
    <row r="12" spans="1:3" ht="13.5" thickBot="1">
      <c r="A12" s="1220" t="s">
        <v>314</v>
      </c>
      <c r="B12" s="1494">
        <f>B7+B8+B9+B10+B11</f>
        <v>4130000</v>
      </c>
      <c r="C12" s="1495"/>
    </row>
    <row r="13" spans="1:3" ht="15.75">
      <c r="A13" s="1011"/>
      <c r="B13" s="1072"/>
      <c r="C13" s="1011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&amp;R17. számú melléklet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1222" bestFit="1" customWidth="1"/>
    <col min="2" max="2" width="42.7109375" style="1222" bestFit="1" customWidth="1"/>
    <col min="3" max="3" width="17.421875" style="1222" customWidth="1"/>
    <col min="4" max="4" width="9.8515625" style="1222" bestFit="1" customWidth="1"/>
    <col min="5" max="16384" width="9.140625" style="1222" customWidth="1"/>
  </cols>
  <sheetData>
    <row r="1" spans="1:3" ht="12.75" customHeight="1">
      <c r="A1" s="1221"/>
      <c r="B1" s="1500" t="s">
        <v>603</v>
      </c>
      <c r="C1" s="1500"/>
    </row>
    <row r="2" spans="1:3" ht="14.25">
      <c r="A2" s="1223"/>
      <c r="B2" s="1223"/>
      <c r="C2" s="1223"/>
    </row>
    <row r="3" spans="1:3" ht="14.25">
      <c r="A3" s="1501" t="s">
        <v>911</v>
      </c>
      <c r="B3" s="1501"/>
      <c r="C3" s="1501"/>
    </row>
    <row r="4" spans="1:3" ht="13.5" thickBot="1">
      <c r="A4" s="1221"/>
      <c r="B4" s="1221"/>
      <c r="C4" s="1224"/>
    </row>
    <row r="5" spans="1:3" ht="15" thickBot="1">
      <c r="A5" s="1225" t="s">
        <v>357</v>
      </c>
      <c r="B5" s="1226" t="s">
        <v>133</v>
      </c>
      <c r="C5" s="1227" t="s">
        <v>912</v>
      </c>
    </row>
    <row r="6" spans="1:3" ht="25.5">
      <c r="A6" s="1228" t="s">
        <v>10</v>
      </c>
      <c r="B6" s="1229" t="s">
        <v>941</v>
      </c>
      <c r="C6" s="1230">
        <f>C7+C8+C9+C10</f>
        <v>17192825</v>
      </c>
    </row>
    <row r="7" spans="1:3" ht="12.75">
      <c r="A7" s="1231" t="s">
        <v>162</v>
      </c>
      <c r="B7" s="1232" t="s">
        <v>913</v>
      </c>
      <c r="C7" s="1233">
        <v>17192825</v>
      </c>
    </row>
    <row r="8" spans="1:3" ht="12.75">
      <c r="A8" s="1231" t="s">
        <v>70</v>
      </c>
      <c r="B8" s="1232" t="s">
        <v>914</v>
      </c>
      <c r="C8" s="1233">
        <v>0</v>
      </c>
    </row>
    <row r="9" spans="1:3" ht="12.75">
      <c r="A9" s="1231" t="s">
        <v>87</v>
      </c>
      <c r="B9" s="1232" t="s">
        <v>915</v>
      </c>
      <c r="C9" s="1233">
        <v>0</v>
      </c>
    </row>
    <row r="10" spans="1:3" ht="13.5" thickBot="1">
      <c r="A10" s="1234" t="s">
        <v>100</v>
      </c>
      <c r="B10" s="1232" t="s">
        <v>916</v>
      </c>
      <c r="C10" s="1235">
        <v>0</v>
      </c>
    </row>
    <row r="11" spans="1:3" ht="25.5">
      <c r="A11" s="1236" t="s">
        <v>108</v>
      </c>
      <c r="B11" s="1237" t="s">
        <v>942</v>
      </c>
      <c r="C11" s="1238">
        <f>C12+C13+C14+C15</f>
        <v>21741618</v>
      </c>
    </row>
    <row r="12" spans="1:4" ht="12.75">
      <c r="A12" s="1231" t="s">
        <v>117</v>
      </c>
      <c r="B12" s="1232" t="s">
        <v>913</v>
      </c>
      <c r="C12" s="1233">
        <v>21741618</v>
      </c>
      <c r="D12" s="1256"/>
    </row>
    <row r="13" spans="1:3" ht="12.75">
      <c r="A13" s="1239" t="s">
        <v>119</v>
      </c>
      <c r="B13" s="1232" t="s">
        <v>914</v>
      </c>
      <c r="C13" s="1235">
        <v>0</v>
      </c>
    </row>
    <row r="14" spans="1:3" ht="12.75">
      <c r="A14" s="1239" t="s">
        <v>129</v>
      </c>
      <c r="B14" s="1232" t="s">
        <v>915</v>
      </c>
      <c r="C14" s="1235">
        <v>0</v>
      </c>
    </row>
    <row r="15" spans="1:3" ht="13.5" thickBot="1">
      <c r="A15" s="1240" t="s">
        <v>358</v>
      </c>
      <c r="B15" s="1241" t="s">
        <v>916</v>
      </c>
      <c r="C15" s="1242">
        <v>0</v>
      </c>
    </row>
  </sheetData>
  <sheetProtection/>
  <mergeCells count="2">
    <mergeCell ref="B1:C1"/>
    <mergeCell ref="A3:C3"/>
  </mergeCells>
  <conditionalFormatting sqref="C11">
    <cfRule type="cellIs" priority="1" dxfId="1" operator="notEqual" stopIfTrue="1">
      <formula>SUM(C12:C15)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9" sqref="C29:F29"/>
    </sheetView>
  </sheetViews>
  <sheetFormatPr defaultColWidth="9.140625" defaultRowHeight="12.75"/>
  <cols>
    <col min="1" max="1" width="35.00390625" style="0" customWidth="1"/>
    <col min="2" max="2" width="27.140625" style="0" customWidth="1"/>
    <col min="3" max="6" width="19.00390625" style="0" customWidth="1"/>
    <col min="7" max="7" width="19.00390625" style="0" hidden="1" customWidth="1"/>
  </cols>
  <sheetData>
    <row r="1" spans="1:7" ht="15">
      <c r="A1" s="1517" t="s">
        <v>917</v>
      </c>
      <c r="B1" s="1517"/>
      <c r="C1" s="1517"/>
      <c r="D1" s="1517"/>
      <c r="E1" s="1517"/>
      <c r="F1" s="1517"/>
      <c r="G1" s="1517"/>
    </row>
    <row r="2" spans="1:7" ht="18.75">
      <c r="A2" s="1518" t="s">
        <v>918</v>
      </c>
      <c r="B2" s="1518"/>
      <c r="C2" s="1518"/>
      <c r="D2" s="1518"/>
      <c r="E2" s="1518"/>
      <c r="F2" s="1518"/>
      <c r="G2" s="1518"/>
    </row>
    <row r="3" spans="1:7" ht="18.75">
      <c r="A3" s="1518" t="s">
        <v>919</v>
      </c>
      <c r="B3" s="1518"/>
      <c r="C3" s="1518"/>
      <c r="D3" s="1518"/>
      <c r="E3" s="1518"/>
      <c r="F3" s="1518"/>
      <c r="G3" s="1518"/>
    </row>
    <row r="4" spans="1:7" ht="15" thickBot="1">
      <c r="A4" s="1243"/>
      <c r="B4" s="1243"/>
      <c r="C4" s="1519" t="s">
        <v>920</v>
      </c>
      <c r="D4" s="1519"/>
      <c r="E4" s="1519"/>
      <c r="F4" s="1519"/>
      <c r="G4" s="1519"/>
    </row>
    <row r="5" spans="1:7" ht="16.5" thickBot="1">
      <c r="A5" s="1520" t="s">
        <v>921</v>
      </c>
      <c r="B5" s="1521"/>
      <c r="C5" s="1244">
        <v>2018</v>
      </c>
      <c r="D5" s="1244">
        <v>2019</v>
      </c>
      <c r="E5" s="1244">
        <v>2020</v>
      </c>
      <c r="F5" s="1244">
        <v>2021</v>
      </c>
      <c r="G5" s="1244">
        <v>2022</v>
      </c>
    </row>
    <row r="6" spans="1:7" ht="16.5" hidden="1" thickBot="1">
      <c r="A6" s="1245">
        <v>1</v>
      </c>
      <c r="B6" s="1246">
        <v>2</v>
      </c>
      <c r="C6" s="1247">
        <v>3</v>
      </c>
      <c r="D6" s="1247">
        <v>3</v>
      </c>
      <c r="E6" s="1247">
        <v>4</v>
      </c>
      <c r="F6" s="1247">
        <v>5</v>
      </c>
      <c r="G6" s="1247">
        <v>6</v>
      </c>
    </row>
    <row r="7" spans="1:7" ht="15.75">
      <c r="A7" s="1522" t="s">
        <v>14</v>
      </c>
      <c r="B7" s="1523"/>
      <c r="C7" s="1248">
        <f>+'1.sz.m-önk.össze.bev'!J8</f>
        <v>2200956</v>
      </c>
      <c r="D7" s="1248">
        <v>2180000</v>
      </c>
      <c r="E7" s="1248">
        <v>2180000</v>
      </c>
      <c r="F7" s="1248">
        <v>2180000</v>
      </c>
      <c r="G7" s="1248">
        <v>2180000</v>
      </c>
    </row>
    <row r="8" spans="1:7" ht="15.75">
      <c r="A8" s="1513" t="s">
        <v>922</v>
      </c>
      <c r="B8" s="1514"/>
      <c r="C8" s="1249">
        <f>+'1.sz.m-önk.össze.bev'!J13</f>
        <v>14327785</v>
      </c>
      <c r="D8" s="1249">
        <v>13500000</v>
      </c>
      <c r="E8" s="1249">
        <v>13500000</v>
      </c>
      <c r="F8" s="1249">
        <v>13500000</v>
      </c>
      <c r="G8" s="1249">
        <v>13500000</v>
      </c>
    </row>
    <row r="9" spans="1:7" ht="15.75">
      <c r="A9" s="1515" t="s">
        <v>923</v>
      </c>
      <c r="B9" s="1516"/>
      <c r="C9" s="1250"/>
      <c r="D9" s="1250">
        <v>0</v>
      </c>
      <c r="E9" s="1250">
        <v>0</v>
      </c>
      <c r="F9" s="1250">
        <v>0</v>
      </c>
      <c r="G9" s="1250">
        <v>0</v>
      </c>
    </row>
    <row r="10" spans="1:7" ht="15.75">
      <c r="A10" s="1515" t="s">
        <v>41</v>
      </c>
      <c r="B10" s="1516"/>
      <c r="C10" s="1250">
        <f>+'1.sz.m-önk.össze.bev'!J20</f>
        <v>1803152</v>
      </c>
      <c r="D10" s="1250">
        <v>1200000</v>
      </c>
      <c r="E10" s="1250">
        <v>1200000</v>
      </c>
      <c r="F10" s="1250">
        <v>1200000</v>
      </c>
      <c r="G10" s="1250">
        <v>1200000</v>
      </c>
    </row>
    <row r="11" spans="1:7" ht="16.5" thickBot="1">
      <c r="A11" s="1515" t="s">
        <v>924</v>
      </c>
      <c r="B11" s="1516"/>
      <c r="C11" s="1251">
        <f>+'1.sz.m-önk.össze.bev'!J27</f>
        <v>1380465</v>
      </c>
      <c r="D11" s="1251">
        <v>1206118</v>
      </c>
      <c r="E11" s="1251">
        <v>1206118</v>
      </c>
      <c r="F11" s="1251">
        <v>1206118</v>
      </c>
      <c r="G11" s="1251">
        <v>1206118</v>
      </c>
    </row>
    <row r="12" spans="1:7" ht="32.25" hidden="1" thickBot="1">
      <c r="A12" s="1252" t="s">
        <v>108</v>
      </c>
      <c r="B12" s="1253" t="s">
        <v>925</v>
      </c>
      <c r="C12" s="1250"/>
      <c r="D12" s="1250"/>
      <c r="E12" s="1250"/>
      <c r="F12" s="1250"/>
      <c r="G12" s="1250" t="e">
        <f>F12/D12</f>
        <v>#DIV/0!</v>
      </c>
    </row>
    <row r="13" spans="1:7" ht="16.5" thickBot="1">
      <c r="A13" s="1502" t="s">
        <v>926</v>
      </c>
      <c r="B13" s="1503"/>
      <c r="C13" s="1254">
        <f>SUM(C7:C12)</f>
        <v>19712358</v>
      </c>
      <c r="D13" s="1254">
        <f>SUM(D7:D12)</f>
        <v>18086118</v>
      </c>
      <c r="E13" s="1254">
        <f>SUM(E7:E12)</f>
        <v>18086118</v>
      </c>
      <c r="F13" s="1254">
        <f>SUM(F7:F12)</f>
        <v>18086118</v>
      </c>
      <c r="G13" s="1254">
        <f>SUM(G7:G11)</f>
        <v>18086118</v>
      </c>
    </row>
    <row r="14" spans="1:7" ht="16.5" thickBot="1">
      <c r="A14" s="1502" t="s">
        <v>927</v>
      </c>
      <c r="B14" s="1503"/>
      <c r="C14" s="1254">
        <f>C13/2</f>
        <v>9856179</v>
      </c>
      <c r="D14" s="1254">
        <f>D13/2</f>
        <v>9043059</v>
      </c>
      <c r="E14" s="1254">
        <f>E13/2</f>
        <v>9043059</v>
      </c>
      <c r="F14" s="1254">
        <f>F13/2</f>
        <v>9043059</v>
      </c>
      <c r="G14" s="1254">
        <f>G13/2</f>
        <v>9043059</v>
      </c>
    </row>
    <row r="15" spans="1:7" ht="16.5" thickBot="1">
      <c r="A15" s="1502" t="s">
        <v>928</v>
      </c>
      <c r="B15" s="1503"/>
      <c r="C15" s="1254">
        <v>0</v>
      </c>
      <c r="D15" s="1254">
        <v>0</v>
      </c>
      <c r="E15" s="1254">
        <v>0</v>
      </c>
      <c r="F15" s="1254">
        <v>0</v>
      </c>
      <c r="G15" s="1254">
        <v>0</v>
      </c>
    </row>
    <row r="16" spans="1:7" ht="16.5" thickBot="1">
      <c r="A16" s="1508" t="s">
        <v>943</v>
      </c>
      <c r="B16" s="1509"/>
      <c r="C16" s="1255">
        <v>0</v>
      </c>
      <c r="D16" s="1255">
        <v>0</v>
      </c>
      <c r="E16" s="1255">
        <v>0</v>
      </c>
      <c r="F16" s="1255">
        <v>0</v>
      </c>
      <c r="G16" s="1255">
        <v>0</v>
      </c>
    </row>
    <row r="17" spans="1:7" ht="16.5" thickBot="1">
      <c r="A17" s="1502" t="s">
        <v>929</v>
      </c>
      <c r="B17" s="1503"/>
      <c r="C17" s="1254">
        <v>0</v>
      </c>
      <c r="D17" s="1254">
        <v>0</v>
      </c>
      <c r="E17" s="1254">
        <v>0</v>
      </c>
      <c r="F17" s="1254">
        <v>0</v>
      </c>
      <c r="G17" s="1254">
        <v>0</v>
      </c>
    </row>
    <row r="18" spans="1:7" ht="16.5" thickBot="1">
      <c r="A18" s="1510"/>
      <c r="B18" s="1511"/>
      <c r="C18" s="1511"/>
      <c r="D18" s="1511"/>
      <c r="E18" s="1511"/>
      <c r="F18" s="1511"/>
      <c r="G18" s="1512"/>
    </row>
    <row r="19" spans="1:7" ht="16.5" thickBot="1">
      <c r="A19" s="1502" t="s">
        <v>944</v>
      </c>
      <c r="B19" s="1503"/>
      <c r="C19" s="1254"/>
      <c r="D19" s="1254"/>
      <c r="E19" s="1254"/>
      <c r="F19" s="1254"/>
      <c r="G19" s="1254"/>
    </row>
    <row r="20" spans="1:7" ht="16.5" thickBot="1">
      <c r="A20" s="1508" t="s">
        <v>930</v>
      </c>
      <c r="B20" s="1509"/>
      <c r="C20" s="1255">
        <v>0</v>
      </c>
      <c r="D20" s="1255">
        <v>0</v>
      </c>
      <c r="E20" s="1255">
        <v>0</v>
      </c>
      <c r="F20" s="1255">
        <v>0</v>
      </c>
      <c r="G20" s="1255">
        <v>0</v>
      </c>
    </row>
    <row r="21" spans="1:7" ht="16.5" thickBot="1">
      <c r="A21" s="1502" t="s">
        <v>931</v>
      </c>
      <c r="B21" s="1503"/>
      <c r="C21" s="1254">
        <v>0</v>
      </c>
      <c r="D21" s="1254">
        <v>0</v>
      </c>
      <c r="E21" s="1254">
        <v>0</v>
      </c>
      <c r="F21" s="1254">
        <v>0</v>
      </c>
      <c r="G21" s="1254">
        <v>0</v>
      </c>
    </row>
    <row r="22" spans="1:7" ht="16.5" thickBot="1">
      <c r="A22" s="1502"/>
      <c r="B22" s="1503"/>
      <c r="C22" s="1254"/>
      <c r="D22" s="1254"/>
      <c r="E22" s="1254"/>
      <c r="F22" s="1254"/>
      <c r="G22" s="1254"/>
    </row>
    <row r="23" spans="1:7" ht="16.5" thickBot="1">
      <c r="A23" s="1502" t="s">
        <v>932</v>
      </c>
      <c r="B23" s="1503"/>
      <c r="C23" s="1254"/>
      <c r="D23" s="1254"/>
      <c r="E23" s="1254"/>
      <c r="F23" s="1254"/>
      <c r="G23" s="1254"/>
    </row>
    <row r="24" spans="1:7" ht="16.5" thickBot="1">
      <c r="A24" s="1508" t="s">
        <v>933</v>
      </c>
      <c r="B24" s="1509"/>
      <c r="C24" s="1254">
        <f>+'[3]Munka1'!C29</f>
        <v>0</v>
      </c>
      <c r="D24" s="1254"/>
      <c r="E24" s="1254"/>
      <c r="F24" s="1254">
        <f>+'[3]Munka1'!F29</f>
        <v>0</v>
      </c>
      <c r="G24" s="1254"/>
    </row>
    <row r="25" spans="1:7" ht="16.5" thickBot="1">
      <c r="A25" s="1508" t="s">
        <v>934</v>
      </c>
      <c r="B25" s="1509"/>
      <c r="C25" s="1254"/>
      <c r="D25" s="1254"/>
      <c r="E25" s="1254"/>
      <c r="F25" s="1254">
        <f>+'[3]Munka1'!F30</f>
        <v>0</v>
      </c>
      <c r="G25" s="1254"/>
    </row>
    <row r="26" spans="1:7" ht="16.5" thickBot="1">
      <c r="A26" s="1508" t="s">
        <v>935</v>
      </c>
      <c r="B26" s="1509"/>
      <c r="C26" s="1254"/>
      <c r="D26" s="1254"/>
      <c r="E26" s="1254"/>
      <c r="F26" s="1254">
        <f>+'[3]Munka1'!F31</f>
        <v>0</v>
      </c>
      <c r="G26" s="1254"/>
    </row>
    <row r="27" spans="1:7" ht="16.5" thickBot="1">
      <c r="A27" s="1502" t="s">
        <v>936</v>
      </c>
      <c r="B27" s="1503"/>
      <c r="C27" s="1254">
        <f>SUM(C24:C26)</f>
        <v>0</v>
      </c>
      <c r="D27" s="1254">
        <f>SUM(D24:D26)</f>
        <v>0</v>
      </c>
      <c r="E27" s="1254">
        <f>SUM(E24:E26)</f>
        <v>0</v>
      </c>
      <c r="F27" s="1254">
        <f>SUM(F24:F26)</f>
        <v>0</v>
      </c>
      <c r="G27" s="1254"/>
    </row>
    <row r="28" spans="1:7" ht="54" customHeight="1" thickBot="1">
      <c r="A28" s="1504" t="s">
        <v>937</v>
      </c>
      <c r="B28" s="1505"/>
      <c r="C28" s="1254"/>
      <c r="D28" s="1254"/>
      <c r="E28" s="1254"/>
      <c r="F28" s="1254"/>
      <c r="G28" s="1254"/>
    </row>
    <row r="29" spans="1:7" ht="16.5" thickBot="1">
      <c r="A29" s="1502" t="s">
        <v>938</v>
      </c>
      <c r="B29" s="1503"/>
      <c r="C29" s="1254">
        <f>C14-C28</f>
        <v>9856179</v>
      </c>
      <c r="D29" s="1254">
        <f>D14-D28</f>
        <v>9043059</v>
      </c>
      <c r="E29" s="1254">
        <f>E14-E28</f>
        <v>9043059</v>
      </c>
      <c r="F29" s="1254">
        <f>F14-F28</f>
        <v>9043059</v>
      </c>
      <c r="G29" s="1254">
        <f>G14-G27</f>
        <v>9043059</v>
      </c>
    </row>
    <row r="31" spans="1:6" ht="12.75">
      <c r="A31" s="1506" t="s">
        <v>939</v>
      </c>
      <c r="B31" s="1507"/>
      <c r="C31" s="1507"/>
      <c r="D31" s="1507"/>
      <c r="E31" s="1507"/>
      <c r="F31" s="1507"/>
    </row>
    <row r="32" spans="1:6" ht="12.75">
      <c r="A32" s="1507"/>
      <c r="B32" s="1507"/>
      <c r="C32" s="1507"/>
      <c r="D32" s="1507"/>
      <c r="E32" s="1507"/>
      <c r="F32" s="1507"/>
    </row>
    <row r="33" spans="1:6" ht="12.75">
      <c r="A33" s="1507"/>
      <c r="B33" s="1507"/>
      <c r="C33" s="1507"/>
      <c r="D33" s="1507"/>
      <c r="E33" s="1507"/>
      <c r="F33" s="1507"/>
    </row>
    <row r="34" spans="1:6" ht="12.75">
      <c r="A34" s="1507"/>
      <c r="B34" s="1507"/>
      <c r="C34" s="1507"/>
      <c r="D34" s="1507"/>
      <c r="E34" s="1507"/>
      <c r="F34" s="1507"/>
    </row>
    <row r="35" spans="1:6" ht="12.75">
      <c r="A35" s="1507"/>
      <c r="B35" s="1507"/>
      <c r="C35" s="1507"/>
      <c r="D35" s="1507"/>
      <c r="E35" s="1507"/>
      <c r="F35" s="1507"/>
    </row>
  </sheetData>
  <sheetProtection/>
  <mergeCells count="28">
    <mergeCell ref="A1:G1"/>
    <mergeCell ref="A2:G2"/>
    <mergeCell ref="A3:G3"/>
    <mergeCell ref="C4:G4"/>
    <mergeCell ref="A5:B5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G18"/>
    <mergeCell ref="A19:B19"/>
    <mergeCell ref="A20:B20"/>
    <mergeCell ref="A27:B27"/>
    <mergeCell ref="A28:B28"/>
    <mergeCell ref="A29:B29"/>
    <mergeCell ref="A31:F35"/>
    <mergeCell ref="A21:B21"/>
    <mergeCell ref="A22:B22"/>
    <mergeCell ref="A23:B23"/>
    <mergeCell ref="A24:B24"/>
    <mergeCell ref="A25:B25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3">
      <selection activeCell="A12" sqref="A12"/>
    </sheetView>
  </sheetViews>
  <sheetFormatPr defaultColWidth="9.140625" defaultRowHeight="12.75"/>
  <cols>
    <col min="1" max="1" width="55.57421875" style="825" customWidth="1"/>
    <col min="2" max="2" width="27.7109375" style="825" customWidth="1"/>
    <col min="3" max="3" width="11.140625" style="824" customWidth="1"/>
    <col min="4" max="5" width="12.28125" style="824" hidden="1" customWidth="1"/>
    <col min="6" max="7" width="12.28125" style="824" customWidth="1"/>
    <col min="8" max="8" width="26.8515625" style="823" customWidth="1"/>
    <col min="9" max="9" width="12.00390625" style="823" customWidth="1"/>
    <col min="10" max="11" width="12.00390625" style="823" hidden="1" customWidth="1"/>
    <col min="12" max="12" width="11.7109375" style="823" customWidth="1"/>
    <col min="13" max="13" width="11.8515625" style="823" hidden="1" customWidth="1"/>
    <col min="14" max="14" width="11.00390625" style="823" hidden="1" customWidth="1"/>
    <col min="15" max="16" width="0" style="823" hidden="1" customWidth="1"/>
    <col min="17" max="17" width="9.8515625" style="823" bestFit="1" customWidth="1"/>
    <col min="18" max="19" width="0" style="823" hidden="1" customWidth="1"/>
    <col min="20" max="16384" width="9.140625" style="823" customWidth="1"/>
  </cols>
  <sheetData>
    <row r="1" spans="8:13" ht="12.75">
      <c r="H1" s="1528"/>
      <c r="I1" s="1528"/>
      <c r="J1" s="1528"/>
      <c r="K1" s="1528"/>
      <c r="L1" s="1528"/>
      <c r="M1" s="1528"/>
    </row>
    <row r="2" spans="2:13" ht="12.75">
      <c r="B2" s="1529" t="s">
        <v>596</v>
      </c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</row>
    <row r="3" spans="1:13" ht="26.25" customHeight="1">
      <c r="A3" s="1530" t="s">
        <v>601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</row>
    <row r="4" spans="1:13" ht="21" customHeight="1">
      <c r="A4" s="1531" t="s">
        <v>595</v>
      </c>
      <c r="B4" s="1531"/>
      <c r="C4" s="1531"/>
      <c r="D4" s="1531"/>
      <c r="E4" s="1531"/>
      <c r="F4" s="1531"/>
      <c r="G4" s="1531"/>
      <c r="H4" s="1531"/>
      <c r="I4" s="1531"/>
      <c r="J4" s="1531"/>
      <c r="K4" s="1531"/>
      <c r="L4" s="1531"/>
      <c r="M4" s="1531"/>
    </row>
    <row r="5" spans="9:10" ht="32.25" customHeight="1" thickBot="1">
      <c r="I5" s="858" t="s">
        <v>478</v>
      </c>
      <c r="J5" s="858"/>
    </row>
    <row r="6" spans="1:19" s="856" customFormat="1" ht="13.5" thickBot="1">
      <c r="A6" s="857" t="s">
        <v>133</v>
      </c>
      <c r="B6" s="1532" t="s">
        <v>594</v>
      </c>
      <c r="C6" s="1533"/>
      <c r="D6" s="1533"/>
      <c r="E6" s="862"/>
      <c r="F6" s="862"/>
      <c r="G6" s="862"/>
      <c r="H6" s="1532" t="s">
        <v>593</v>
      </c>
      <c r="I6" s="1533"/>
      <c r="J6" s="1533"/>
      <c r="K6" s="1532"/>
      <c r="L6" s="1533"/>
      <c r="M6" s="1533"/>
      <c r="N6" s="1532"/>
      <c r="O6" s="1533"/>
      <c r="P6" s="1533"/>
      <c r="Q6" s="1532"/>
      <c r="R6" s="1533"/>
      <c r="S6" s="1533"/>
    </row>
    <row r="7" spans="8:16" ht="12.75">
      <c r="H7" s="855"/>
      <c r="I7" s="854"/>
      <c r="J7" s="854"/>
      <c r="K7" s="854"/>
      <c r="L7" s="854"/>
      <c r="M7" s="854" t="s">
        <v>290</v>
      </c>
      <c r="N7" s="854"/>
      <c r="O7" s="854">
        <v>2019</v>
      </c>
      <c r="P7" s="854" t="s">
        <v>290</v>
      </c>
    </row>
    <row r="8" spans="1:17" ht="25.5">
      <c r="A8" s="853"/>
      <c r="B8" s="853"/>
      <c r="C8" s="851" t="s">
        <v>328</v>
      </c>
      <c r="D8" s="851" t="s">
        <v>599</v>
      </c>
      <c r="E8" s="851" t="s">
        <v>485</v>
      </c>
      <c r="F8" s="851" t="s">
        <v>496</v>
      </c>
      <c r="G8" s="851" t="s">
        <v>652</v>
      </c>
      <c r="H8" s="852"/>
      <c r="I8" s="851" t="s">
        <v>328</v>
      </c>
      <c r="J8" s="851" t="s">
        <v>599</v>
      </c>
      <c r="K8" s="851" t="s">
        <v>485</v>
      </c>
      <c r="L8" s="851" t="s">
        <v>496</v>
      </c>
      <c r="M8" s="851" t="s">
        <v>485</v>
      </c>
      <c r="N8" s="851" t="s">
        <v>496</v>
      </c>
      <c r="O8" s="851"/>
      <c r="P8" s="851"/>
      <c r="Q8" s="851" t="s">
        <v>652</v>
      </c>
    </row>
    <row r="9" spans="1:17" ht="20.25" customHeight="1">
      <c r="A9" s="850" t="s">
        <v>592</v>
      </c>
      <c r="B9" s="849" t="s">
        <v>351</v>
      </c>
      <c r="C9" s="847">
        <v>27505550</v>
      </c>
      <c r="D9" s="847">
        <f>+'6.a sz.m.fejlesztés (2)'!L29</f>
        <v>29123524</v>
      </c>
      <c r="E9" s="847">
        <f>+'6.a sz.m.fejlesztés (2)'!M29</f>
        <v>29123524</v>
      </c>
      <c r="F9" s="847">
        <f>+'6.a sz.m.fejlesztés (2)'!N29</f>
        <v>29074024</v>
      </c>
      <c r="G9" s="847">
        <v>24552808</v>
      </c>
      <c r="H9" s="848" t="s">
        <v>589</v>
      </c>
      <c r="I9" s="847">
        <v>33138445</v>
      </c>
      <c r="J9" s="847">
        <f>+'6.a sz.m.fejlesztés (2)'!F29</f>
        <v>33516445</v>
      </c>
      <c r="K9" s="847">
        <f>+'6.a sz.m.fejlesztés (2)'!G29</f>
        <v>33516445</v>
      </c>
      <c r="L9" s="847">
        <f>+'6.a sz.m.fejlesztés (2)'!H29</f>
        <v>33461445</v>
      </c>
      <c r="M9" s="847"/>
      <c r="N9" s="847">
        <f>+'6.a sz.m.fejlesztés (2)'!L29</f>
        <v>29123524</v>
      </c>
      <c r="O9" s="847"/>
      <c r="P9" s="847"/>
      <c r="Q9" s="847">
        <v>32738446</v>
      </c>
    </row>
    <row r="10" spans="1:17" ht="18" customHeight="1">
      <c r="A10" s="1534" t="s">
        <v>957</v>
      </c>
      <c r="B10" s="838" t="s">
        <v>591</v>
      </c>
      <c r="C10" s="837">
        <v>5632895</v>
      </c>
      <c r="D10" s="837">
        <f>+'6.a sz.m.fejlesztés (2)'!R29</f>
        <v>4392921</v>
      </c>
      <c r="E10" s="837">
        <f>+'6.a sz.m.fejlesztés (2)'!S29</f>
        <v>4392921</v>
      </c>
      <c r="F10" s="837">
        <f>+'6.a sz.m.fejlesztés (2)'!T29</f>
        <v>4387421</v>
      </c>
      <c r="G10" s="837">
        <f>+F10-722999</f>
        <v>3664422</v>
      </c>
      <c r="H10" s="836"/>
      <c r="I10" s="836"/>
      <c r="J10" s="836"/>
      <c r="K10" s="836"/>
      <c r="L10" s="836"/>
      <c r="M10" s="836"/>
      <c r="N10" s="836"/>
      <c r="O10" s="836"/>
      <c r="P10" s="836"/>
      <c r="Q10" s="837"/>
    </row>
    <row r="11" spans="1:17" ht="18.75" customHeight="1" thickBot="1">
      <c r="A11" s="1536"/>
      <c r="B11" s="835" t="s">
        <v>470</v>
      </c>
      <c r="C11" s="826">
        <f>C9+C10</f>
        <v>33138445</v>
      </c>
      <c r="D11" s="826">
        <f>D9+D10</f>
        <v>33516445</v>
      </c>
      <c r="E11" s="826">
        <f>E9+E10</f>
        <v>33516445</v>
      </c>
      <c r="F11" s="826">
        <f>F9+F10</f>
        <v>33461445</v>
      </c>
      <c r="G11" s="826">
        <f>G9+G10</f>
        <v>28217230</v>
      </c>
      <c r="H11" s="827" t="s">
        <v>471</v>
      </c>
      <c r="I11" s="826">
        <f aca="true" t="shared" si="0" ref="I11:Q11">I9+I10</f>
        <v>33138445</v>
      </c>
      <c r="J11" s="826">
        <f t="shared" si="0"/>
        <v>33516445</v>
      </c>
      <c r="K11" s="826">
        <f t="shared" si="0"/>
        <v>33516445</v>
      </c>
      <c r="L11" s="826">
        <f t="shared" si="0"/>
        <v>33461445</v>
      </c>
      <c r="M11" s="826">
        <f t="shared" si="0"/>
        <v>0</v>
      </c>
      <c r="N11" s="826">
        <f t="shared" si="0"/>
        <v>29123524</v>
      </c>
      <c r="O11" s="826">
        <f t="shared" si="0"/>
        <v>0</v>
      </c>
      <c r="P11" s="826">
        <f t="shared" si="0"/>
        <v>0</v>
      </c>
      <c r="Q11" s="826">
        <f t="shared" si="0"/>
        <v>32738446</v>
      </c>
    </row>
    <row r="12" spans="1:10" ht="12" customHeight="1">
      <c r="A12" s="846"/>
      <c r="I12" s="824"/>
      <c r="J12" s="824"/>
    </row>
    <row r="13" ht="13.5" thickBot="1"/>
    <row r="14" spans="1:17" ht="12.75">
      <c r="A14" s="834" t="s">
        <v>600</v>
      </c>
      <c r="B14" s="833" t="s">
        <v>351</v>
      </c>
      <c r="C14" s="831"/>
      <c r="D14" s="831">
        <v>21959036</v>
      </c>
      <c r="E14" s="831">
        <v>21959036</v>
      </c>
      <c r="F14" s="831">
        <v>21959036</v>
      </c>
      <c r="G14" s="831">
        <f>8267295+2117486</f>
        <v>10384781</v>
      </c>
      <c r="H14" s="832" t="s">
        <v>589</v>
      </c>
      <c r="I14" s="831"/>
      <c r="J14" s="831">
        <v>21959036</v>
      </c>
      <c r="K14" s="831">
        <v>21959036</v>
      </c>
      <c r="L14" s="831">
        <v>21959036</v>
      </c>
      <c r="M14" s="831"/>
      <c r="N14" s="831">
        <v>21959036</v>
      </c>
      <c r="O14" s="831"/>
      <c r="P14" s="831"/>
      <c r="Q14" s="831">
        <v>2962141</v>
      </c>
    </row>
    <row r="15" spans="1:18" ht="12.75">
      <c r="A15" s="1534" t="s">
        <v>602</v>
      </c>
      <c r="B15" s="1537" t="s">
        <v>591</v>
      </c>
      <c r="C15" s="1526"/>
      <c r="D15" s="1526"/>
      <c r="E15" s="1526"/>
      <c r="F15" s="1526"/>
      <c r="G15" s="830"/>
      <c r="H15" s="1524"/>
      <c r="I15" s="1524"/>
      <c r="J15" s="1524"/>
      <c r="K15" s="1524"/>
      <c r="L15" s="1524"/>
      <c r="M15" s="1524"/>
      <c r="N15" s="1524"/>
      <c r="O15" s="1524"/>
      <c r="P15" s="1524"/>
      <c r="Q15" s="1524"/>
      <c r="R15" s="824"/>
    </row>
    <row r="16" spans="1:17" ht="12.75">
      <c r="A16" s="1535"/>
      <c r="B16" s="1538"/>
      <c r="C16" s="1527"/>
      <c r="D16" s="1527"/>
      <c r="E16" s="1527"/>
      <c r="F16" s="1527"/>
      <c r="G16" s="829"/>
      <c r="H16" s="1525"/>
      <c r="I16" s="1525"/>
      <c r="J16" s="1525"/>
      <c r="K16" s="1525"/>
      <c r="L16" s="1525"/>
      <c r="M16" s="1525"/>
      <c r="N16" s="1525"/>
      <c r="O16" s="1525"/>
      <c r="P16" s="1525"/>
      <c r="Q16" s="1525"/>
    </row>
    <row r="17" spans="1:17" ht="13.5" thickBot="1">
      <c r="A17" s="1536"/>
      <c r="B17" s="828" t="s">
        <v>470</v>
      </c>
      <c r="C17" s="826">
        <f>C15+C16</f>
        <v>0</v>
      </c>
      <c r="D17" s="826">
        <f>D15+D16+D14</f>
        <v>21959036</v>
      </c>
      <c r="E17" s="826">
        <f>E15+E16+E14</f>
        <v>21959036</v>
      </c>
      <c r="F17" s="826">
        <f>F15+F16+F14</f>
        <v>21959036</v>
      </c>
      <c r="G17" s="826">
        <f>G15+G16+G14</f>
        <v>10384781</v>
      </c>
      <c r="H17" s="827" t="s">
        <v>471</v>
      </c>
      <c r="I17" s="826">
        <f aca="true" t="shared" si="1" ref="I17:Q17">I14+I16</f>
        <v>0</v>
      </c>
      <c r="J17" s="826">
        <f t="shared" si="1"/>
        <v>21959036</v>
      </c>
      <c r="K17" s="826">
        <f t="shared" si="1"/>
        <v>21959036</v>
      </c>
      <c r="L17" s="826">
        <f t="shared" si="1"/>
        <v>21959036</v>
      </c>
      <c r="M17" s="826">
        <f t="shared" si="1"/>
        <v>0</v>
      </c>
      <c r="N17" s="826">
        <f t="shared" si="1"/>
        <v>21959036</v>
      </c>
      <c r="O17" s="826">
        <f t="shared" si="1"/>
        <v>0</v>
      </c>
      <c r="P17" s="826">
        <f t="shared" si="1"/>
        <v>0</v>
      </c>
      <c r="Q17" s="826">
        <f t="shared" si="1"/>
        <v>2962141</v>
      </c>
    </row>
    <row r="18" spans="1:10" ht="12.75">
      <c r="A18" s="846"/>
      <c r="B18" s="845"/>
      <c r="I18" s="824"/>
      <c r="J18" s="824"/>
    </row>
    <row r="19" ht="13.5" thickBot="1"/>
    <row r="20" spans="1:17" ht="12.75">
      <c r="A20" s="834" t="s">
        <v>627</v>
      </c>
      <c r="B20" s="844" t="s">
        <v>590</v>
      </c>
      <c r="C20" s="843"/>
      <c r="D20" s="843"/>
      <c r="E20" s="843">
        <v>8023860</v>
      </c>
      <c r="F20" s="843">
        <v>8023860</v>
      </c>
      <c r="G20" s="843">
        <v>0</v>
      </c>
      <c r="H20" s="842" t="s">
        <v>589</v>
      </c>
      <c r="I20" s="831">
        <v>0</v>
      </c>
      <c r="J20" s="831"/>
      <c r="K20" s="831">
        <f>+'6.a sz.m.fejlesztés (2)'!G10</f>
        <v>9691332</v>
      </c>
      <c r="L20" s="831">
        <f>+'6.a sz.m.fejlesztés (2)'!H10</f>
        <v>9691332</v>
      </c>
      <c r="M20" s="831">
        <f>SUM(I20:L20)</f>
        <v>19382664</v>
      </c>
      <c r="N20" s="831">
        <f>+'6.a sz.m.fejlesztés (2)'!L10</f>
        <v>7578090</v>
      </c>
      <c r="O20" s="831">
        <v>0</v>
      </c>
      <c r="P20" s="831">
        <f>SUM(L20:O20)</f>
        <v>36652086</v>
      </c>
      <c r="Q20" s="831">
        <v>0</v>
      </c>
    </row>
    <row r="21" spans="1:17" ht="12.75">
      <c r="A21" s="1534" t="s">
        <v>628</v>
      </c>
      <c r="B21" s="841"/>
      <c r="C21" s="840"/>
      <c r="D21" s="840"/>
      <c r="E21" s="840"/>
      <c r="F21" s="840"/>
      <c r="G21" s="840"/>
      <c r="H21" s="839"/>
      <c r="I21" s="1524"/>
      <c r="J21" s="1524"/>
      <c r="K21" s="1524"/>
      <c r="L21" s="1524"/>
      <c r="M21" s="1524"/>
      <c r="N21" s="1524"/>
      <c r="O21" s="1524"/>
      <c r="P21" s="1524"/>
      <c r="Q21" s="1524"/>
    </row>
    <row r="22" spans="1:17" ht="12.75">
      <c r="A22" s="1535"/>
      <c r="B22" s="904" t="s">
        <v>591</v>
      </c>
      <c r="C22" s="837"/>
      <c r="D22" s="837"/>
      <c r="E22" s="837">
        <f>+'6.a sz.m.fejlesztés (2)'!S10</f>
        <v>1667472</v>
      </c>
      <c r="F22" s="837">
        <f>+'6.a sz.m.fejlesztés (2)'!T10</f>
        <v>1667472</v>
      </c>
      <c r="G22" s="837">
        <v>0</v>
      </c>
      <c r="H22" s="836"/>
      <c r="I22" s="1525"/>
      <c r="J22" s="1525"/>
      <c r="K22" s="1525"/>
      <c r="L22" s="1525"/>
      <c r="M22" s="1525"/>
      <c r="N22" s="1525"/>
      <c r="O22" s="1525"/>
      <c r="P22" s="1525"/>
      <c r="Q22" s="1525"/>
    </row>
    <row r="23" spans="1:17" ht="13.5" thickBot="1">
      <c r="A23" s="1536"/>
      <c r="B23" s="835" t="s">
        <v>470</v>
      </c>
      <c r="C23" s="826">
        <f>C21+C22+C20</f>
        <v>0</v>
      </c>
      <c r="D23" s="826">
        <v>0</v>
      </c>
      <c r="E23" s="826">
        <f>+E22+E20</f>
        <v>9691332</v>
      </c>
      <c r="F23" s="826">
        <f>+F22+F20</f>
        <v>9691332</v>
      </c>
      <c r="G23" s="826">
        <f>+G22+G20</f>
        <v>0</v>
      </c>
      <c r="H23" s="827" t="s">
        <v>471</v>
      </c>
      <c r="I23" s="826">
        <f aca="true" t="shared" si="2" ref="I23:N23">I20+I22</f>
        <v>0</v>
      </c>
      <c r="J23" s="826">
        <f t="shared" si="2"/>
        <v>0</v>
      </c>
      <c r="K23" s="826">
        <f t="shared" si="2"/>
        <v>9691332</v>
      </c>
      <c r="L23" s="826">
        <f t="shared" si="2"/>
        <v>9691332</v>
      </c>
      <c r="M23" s="826">
        <f t="shared" si="2"/>
        <v>19382664</v>
      </c>
      <c r="N23" s="826">
        <f t="shared" si="2"/>
        <v>7578090</v>
      </c>
      <c r="O23" s="826"/>
      <c r="P23" s="826">
        <f>P20+P22</f>
        <v>36652086</v>
      </c>
      <c r="Q23" s="826">
        <v>0</v>
      </c>
    </row>
    <row r="24" ht="13.5" thickBot="1"/>
    <row r="25" spans="1:17" ht="12.75">
      <c r="A25" s="834" t="s">
        <v>644</v>
      </c>
      <c r="B25" s="833" t="s">
        <v>351</v>
      </c>
      <c r="C25" s="831"/>
      <c r="D25" s="831"/>
      <c r="E25" s="831"/>
      <c r="F25" s="831">
        <v>10532459</v>
      </c>
      <c r="G25" s="831">
        <v>0</v>
      </c>
      <c r="H25" s="832" t="s">
        <v>589</v>
      </c>
      <c r="I25" s="831"/>
      <c r="J25" s="831"/>
      <c r="K25" s="831"/>
      <c r="L25" s="831">
        <v>14962678</v>
      </c>
      <c r="M25" s="831">
        <f>SUM(I25:L25)</f>
        <v>14962678</v>
      </c>
      <c r="N25" s="831"/>
      <c r="O25" s="831">
        <v>0</v>
      </c>
      <c r="P25" s="831">
        <f>SUM(L25:O25)</f>
        <v>29925356</v>
      </c>
      <c r="Q25" s="831">
        <v>0</v>
      </c>
    </row>
    <row r="26" spans="1:17" ht="12.75">
      <c r="A26" s="1534" t="s">
        <v>645</v>
      </c>
      <c r="B26" s="1539" t="s">
        <v>591</v>
      </c>
      <c r="C26" s="1526"/>
      <c r="D26" s="830"/>
      <c r="E26" s="830"/>
      <c r="F26" s="830"/>
      <c r="G26" s="830"/>
      <c r="H26" s="1524"/>
      <c r="I26" s="1524"/>
      <c r="J26" s="1524"/>
      <c r="K26" s="1524"/>
      <c r="L26" s="1524"/>
      <c r="M26" s="1524"/>
      <c r="N26" s="1524"/>
      <c r="O26" s="1524"/>
      <c r="P26" s="1524"/>
      <c r="Q26" s="1524"/>
    </row>
    <row r="27" spans="1:17" ht="12.75">
      <c r="A27" s="1535"/>
      <c r="B27" s="1538"/>
      <c r="C27" s="1527"/>
      <c r="D27" s="829"/>
      <c r="E27" s="829"/>
      <c r="F27" s="829">
        <v>4430219</v>
      </c>
      <c r="G27" s="829"/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</row>
    <row r="28" spans="1:17" ht="13.5" thickBot="1">
      <c r="A28" s="1536"/>
      <c r="B28" s="828" t="s">
        <v>470</v>
      </c>
      <c r="C28" s="826">
        <f>C25+C27</f>
        <v>0</v>
      </c>
      <c r="D28" s="826">
        <v>0</v>
      </c>
      <c r="E28" s="826">
        <v>0</v>
      </c>
      <c r="F28" s="826">
        <f>+F25+F27</f>
        <v>14962678</v>
      </c>
      <c r="G28" s="826">
        <f>+G25+G27</f>
        <v>0</v>
      </c>
      <c r="H28" s="827" t="s">
        <v>471</v>
      </c>
      <c r="I28" s="826">
        <f aca="true" t="shared" si="3" ref="I28:P28">I25+I27</f>
        <v>0</v>
      </c>
      <c r="J28" s="826">
        <f t="shared" si="3"/>
        <v>0</v>
      </c>
      <c r="K28" s="826">
        <f t="shared" si="3"/>
        <v>0</v>
      </c>
      <c r="L28" s="826">
        <f t="shared" si="3"/>
        <v>14962678</v>
      </c>
      <c r="M28" s="826">
        <f t="shared" si="3"/>
        <v>14962678</v>
      </c>
      <c r="N28" s="826">
        <f t="shared" si="3"/>
        <v>0</v>
      </c>
      <c r="O28" s="826">
        <f t="shared" si="3"/>
        <v>0</v>
      </c>
      <c r="P28" s="826">
        <f t="shared" si="3"/>
        <v>29925356</v>
      </c>
      <c r="Q28" s="826">
        <v>0</v>
      </c>
    </row>
    <row r="32" spans="1:11" ht="12.75">
      <c r="A32" s="1540" t="s">
        <v>902</v>
      </c>
      <c r="B32" s="1540"/>
      <c r="C32" s="1540"/>
      <c r="D32" s="1540"/>
      <c r="E32" s="1540"/>
      <c r="F32" s="1540"/>
      <c r="G32" s="1540"/>
      <c r="H32" s="1540"/>
      <c r="I32" s="1540"/>
      <c r="J32" s="1540"/>
      <c r="K32" s="1540"/>
    </row>
    <row r="33" spans="1:11" ht="12.75">
      <c r="A33" s="1540"/>
      <c r="B33" s="1540"/>
      <c r="C33" s="1540"/>
      <c r="D33" s="1540"/>
      <c r="E33" s="1540"/>
      <c r="F33" s="1540"/>
      <c r="G33" s="1540"/>
      <c r="H33" s="1540"/>
      <c r="I33" s="1540"/>
      <c r="J33" s="1540"/>
      <c r="K33" s="1540"/>
    </row>
    <row r="34" spans="1:11" ht="12.75">
      <c r="A34" s="1540"/>
      <c r="B34" s="1540"/>
      <c r="C34" s="1540"/>
      <c r="D34" s="1540"/>
      <c r="E34" s="1540"/>
      <c r="F34" s="1540"/>
      <c r="G34" s="1540"/>
      <c r="H34" s="1540"/>
      <c r="I34" s="1540"/>
      <c r="J34" s="1540"/>
      <c r="K34" s="1540"/>
    </row>
  </sheetData>
  <sheetProtection/>
  <mergeCells count="50">
    <mergeCell ref="A32:K34"/>
    <mergeCell ref="Q15:Q16"/>
    <mergeCell ref="Q21:Q22"/>
    <mergeCell ref="Q26:Q27"/>
    <mergeCell ref="Q6:S6"/>
    <mergeCell ref="N26:N27"/>
    <mergeCell ref="O26:O27"/>
    <mergeCell ref="P26:P27"/>
    <mergeCell ref="N6:P6"/>
    <mergeCell ref="N15:N16"/>
    <mergeCell ref="O15:O16"/>
    <mergeCell ref="P15:P16"/>
    <mergeCell ref="N21:N22"/>
    <mergeCell ref="O21:O22"/>
    <mergeCell ref="P21:P22"/>
    <mergeCell ref="M21:M22"/>
    <mergeCell ref="A26:A28"/>
    <mergeCell ref="B26:B27"/>
    <mergeCell ref="C26:C27"/>
    <mergeCell ref="H26:H27"/>
    <mergeCell ref="I26:I27"/>
    <mergeCell ref="J26:J27"/>
    <mergeCell ref="K26:K27"/>
    <mergeCell ref="L26:L27"/>
    <mergeCell ref="M26:M27"/>
    <mergeCell ref="I15:I16"/>
    <mergeCell ref="J15:J16"/>
    <mergeCell ref="K15:K16"/>
    <mergeCell ref="L15:L16"/>
    <mergeCell ref="M15:M16"/>
    <mergeCell ref="A21:A23"/>
    <mergeCell ref="I21:I22"/>
    <mergeCell ref="J21:J22"/>
    <mergeCell ref="K21:K22"/>
    <mergeCell ref="L21:L22"/>
    <mergeCell ref="A10:A11"/>
    <mergeCell ref="A15:A17"/>
    <mergeCell ref="B15:B16"/>
    <mergeCell ref="C15:C16"/>
    <mergeCell ref="D15:D16"/>
    <mergeCell ref="H15:H16"/>
    <mergeCell ref="E15:E16"/>
    <mergeCell ref="F15:F16"/>
    <mergeCell ref="H1:M1"/>
    <mergeCell ref="B2:M2"/>
    <mergeCell ref="A3:M3"/>
    <mergeCell ref="A4:M4"/>
    <mergeCell ref="B6:D6"/>
    <mergeCell ref="H6:J6"/>
    <mergeCell ref="K6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3">
      <selection activeCell="F37" sqref="F37"/>
    </sheetView>
  </sheetViews>
  <sheetFormatPr defaultColWidth="9.140625" defaultRowHeight="12.75"/>
  <cols>
    <col min="1" max="1" width="39.00390625" style="147" customWidth="1"/>
    <col min="2" max="2" width="12.57421875" style="147" customWidth="1"/>
    <col min="3" max="4" width="12.57421875" style="147" hidden="1" customWidth="1"/>
    <col min="5" max="7" width="12.57421875" style="147" customWidth="1"/>
    <col min="8" max="8" width="36.7109375" style="147" customWidth="1"/>
    <col min="9" max="9" width="12.7109375" style="147" customWidth="1"/>
    <col min="10" max="10" width="12.140625" style="147" hidden="1" customWidth="1"/>
    <col min="11" max="11" width="13.28125" style="147" hidden="1" customWidth="1"/>
    <col min="12" max="12" width="13.00390625" style="147" customWidth="1"/>
    <col min="13" max="13" width="14.140625" style="147" customWidth="1"/>
    <col min="14" max="14" width="15.28125" style="147" customWidth="1"/>
    <col min="15" max="16384" width="9.140625" style="147" customWidth="1"/>
  </cols>
  <sheetData>
    <row r="1" spans="8:12" ht="12.75">
      <c r="H1" s="1331" t="s">
        <v>193</v>
      </c>
      <c r="I1" s="1331"/>
      <c r="J1" s="1331"/>
      <c r="K1" s="1331"/>
      <c r="L1" s="1331"/>
    </row>
    <row r="2" spans="1:12" ht="14.25" customHeight="1">
      <c r="A2" s="1330" t="s">
        <v>422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</row>
    <row r="3" spans="1:8" ht="11.25" customHeight="1">
      <c r="A3" s="666"/>
      <c r="B3" s="666"/>
      <c r="C3" s="666"/>
      <c r="D3" s="666"/>
      <c r="E3" s="666"/>
      <c r="F3" s="666"/>
      <c r="G3" s="666"/>
      <c r="H3" s="7"/>
    </row>
    <row r="4" spans="1:12" ht="17.25" customHeight="1" thickBot="1">
      <c r="A4" s="1328" t="s">
        <v>194</v>
      </c>
      <c r="B4" s="1329"/>
      <c r="C4" s="1329"/>
      <c r="D4" s="1329"/>
      <c r="E4" s="1329"/>
      <c r="F4" s="1329"/>
      <c r="G4" s="1329"/>
      <c r="H4" s="1328"/>
      <c r="I4" s="1268" t="s">
        <v>478</v>
      </c>
      <c r="J4" s="1268"/>
      <c r="K4" s="1268"/>
      <c r="L4" s="1268"/>
    </row>
    <row r="5" spans="1:14" ht="22.5" customHeight="1" thickBot="1">
      <c r="A5" s="667" t="s">
        <v>132</v>
      </c>
      <c r="B5" s="668" t="s">
        <v>6</v>
      </c>
      <c r="C5" s="718" t="s">
        <v>135</v>
      </c>
      <c r="D5" s="718" t="s">
        <v>136</v>
      </c>
      <c r="E5" s="718" t="s">
        <v>137</v>
      </c>
      <c r="F5" s="718" t="s">
        <v>286</v>
      </c>
      <c r="G5" s="718" t="s">
        <v>291</v>
      </c>
      <c r="H5" s="669" t="s">
        <v>195</v>
      </c>
      <c r="I5" s="668" t="s">
        <v>6</v>
      </c>
      <c r="J5" s="718" t="s">
        <v>135</v>
      </c>
      <c r="K5" s="718" t="s">
        <v>136</v>
      </c>
      <c r="L5" s="718" t="s">
        <v>137</v>
      </c>
      <c r="M5" s="718" t="s">
        <v>286</v>
      </c>
      <c r="N5" s="718"/>
    </row>
    <row r="6" spans="1:14" ht="12.75">
      <c r="A6" s="670" t="s">
        <v>196</v>
      </c>
      <c r="B6" s="671">
        <f>'3.sz.m Önk  bev.'!F7</f>
        <v>16897600</v>
      </c>
      <c r="C6" s="671">
        <f>'3.sz.m Önk  bev.'!G7</f>
        <v>16897600</v>
      </c>
      <c r="D6" s="671">
        <f>'3.sz.m Önk  bev.'!H7</f>
        <v>16897600</v>
      </c>
      <c r="E6" s="671">
        <f>'3.sz.m Önk  bev.'!I7</f>
        <v>20957302</v>
      </c>
      <c r="F6" s="671">
        <f>'3.sz.m Önk  bev.'!J7</f>
        <v>20210612</v>
      </c>
      <c r="G6" s="1170">
        <f>+F6/E6</f>
        <v>0.9643708908713535</v>
      </c>
      <c r="H6" s="426" t="s">
        <v>197</v>
      </c>
      <c r="I6" s="672">
        <f>'1 .sz.m.önk.össz.kiad.'!F10</f>
        <v>44933519</v>
      </c>
      <c r="J6" s="672">
        <f>'1 .sz.m.önk.össz.kiad.'!G10</f>
        <v>43613519</v>
      </c>
      <c r="K6" s="672">
        <f>'1 .sz.m.önk.össz.kiad.'!H10</f>
        <v>43818262</v>
      </c>
      <c r="L6" s="672">
        <f>'1 .sz.m.önk.össz.kiad.'!I10</f>
        <v>41704637</v>
      </c>
      <c r="M6" s="672">
        <f>'1 .sz.m.önk.össz.kiad.'!J10</f>
        <v>36184035</v>
      </c>
      <c r="N6" s="1178">
        <f aca="true" t="shared" si="0" ref="N6:N18">+M6/L6</f>
        <v>0.8676261826712459</v>
      </c>
    </row>
    <row r="7" spans="1:14" ht="12.75">
      <c r="A7" s="673" t="s">
        <v>198</v>
      </c>
      <c r="B7" s="674">
        <f>'3.sz.m Önk  bev.'!F21+'5. sz. m óvoda'!J9</f>
        <v>11404623</v>
      </c>
      <c r="C7" s="674">
        <f>'3.sz.m Önk  bev.'!G21+'5. sz. m óvoda'!K9</f>
        <v>11481507</v>
      </c>
      <c r="D7" s="674">
        <f>'3.sz.m Önk  bev.'!H21+'5. sz. m óvoda'!L9</f>
        <v>11432280</v>
      </c>
      <c r="E7" s="674">
        <f>'3.sz.m Önk  bev.'!I21+'5. sz. m óvoda'!M9</f>
        <v>9309334</v>
      </c>
      <c r="F7" s="674">
        <f>'3.sz.m Önk  bev.'!J21+'5. sz. m óvoda'!N9</f>
        <v>9024587</v>
      </c>
      <c r="G7" s="1171">
        <f aca="true" t="shared" si="1" ref="G7:G32">+F7/E7</f>
        <v>0.9694127420930434</v>
      </c>
      <c r="H7" s="425" t="s">
        <v>199</v>
      </c>
      <c r="I7" s="675">
        <f>'1 .sz.m.önk.össz.kiad.'!F11</f>
        <v>8616810</v>
      </c>
      <c r="J7" s="675">
        <f>'1 .sz.m.önk.össz.kiad.'!G11</f>
        <v>8326410</v>
      </c>
      <c r="K7" s="675">
        <f>'1 .sz.m.önk.össz.kiad.'!H11</f>
        <v>8331762</v>
      </c>
      <c r="L7" s="675">
        <f>'1 .sz.m.önk.össz.kiad.'!I11</f>
        <v>7870953</v>
      </c>
      <c r="M7" s="675">
        <f>'1 .sz.m.önk.össz.kiad.'!J11</f>
        <v>7124607</v>
      </c>
      <c r="N7" s="1179">
        <f t="shared" si="0"/>
        <v>0.9051771748605283</v>
      </c>
    </row>
    <row r="8" spans="1:14" ht="17.25" customHeight="1">
      <c r="A8" s="673" t="s">
        <v>200</v>
      </c>
      <c r="B8" s="674">
        <f>'3.sz.m Önk  bev.'!F35+'5. sz. m óvoda'!J15</f>
        <v>70747853</v>
      </c>
      <c r="C8" s="674">
        <f>'3.sz.m Önk  bev.'!G35+'5. sz. m óvoda'!K15</f>
        <v>71271149</v>
      </c>
      <c r="D8" s="674">
        <f>'3.sz.m Önk  bev.'!H35+'5. sz. m óvoda'!L15</f>
        <v>72538099</v>
      </c>
      <c r="E8" s="674">
        <f>'3.sz.m Önk  bev.'!I35+'5. sz. m óvoda'!M15</f>
        <v>77173392</v>
      </c>
      <c r="F8" s="674">
        <f>'3.sz.m Önk  bev.'!J35+'5. sz. m óvoda'!N15</f>
        <v>65599137</v>
      </c>
      <c r="G8" s="1171">
        <f t="shared" si="1"/>
        <v>0.8500227254492067</v>
      </c>
      <c r="H8" s="425" t="s">
        <v>201</v>
      </c>
      <c r="I8" s="675">
        <f>'4.sz.m.ÖNK kiadás'!F9+'5. sz. m óvoda'!J36</f>
        <v>39765688</v>
      </c>
      <c r="J8" s="675">
        <f>'4.sz.m.ÖNK kiadás'!G9+'5. sz. m óvoda'!K36</f>
        <v>39943028</v>
      </c>
      <c r="K8" s="675">
        <f>'4.sz.m.ÖNK kiadás'!H9+'5. sz. m óvoda'!L36</f>
        <v>41758484</v>
      </c>
      <c r="L8" s="675">
        <f>'4.sz.m.ÖNK kiadás'!I9+'5. sz. m óvoda'!M36</f>
        <v>43859036</v>
      </c>
      <c r="M8" s="675">
        <f>'4.sz.m.ÖNK kiadás'!J9+'5. sz. m óvoda'!N36</f>
        <v>27135288</v>
      </c>
      <c r="N8" s="1179">
        <f t="shared" si="0"/>
        <v>0.6186932152361945</v>
      </c>
    </row>
    <row r="9" spans="1:14" ht="12.75">
      <c r="A9" s="673" t="s">
        <v>202</v>
      </c>
      <c r="B9" s="674">
        <f>'3.sz.m Önk  bev.'!F52+'3.sz.m Önk  bev.'!F53</f>
        <v>423006</v>
      </c>
      <c r="C9" s="674">
        <f>'3.sz.m Önk  bev.'!G52+'3.sz.m Önk  bev.'!G53</f>
        <v>423006</v>
      </c>
      <c r="D9" s="674">
        <f>'3.sz.m Önk  bev.'!H52+'3.sz.m Önk  bev.'!H53</f>
        <v>453006</v>
      </c>
      <c r="E9" s="674">
        <f>'3.sz.m Önk  bev.'!I52+'3.sz.m Önk  bev.'!I53</f>
        <v>35234</v>
      </c>
      <c r="F9" s="674">
        <f>'3.sz.m Önk  bev.'!J52+'3.sz.m Önk  bev.'!J53</f>
        <v>35234</v>
      </c>
      <c r="G9" s="1171">
        <f t="shared" si="1"/>
        <v>1</v>
      </c>
      <c r="H9" s="425" t="s">
        <v>203</v>
      </c>
      <c r="I9" s="675">
        <f>'4.sz.m.ÖNK kiadás'!F10</f>
        <v>2579000</v>
      </c>
      <c r="J9" s="675">
        <f>'4.sz.m.ÖNK kiadás'!G10</f>
        <v>2579000</v>
      </c>
      <c r="K9" s="675">
        <f>'4.sz.m.ÖNK kiadás'!H10</f>
        <v>2609000</v>
      </c>
      <c r="L9" s="675">
        <f>'4.sz.m.ÖNK kiadás'!I10</f>
        <v>3577000</v>
      </c>
      <c r="M9" s="675">
        <f>'4.sz.m.ÖNK kiadás'!J10</f>
        <v>3577000</v>
      </c>
      <c r="N9" s="1179">
        <f t="shared" si="0"/>
        <v>1</v>
      </c>
    </row>
    <row r="10" spans="1:14" ht="11.25" customHeight="1">
      <c r="A10" s="673"/>
      <c r="B10" s="674"/>
      <c r="C10" s="674"/>
      <c r="D10" s="674"/>
      <c r="E10" s="674"/>
      <c r="F10" s="674"/>
      <c r="G10" s="1171"/>
      <c r="H10" s="425" t="s">
        <v>204</v>
      </c>
      <c r="I10" s="675">
        <f>'4.sz.m.ÖNK kiadás'!F11</f>
        <v>4099705</v>
      </c>
      <c r="J10" s="675">
        <f>'4.sz.m.ÖNK kiadás'!G11</f>
        <v>5740105</v>
      </c>
      <c r="K10" s="675">
        <f>'4.sz.m.ÖNK kiadás'!H11</f>
        <v>5740105</v>
      </c>
      <c r="L10" s="675">
        <f>'4.sz.m.ÖNK kiadás'!I11</f>
        <v>3200611</v>
      </c>
      <c r="M10" s="675">
        <f>'4.sz.m.ÖNK kiadás'!J11</f>
        <v>3200611</v>
      </c>
      <c r="N10" s="1179">
        <f t="shared" si="0"/>
        <v>1</v>
      </c>
    </row>
    <row r="11" spans="1:14" ht="12.75">
      <c r="A11" s="673"/>
      <c r="B11" s="674"/>
      <c r="C11" s="674"/>
      <c r="D11" s="674"/>
      <c r="E11" s="674"/>
      <c r="F11" s="674"/>
      <c r="G11" s="1171"/>
      <c r="H11" s="425" t="s">
        <v>205</v>
      </c>
      <c r="I11" s="675">
        <f>'4.sz.m.ÖNK kiadás'!F26</f>
        <v>2224091</v>
      </c>
      <c r="J11" s="675">
        <f>'4.sz.m.ÖNK kiadás'!G26</f>
        <v>2615872</v>
      </c>
      <c r="K11" s="675">
        <f>'4.sz.m.ÖNK kiadás'!H26</f>
        <v>2970</v>
      </c>
      <c r="L11" s="675">
        <f>'4.sz.m.ÖNK kiadás'!I26</f>
        <v>0</v>
      </c>
      <c r="M11" s="675">
        <f>'4.sz.m.ÖNK kiadás'!J26</f>
        <v>0</v>
      </c>
      <c r="N11" s="1179"/>
    </row>
    <row r="12" spans="1:14" ht="12.75" hidden="1">
      <c r="A12" s="676"/>
      <c r="B12" s="674"/>
      <c r="C12" s="674"/>
      <c r="D12" s="674"/>
      <c r="E12" s="674"/>
      <c r="F12" s="674"/>
      <c r="G12" s="1171" t="e">
        <f t="shared" si="1"/>
        <v>#DIV/0!</v>
      </c>
      <c r="H12" s="677"/>
      <c r="I12" s="675"/>
      <c r="J12" s="675"/>
      <c r="K12" s="675"/>
      <c r="L12" s="675"/>
      <c r="M12" s="675"/>
      <c r="N12" s="1179" t="e">
        <f t="shared" si="0"/>
        <v>#DIV/0!</v>
      </c>
    </row>
    <row r="13" spans="1:14" ht="16.5" customHeight="1" hidden="1" thickBot="1">
      <c r="A13" s="678"/>
      <c r="B13" s="674"/>
      <c r="C13" s="674"/>
      <c r="D13" s="674"/>
      <c r="E13" s="674"/>
      <c r="F13" s="674"/>
      <c r="G13" s="1171" t="e">
        <f t="shared" si="1"/>
        <v>#DIV/0!</v>
      </c>
      <c r="H13" s="679"/>
      <c r="I13" s="675"/>
      <c r="J13" s="675"/>
      <c r="K13" s="675"/>
      <c r="L13" s="675"/>
      <c r="M13" s="675"/>
      <c r="N13" s="1179" t="e">
        <f t="shared" si="0"/>
        <v>#DIV/0!</v>
      </c>
    </row>
    <row r="14" spans="1:14" ht="18" customHeight="1" thickBot="1">
      <c r="A14" s="680" t="s">
        <v>206</v>
      </c>
      <c r="B14" s="681">
        <f>B6+B7+B8+B9</f>
        <v>99473082</v>
      </c>
      <c r="C14" s="681">
        <f>C6+C7+C8+C9</f>
        <v>100073262</v>
      </c>
      <c r="D14" s="681">
        <f>D6+D7+D8+D9</f>
        <v>101320985</v>
      </c>
      <c r="E14" s="681">
        <f>E6+E7+E8+E9</f>
        <v>107475262</v>
      </c>
      <c r="F14" s="681">
        <f>F6+F7+F8+F9</f>
        <v>94869570</v>
      </c>
      <c r="G14" s="1172">
        <f t="shared" si="1"/>
        <v>0.8827107581277633</v>
      </c>
      <c r="H14" s="682" t="s">
        <v>207</v>
      </c>
      <c r="I14" s="683">
        <f>I6+I7+I8+I9+I10+I11</f>
        <v>102218813</v>
      </c>
      <c r="J14" s="683">
        <f>J6+J7+J8+J9+J10+J11</f>
        <v>102817934</v>
      </c>
      <c r="K14" s="683">
        <f>K6+K7+K8+K9+K10+K11</f>
        <v>102260583</v>
      </c>
      <c r="L14" s="683">
        <f>L6+L7+L8+L9+L10+L11</f>
        <v>100212237</v>
      </c>
      <c r="M14" s="683">
        <f>M6+M7+M8+M9+M10+M11</f>
        <v>77221541</v>
      </c>
      <c r="N14" s="1180">
        <f t="shared" si="0"/>
        <v>0.7705799542225567</v>
      </c>
    </row>
    <row r="15" spans="1:14" ht="15.75" customHeight="1">
      <c r="A15" s="684" t="s">
        <v>399</v>
      </c>
      <c r="B15" s="473">
        <f>'3.sz.m Önk  bev.'!F62+'5. sz. m óvoda'!J25-B28</f>
        <v>4022416</v>
      </c>
      <c r="C15" s="473">
        <f>'3.sz.m Önk  bev.'!G62+'5. sz. m óvoda'!K25-C28</f>
        <v>4022416</v>
      </c>
      <c r="D15" s="473">
        <f>'3.sz.m Önk  bev.'!H62+'5. sz. m óvoda'!L25-D28</f>
        <v>3068273</v>
      </c>
      <c r="E15" s="473">
        <f>'3.sz.m Önk  bev.'!I62+'5. sz. m óvoda'!M25-E28</f>
        <v>3068273</v>
      </c>
      <c r="F15" s="473">
        <f>'3.sz.m Önk  bev.'!J62+'5. sz. m óvoda'!N25-F28</f>
        <v>3068273</v>
      </c>
      <c r="G15" s="1173">
        <f t="shared" si="1"/>
        <v>1</v>
      </c>
      <c r="H15" s="426" t="s">
        <v>208</v>
      </c>
      <c r="I15" s="672"/>
      <c r="J15" s="672"/>
      <c r="K15" s="672"/>
      <c r="L15" s="672"/>
      <c r="M15" s="672"/>
      <c r="N15" s="1178"/>
    </row>
    <row r="16" spans="1:14" ht="12.75" customHeight="1" thickBot="1">
      <c r="A16" s="684" t="s">
        <v>459</v>
      </c>
      <c r="B16" s="685">
        <f>'3.sz.m Önk  bev.'!F61</f>
        <v>0</v>
      </c>
      <c r="C16" s="685">
        <f>'3.sz.m Önk  bev.'!G61</f>
        <v>0</v>
      </c>
      <c r="D16" s="685">
        <f>'3.sz.m Önk  bev.'!H61</f>
        <v>0</v>
      </c>
      <c r="E16" s="685">
        <f>'3.sz.m Önk  bev.'!I61</f>
        <v>1115380</v>
      </c>
      <c r="F16" s="685">
        <f>'3.sz.m Önk  bev.'!J61</f>
        <v>1115380</v>
      </c>
      <c r="G16" s="1174">
        <f t="shared" si="1"/>
        <v>1</v>
      </c>
      <c r="H16" s="677" t="s">
        <v>386</v>
      </c>
      <c r="I16" s="686">
        <f>'4.sz.m.ÖNK kiadás'!F34</f>
        <v>1276685</v>
      </c>
      <c r="J16" s="686">
        <f>'4.sz.m.ÖNK kiadás'!G34</f>
        <v>1276685</v>
      </c>
      <c r="K16" s="686">
        <f>'4.sz.m.ÖNK kiadás'!H34</f>
        <v>1276685</v>
      </c>
      <c r="L16" s="686">
        <f>'4.sz.m.ÖNK kiadás'!I34</f>
        <v>1276685</v>
      </c>
      <c r="M16" s="686">
        <f>'4.sz.m.ÖNK kiadás'!J34</f>
        <v>1276685</v>
      </c>
      <c r="N16" s="1181">
        <f t="shared" si="0"/>
        <v>1</v>
      </c>
    </row>
    <row r="17" spans="1:14" ht="18.75" customHeight="1" thickBot="1">
      <c r="A17" s="424" t="s">
        <v>210</v>
      </c>
      <c r="B17" s="687">
        <f>SUM(B15:B16)</f>
        <v>4022416</v>
      </c>
      <c r="C17" s="687">
        <f>SUM(C15:C16)</f>
        <v>4022416</v>
      </c>
      <c r="D17" s="687">
        <f>SUM(D15:D16)</f>
        <v>3068273</v>
      </c>
      <c r="E17" s="687">
        <f>SUM(E15:E16)</f>
        <v>4183653</v>
      </c>
      <c r="F17" s="687">
        <f>SUM(F15:F16)</f>
        <v>4183653</v>
      </c>
      <c r="G17" s="1175">
        <f t="shared" si="1"/>
        <v>1</v>
      </c>
      <c r="H17" s="688" t="s">
        <v>211</v>
      </c>
      <c r="I17" s="687">
        <f>SUM(I15:I16)</f>
        <v>1276685</v>
      </c>
      <c r="J17" s="687">
        <f>SUM(J15:J16)</f>
        <v>1276685</v>
      </c>
      <c r="K17" s="687">
        <f>SUM(K15:K16)</f>
        <v>1276685</v>
      </c>
      <c r="L17" s="687">
        <f>SUM(L15:L16)</f>
        <v>1276685</v>
      </c>
      <c r="M17" s="687">
        <f>SUM(M15:M16)</f>
        <v>1276685</v>
      </c>
      <c r="N17" s="1175">
        <f t="shared" si="0"/>
        <v>1</v>
      </c>
    </row>
    <row r="18" spans="1:14" ht="17.25" customHeight="1" thickBot="1">
      <c r="A18" s="689" t="s">
        <v>212</v>
      </c>
      <c r="B18" s="690">
        <f>B14+B17</f>
        <v>103495498</v>
      </c>
      <c r="C18" s="690">
        <f>C14+C17</f>
        <v>104095678</v>
      </c>
      <c r="D18" s="690">
        <f>D14+D17</f>
        <v>104389258</v>
      </c>
      <c r="E18" s="690">
        <f>E14+E17</f>
        <v>111658915</v>
      </c>
      <c r="F18" s="690">
        <f>F14+F17</f>
        <v>99053223</v>
      </c>
      <c r="G18" s="1176">
        <f t="shared" si="1"/>
        <v>0.8871053690607686</v>
      </c>
      <c r="H18" s="691" t="s">
        <v>213</v>
      </c>
      <c r="I18" s="692">
        <f>I14+I17</f>
        <v>103495498</v>
      </c>
      <c r="J18" s="692">
        <f>J14+J17</f>
        <v>104094619</v>
      </c>
      <c r="K18" s="692">
        <f>K14+K17</f>
        <v>103537268</v>
      </c>
      <c r="L18" s="692">
        <f>L14+L17</f>
        <v>101488922</v>
      </c>
      <c r="M18" s="692">
        <f>M14+M17</f>
        <v>78498226</v>
      </c>
      <c r="N18" s="1182">
        <f t="shared" si="0"/>
        <v>0.7734659552300693</v>
      </c>
    </row>
    <row r="19" spans="1:14" ht="17.25" customHeight="1" thickBot="1">
      <c r="A19" s="693" t="s">
        <v>214</v>
      </c>
      <c r="B19" s="694">
        <f>B14-I14</f>
        <v>-2745731</v>
      </c>
      <c r="C19" s="694">
        <f>C14-J14</f>
        <v>-2744672</v>
      </c>
      <c r="D19" s="694">
        <f>D14-K14</f>
        <v>-939598</v>
      </c>
      <c r="E19" s="694">
        <f>E14-L14</f>
        <v>7263025</v>
      </c>
      <c r="F19" s="694">
        <f>F14-M14</f>
        <v>17648029</v>
      </c>
      <c r="G19" s="1177">
        <f t="shared" si="1"/>
        <v>2.429845553333494</v>
      </c>
      <c r="H19" s="695" t="s">
        <v>215</v>
      </c>
      <c r="I19" s="696"/>
      <c r="J19" s="696"/>
      <c r="K19" s="696"/>
      <c r="L19" s="696"/>
      <c r="M19" s="696"/>
      <c r="N19" s="1183"/>
    </row>
    <row r="20" spans="1:14" ht="17.25" customHeight="1" thickBot="1">
      <c r="A20" s="693" t="s">
        <v>216</v>
      </c>
      <c r="B20" s="690">
        <f>B19-I17</f>
        <v>-4022416</v>
      </c>
      <c r="C20" s="690">
        <f>C19-J17</f>
        <v>-4021357</v>
      </c>
      <c r="D20" s="690">
        <f>D19-K17</f>
        <v>-2216283</v>
      </c>
      <c r="E20" s="690">
        <f>E19-L17</f>
        <v>5986340</v>
      </c>
      <c r="F20" s="690">
        <f>F19-M17</f>
        <v>16371344</v>
      </c>
      <c r="G20" s="1176">
        <f t="shared" si="1"/>
        <v>2.7347835238225695</v>
      </c>
      <c r="H20" s="695" t="s">
        <v>217</v>
      </c>
      <c r="I20" s="697"/>
      <c r="J20" s="697"/>
      <c r="K20" s="697"/>
      <c r="L20" s="697"/>
      <c r="M20" s="697"/>
      <c r="N20" s="1184"/>
    </row>
    <row r="21" spans="1:8" ht="22.5" customHeight="1" thickBot="1">
      <c r="A21" s="1328" t="s">
        <v>218</v>
      </c>
      <c r="B21" s="1329"/>
      <c r="C21" s="1329"/>
      <c r="D21" s="1329"/>
      <c r="E21" s="1329"/>
      <c r="F21" s="1329"/>
      <c r="G21" s="1329"/>
      <c r="H21" s="1328"/>
    </row>
    <row r="22" spans="1:14" ht="22.5">
      <c r="A22" s="670" t="s">
        <v>219</v>
      </c>
      <c r="B22" s="473">
        <f>'3.sz.m Önk  bev.'!F45+'3.sz.m Önk  bev.'!F44</f>
        <v>34485878</v>
      </c>
      <c r="C22" s="473">
        <f>'3.sz.m Önk  bev.'!G45+'3.sz.m Önk  bev.'!G44</f>
        <v>35294865</v>
      </c>
      <c r="D22" s="473">
        <f>'3.sz.m Önk  bev.'!H45+'3.sz.m Önk  bev.'!H44</f>
        <v>46317783</v>
      </c>
      <c r="E22" s="473">
        <f>'3.sz.m Önk  bev.'!I45+'3.sz.m Önk  bev.'!I44</f>
        <v>46317783</v>
      </c>
      <c r="F22" s="473">
        <f>'3.sz.m Önk  bev.'!J45+'3.sz.m Önk  bev.'!J44</f>
        <v>45285911</v>
      </c>
      <c r="G22" s="1173">
        <f t="shared" si="1"/>
        <v>0.9777219043493511</v>
      </c>
      <c r="H22" s="698" t="s">
        <v>220</v>
      </c>
      <c r="I22" s="473">
        <f>'4.sz.m.ÖNK kiadás'!F18+'5. sz. m óvoda'!J40</f>
        <v>11693143</v>
      </c>
      <c r="J22" s="473">
        <f>'4.sz.m.ÖNK kiadás'!G18+'5. sz. m óvoda'!K40</f>
        <v>11693143</v>
      </c>
      <c r="K22" s="473">
        <f>'4.sz.m.ÖNK kiadás'!H18+'5. sz. m óvoda'!L40</f>
        <v>12544074</v>
      </c>
      <c r="L22" s="473">
        <f>'4.sz.m.ÖNK kiadás'!I18+'5. sz. m óvoda'!M40</f>
        <v>11768624</v>
      </c>
      <c r="M22" s="473">
        <f>'4.sz.m.ÖNK kiadás'!J18+'5. sz. m óvoda'!N40</f>
        <v>1018549</v>
      </c>
      <c r="N22" s="1173">
        <f aca="true" t="shared" si="2" ref="N22:N32">+M22/L22</f>
        <v>0.08654784110699773</v>
      </c>
    </row>
    <row r="23" spans="1:14" ht="12.75">
      <c r="A23" s="673" t="s">
        <v>221</v>
      </c>
      <c r="B23" s="674">
        <f>'3.sz.m Önk  bev.'!F54</f>
        <v>199992</v>
      </c>
      <c r="C23" s="674">
        <f>'3.sz.m Önk  bev.'!G54</f>
        <v>199992</v>
      </c>
      <c r="D23" s="674">
        <f>'3.sz.m Önk  bev.'!H54</f>
        <v>199992</v>
      </c>
      <c r="E23" s="674">
        <f>'3.sz.m Önk  bev.'!I54</f>
        <v>163400</v>
      </c>
      <c r="F23" s="674">
        <f>'3.sz.m Önk  bev.'!J54</f>
        <v>163400</v>
      </c>
      <c r="G23" s="1171">
        <f t="shared" si="1"/>
        <v>1</v>
      </c>
      <c r="H23" s="425" t="s">
        <v>222</v>
      </c>
      <c r="I23" s="674">
        <f>'4.sz.m.ÖNK kiadás'!F19+'5. sz. m óvoda'!J41</f>
        <v>57261311</v>
      </c>
      <c r="J23" s="674">
        <f>'4.sz.m.ÖNK kiadás'!G19+'5. sz. m óvoda'!K41</f>
        <v>57639311</v>
      </c>
      <c r="K23" s="674">
        <f>'4.sz.m.ÖNK kiadás'!H19+'5. sz. m óvoda'!L41</f>
        <v>57639311</v>
      </c>
      <c r="L23" s="674">
        <f>'4.sz.m.ÖNK kiadás'!I19+'5. sz. m óvoda'!M41</f>
        <v>56420915</v>
      </c>
      <c r="M23" s="674">
        <f>'4.sz.m.ÖNK kiadás'!J19+'5. sz. m óvoda'!N41</f>
        <v>55642916</v>
      </c>
      <c r="N23" s="1171">
        <f t="shared" si="2"/>
        <v>0.986210804982514</v>
      </c>
    </row>
    <row r="24" spans="1:14" ht="12.75">
      <c r="A24" s="673" t="s">
        <v>223</v>
      </c>
      <c r="B24" s="674"/>
      <c r="C24" s="674"/>
      <c r="D24" s="674"/>
      <c r="E24" s="674">
        <f>'3.sz.m Önk  bev.'!I55</f>
        <v>0</v>
      </c>
      <c r="F24" s="674">
        <f>'3.sz.m Önk  bev.'!J55</f>
        <v>0</v>
      </c>
      <c r="G24" s="1171"/>
      <c r="H24" s="425" t="s">
        <v>224</v>
      </c>
      <c r="I24" s="674">
        <f>'4.sz.m.ÖNK kiadás'!F20</f>
        <v>1570000</v>
      </c>
      <c r="J24" s="674">
        <f>'4.sz.m.ÖNK kiadás'!G20</f>
        <v>2002046</v>
      </c>
      <c r="K24" s="674">
        <f>'4.sz.m.ÖNK kiadás'!H20</f>
        <v>2002046</v>
      </c>
      <c r="L24" s="674">
        <f>'4.sz.m.ÖNK kiadás'!I20</f>
        <v>1632046</v>
      </c>
      <c r="M24" s="674">
        <f>'4.sz.m.ÖNK kiadás'!J20</f>
        <v>1632046</v>
      </c>
      <c r="N24" s="1171">
        <f t="shared" si="2"/>
        <v>1</v>
      </c>
    </row>
    <row r="25" spans="1:14" ht="13.5" thickBot="1">
      <c r="A25" s="673"/>
      <c r="B25" s="674"/>
      <c r="C25" s="674"/>
      <c r="D25" s="674"/>
      <c r="E25" s="674"/>
      <c r="F25" s="674"/>
      <c r="G25" s="1171"/>
      <c r="H25" s="425" t="s">
        <v>225</v>
      </c>
      <c r="I25" s="674">
        <f>'4.sz.m.ÖNK kiadás'!F28</f>
        <v>0</v>
      </c>
      <c r="J25" s="674">
        <f>'4.sz.m.ÖNK kiadás'!G28</f>
        <v>0</v>
      </c>
      <c r="K25" s="674">
        <f>'4.sz.m.ÖNK kiadás'!H28</f>
        <v>0</v>
      </c>
      <c r="L25" s="674">
        <f>'4.sz.m.ÖNK kiadás'!I28</f>
        <v>0</v>
      </c>
      <c r="M25" s="674">
        <f>'4.sz.m.ÖNK kiadás'!J28</f>
        <v>0</v>
      </c>
      <c r="N25" s="1171"/>
    </row>
    <row r="26" spans="1:14" ht="13.5" hidden="1" thickBot="1">
      <c r="A26" s="423"/>
      <c r="B26" s="681"/>
      <c r="C26" s="681"/>
      <c r="D26" s="681"/>
      <c r="E26" s="681"/>
      <c r="F26" s="681"/>
      <c r="G26" s="1172" t="e">
        <f t="shared" si="1"/>
        <v>#DIV/0!</v>
      </c>
      <c r="H26" s="677"/>
      <c r="I26" s="681"/>
      <c r="J26" s="681"/>
      <c r="K26" s="681"/>
      <c r="L26" s="681"/>
      <c r="M26" s="681"/>
      <c r="N26" s="1172" t="e">
        <f t="shared" si="2"/>
        <v>#DIV/0!</v>
      </c>
    </row>
    <row r="27" spans="1:14" ht="23.25" thickBot="1">
      <c r="A27" s="699" t="s">
        <v>226</v>
      </c>
      <c r="B27" s="690">
        <f>B22+B24+B23</f>
        <v>34685870</v>
      </c>
      <c r="C27" s="690">
        <f>C22+C24+C23</f>
        <v>35494857</v>
      </c>
      <c r="D27" s="690">
        <f>D22+D24+D23</f>
        <v>46517775</v>
      </c>
      <c r="E27" s="690">
        <f>E22+E24+E23</f>
        <v>46481183</v>
      </c>
      <c r="F27" s="690">
        <f>F22+F24+F23</f>
        <v>45449311</v>
      </c>
      <c r="G27" s="1176">
        <f t="shared" si="1"/>
        <v>0.9778002207904218</v>
      </c>
      <c r="H27" s="700" t="s">
        <v>227</v>
      </c>
      <c r="I27" s="701">
        <f>I22+I23+I24+I25</f>
        <v>70524454</v>
      </c>
      <c r="J27" s="701">
        <f>J22+J23+J24+J25</f>
        <v>71334500</v>
      </c>
      <c r="K27" s="701">
        <f>K22+K23+K24+K25</f>
        <v>72185431</v>
      </c>
      <c r="L27" s="701">
        <f>L22+L23+L24+L25</f>
        <v>69821585</v>
      </c>
      <c r="M27" s="701">
        <f>M22+M23+M24+M25</f>
        <v>58293511</v>
      </c>
      <c r="N27" s="1186">
        <f t="shared" si="2"/>
        <v>0.8348924046911854</v>
      </c>
    </row>
    <row r="28" spans="1:14" ht="15" customHeight="1">
      <c r="A28" s="684" t="s">
        <v>399</v>
      </c>
      <c r="B28" s="671">
        <v>13170409</v>
      </c>
      <c r="C28" s="671">
        <v>13170409</v>
      </c>
      <c r="D28" s="671">
        <v>13170409</v>
      </c>
      <c r="E28" s="671">
        <v>13170409</v>
      </c>
      <c r="F28" s="671">
        <v>13170409</v>
      </c>
      <c r="G28" s="1170">
        <f t="shared" si="1"/>
        <v>1</v>
      </c>
      <c r="H28" s="426" t="s">
        <v>228</v>
      </c>
      <c r="I28" s="671"/>
      <c r="J28" s="671"/>
      <c r="K28" s="671"/>
      <c r="L28" s="671"/>
      <c r="M28" s="671"/>
      <c r="N28" s="1170"/>
    </row>
    <row r="29" spans="1:14" ht="13.5" thickBot="1">
      <c r="A29" s="702" t="s">
        <v>209</v>
      </c>
      <c r="B29" s="703">
        <f>'3.sz.m Önk  bev.'!F60</f>
        <v>22668175</v>
      </c>
      <c r="C29" s="703">
        <f>'3.sz.m Önk  bev.'!G60</f>
        <v>22668175</v>
      </c>
      <c r="D29" s="703">
        <f>'3.sz.m Önk  bev.'!H60</f>
        <v>11645257</v>
      </c>
      <c r="E29" s="703">
        <f>'3.sz.m Önk  bev.'!I60</f>
        <v>0</v>
      </c>
      <c r="F29" s="703">
        <f>'3.sz.m Önk  bev.'!J60</f>
        <v>0</v>
      </c>
      <c r="G29" s="1185"/>
      <c r="H29" s="704"/>
      <c r="I29" s="681"/>
      <c r="J29" s="681"/>
      <c r="K29" s="681"/>
      <c r="L29" s="681"/>
      <c r="M29" s="681"/>
      <c r="N29" s="1172"/>
    </row>
    <row r="30" spans="1:14" ht="18.75" customHeight="1" thickBot="1">
      <c r="A30" s="424" t="s">
        <v>229</v>
      </c>
      <c r="B30" s="701">
        <f>SUM(B28:B29)</f>
        <v>35838584</v>
      </c>
      <c r="C30" s="701">
        <f>SUM(C28:C29)</f>
        <v>35838584</v>
      </c>
      <c r="D30" s="701">
        <f>SUM(D28:D29)</f>
        <v>24815666</v>
      </c>
      <c r="E30" s="701">
        <f>SUM(E28:E29)</f>
        <v>13170409</v>
      </c>
      <c r="F30" s="701">
        <f>SUM(F28:F29)</f>
        <v>13170409</v>
      </c>
      <c r="G30" s="1186">
        <f t="shared" si="1"/>
        <v>1</v>
      </c>
      <c r="H30" s="700" t="s">
        <v>230</v>
      </c>
      <c r="I30" s="705"/>
      <c r="J30" s="705"/>
      <c r="K30" s="705"/>
      <c r="L30" s="705"/>
      <c r="M30" s="705"/>
      <c r="N30" s="1188"/>
    </row>
    <row r="31" spans="1:14" ht="25.5" customHeight="1" thickBot="1">
      <c r="A31" s="706" t="s">
        <v>231</v>
      </c>
      <c r="B31" s="690">
        <f>B27+B30</f>
        <v>70524454</v>
      </c>
      <c r="C31" s="690">
        <f>C27+C30</f>
        <v>71333441</v>
      </c>
      <c r="D31" s="690">
        <f>D27+D30</f>
        <v>71333441</v>
      </c>
      <c r="E31" s="690">
        <f>E27+E30</f>
        <v>59651592</v>
      </c>
      <c r="F31" s="690">
        <f>F27+F30</f>
        <v>58619720</v>
      </c>
      <c r="G31" s="1176">
        <f t="shared" si="1"/>
        <v>0.982701685480582</v>
      </c>
      <c r="H31" s="707" t="s">
        <v>232</v>
      </c>
      <c r="I31" s="701">
        <f>I27</f>
        <v>70524454</v>
      </c>
      <c r="J31" s="701">
        <f>J27</f>
        <v>71334500</v>
      </c>
      <c r="K31" s="701">
        <f>K27</f>
        <v>72185431</v>
      </c>
      <c r="L31" s="701">
        <f>L27</f>
        <v>69821585</v>
      </c>
      <c r="M31" s="701">
        <f>M27</f>
        <v>58293511</v>
      </c>
      <c r="N31" s="1186">
        <f t="shared" si="2"/>
        <v>0.8348924046911854</v>
      </c>
    </row>
    <row r="32" spans="1:14" ht="26.25" customHeight="1" thickBot="1">
      <c r="A32" s="706" t="s">
        <v>470</v>
      </c>
      <c r="B32" s="690">
        <f>B18+B31</f>
        <v>174019952</v>
      </c>
      <c r="C32" s="690">
        <f>C18+C31</f>
        <v>175429119</v>
      </c>
      <c r="D32" s="690">
        <f>D18+D31</f>
        <v>175722699</v>
      </c>
      <c r="E32" s="690">
        <f>E18+E31</f>
        <v>171310507</v>
      </c>
      <c r="F32" s="690">
        <f>F18+F31</f>
        <v>157672943</v>
      </c>
      <c r="G32" s="1176">
        <f t="shared" si="1"/>
        <v>0.9203927170678445</v>
      </c>
      <c r="H32" s="707" t="s">
        <v>471</v>
      </c>
      <c r="I32" s="690">
        <f>I18+I31</f>
        <v>174019952</v>
      </c>
      <c r="J32" s="690">
        <f>J18+J31</f>
        <v>175429119</v>
      </c>
      <c r="K32" s="690">
        <f>K18+K31</f>
        <v>175722699</v>
      </c>
      <c r="L32" s="690">
        <f>L18+L31</f>
        <v>171310507</v>
      </c>
      <c r="M32" s="690">
        <f>M18+M31</f>
        <v>136791737</v>
      </c>
      <c r="N32" s="1176">
        <f t="shared" si="2"/>
        <v>0.7985017346309062</v>
      </c>
    </row>
    <row r="33" spans="1:14" ht="16.5" customHeight="1" thickBot="1">
      <c r="A33" s="708" t="s">
        <v>214</v>
      </c>
      <c r="B33" s="709">
        <f>B27-I27</f>
        <v>-35838584</v>
      </c>
      <c r="C33" s="709">
        <f>C27-J27</f>
        <v>-35839643</v>
      </c>
      <c r="D33" s="709">
        <f>D27-K27</f>
        <v>-25667656</v>
      </c>
      <c r="E33" s="709">
        <f>E27-L27</f>
        <v>-23340402</v>
      </c>
      <c r="F33" s="709">
        <f>F27-M27</f>
        <v>-12844200</v>
      </c>
      <c r="G33" s="1187"/>
      <c r="H33" s="710" t="s">
        <v>215</v>
      </c>
      <c r="I33" s="705"/>
      <c r="J33" s="705"/>
      <c r="K33" s="705"/>
      <c r="L33" s="705"/>
      <c r="M33" s="705"/>
      <c r="N33" s="705"/>
    </row>
    <row r="34" spans="1:14" ht="19.5" customHeight="1" thickBot="1">
      <c r="A34" s="708" t="s">
        <v>216</v>
      </c>
      <c r="B34" s="709">
        <f>B33-I30</f>
        <v>-35838584</v>
      </c>
      <c r="C34" s="709">
        <f>C33-J30</f>
        <v>-35839643</v>
      </c>
      <c r="D34" s="709">
        <f>D33-K30</f>
        <v>-25667656</v>
      </c>
      <c r="E34" s="709">
        <f>E33-L30</f>
        <v>-23340402</v>
      </c>
      <c r="F34" s="709">
        <f>F33-M30</f>
        <v>-12844200</v>
      </c>
      <c r="G34" s="1187"/>
      <c r="H34" s="710" t="s">
        <v>217</v>
      </c>
      <c r="I34" s="711"/>
      <c r="J34" s="711"/>
      <c r="K34" s="711"/>
      <c r="L34" s="711"/>
      <c r="M34" s="711"/>
      <c r="N34" s="711"/>
    </row>
    <row r="35" spans="1:13" ht="19.5" customHeight="1">
      <c r="A35" s="712"/>
      <c r="B35" s="713"/>
      <c r="C35" s="713"/>
      <c r="D35" s="713"/>
      <c r="E35" s="713"/>
      <c r="F35" s="713"/>
      <c r="G35" s="713"/>
      <c r="H35" s="712"/>
      <c r="I35" s="148"/>
      <c r="M35" s="148"/>
    </row>
    <row r="36" spans="2:13" ht="12.75">
      <c r="B36" s="148"/>
      <c r="C36" s="148"/>
      <c r="D36" s="148"/>
      <c r="E36" s="148"/>
      <c r="F36" s="148"/>
      <c r="G36" s="148"/>
      <c r="I36" s="148"/>
      <c r="J36" s="148"/>
      <c r="M36" s="148"/>
    </row>
    <row r="37" spans="2:10" ht="12.75">
      <c r="B37" s="148"/>
      <c r="C37" s="148"/>
      <c r="D37" s="148"/>
      <c r="E37" s="148"/>
      <c r="F37" s="148"/>
      <c r="G37" s="148"/>
      <c r="J37" s="148"/>
    </row>
    <row r="39" spans="2:9" ht="12.75">
      <c r="B39" s="714"/>
      <c r="C39" s="714"/>
      <c r="D39" s="714"/>
      <c r="E39" s="714"/>
      <c r="F39" s="714"/>
      <c r="G39" s="714"/>
      <c r="I39" s="714"/>
    </row>
    <row r="40" spans="2:9" ht="12.75">
      <c r="B40" s="148"/>
      <c r="C40" s="148"/>
      <c r="D40" s="148"/>
      <c r="E40" s="148"/>
      <c r="F40" s="148"/>
      <c r="G40" s="148"/>
      <c r="I40" s="148"/>
    </row>
    <row r="41" spans="2:7" ht="12.75">
      <c r="B41" s="148"/>
      <c r="C41" s="148"/>
      <c r="D41" s="148"/>
      <c r="E41" s="148"/>
      <c r="F41" s="148"/>
      <c r="G41" s="148"/>
    </row>
    <row r="43" spans="2:7" ht="12.75">
      <c r="B43" s="148"/>
      <c r="C43" s="148"/>
      <c r="D43" s="148"/>
      <c r="E43" s="148"/>
      <c r="F43" s="148"/>
      <c r="G43" s="148"/>
    </row>
  </sheetData>
  <sheetProtection selectLockedCells="1" selectUnlockedCells="1"/>
  <mergeCells count="5">
    <mergeCell ref="A4:H4"/>
    <mergeCell ref="A21:H21"/>
    <mergeCell ref="I4:L4"/>
    <mergeCell ref="A2:L2"/>
    <mergeCell ref="H1:L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75" zoomScaleNormal="75" zoomScalePageLayoutView="0" workbookViewId="0" topLeftCell="A13">
      <selection activeCell="Q26" sqref="J25:Q26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8" width="17.8515625" style="3" hidden="1" customWidth="1"/>
    <col min="9" max="11" width="17.8515625" style="3" customWidth="1"/>
    <col min="12" max="12" width="23.00390625" style="3" customWidth="1"/>
    <col min="13" max="14" width="17.421875" style="3" hidden="1" customWidth="1"/>
    <col min="15" max="17" width="17.421875" style="3" customWidth="1"/>
    <col min="18" max="18" width="20.8515625" style="0" customWidth="1"/>
    <col min="19" max="19" width="17.00390625" style="0" hidden="1" customWidth="1"/>
    <col min="20" max="20" width="12.7109375" style="0" hidden="1" customWidth="1"/>
    <col min="21" max="21" width="14.8515625" style="0" customWidth="1"/>
    <col min="22" max="22" width="14.57421875" style="0" bestFit="1" customWidth="1"/>
    <col min="23" max="23" width="11.57421875" style="0" bestFit="1" customWidth="1"/>
    <col min="25" max="25" width="11.421875" style="0" customWidth="1"/>
  </cols>
  <sheetData>
    <row r="1" spans="1:5" ht="12.75">
      <c r="A1" s="4"/>
      <c r="B1" s="4"/>
      <c r="C1" s="4"/>
      <c r="D1" s="5"/>
      <c r="E1" s="5"/>
    </row>
    <row r="2" spans="1:17" ht="34.5" customHeight="1">
      <c r="A2" s="1280" t="s">
        <v>510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650"/>
      <c r="N2" s="650"/>
      <c r="O2" s="650"/>
      <c r="P2" s="650"/>
      <c r="Q2" s="650"/>
    </row>
    <row r="3" spans="1:18" ht="13.5" thickBot="1">
      <c r="A3" s="6"/>
      <c r="B3" s="6"/>
      <c r="C3" s="6"/>
      <c r="D3" s="7"/>
      <c r="E3" s="8"/>
      <c r="L3" s="1268" t="s">
        <v>478</v>
      </c>
      <c r="M3" s="1268"/>
      <c r="N3" s="1268"/>
      <c r="O3" s="1268"/>
      <c r="P3" s="1268"/>
      <c r="Q3" s="1268"/>
      <c r="R3" s="1268"/>
    </row>
    <row r="4" spans="1:23" ht="45.75" customHeight="1" thickBot="1">
      <c r="A4" s="1281" t="s">
        <v>1</v>
      </c>
      <c r="B4" s="1281"/>
      <c r="C4" s="1281"/>
      <c r="D4" s="11" t="s">
        <v>2</v>
      </c>
      <c r="E4" s="12" t="s">
        <v>3</v>
      </c>
      <c r="F4" s="1284" t="s">
        <v>4</v>
      </c>
      <c r="G4" s="1285"/>
      <c r="H4" s="1285"/>
      <c r="I4" s="1285"/>
      <c r="J4" s="1285"/>
      <c r="K4" s="1286"/>
      <c r="L4" s="1284" t="s">
        <v>243</v>
      </c>
      <c r="M4" s="1285"/>
      <c r="N4" s="1285"/>
      <c r="O4" s="1285"/>
      <c r="P4" s="1285"/>
      <c r="Q4" s="1286"/>
      <c r="R4" s="1284" t="s">
        <v>296</v>
      </c>
      <c r="S4" s="1285"/>
      <c r="T4" s="1285"/>
      <c r="U4" s="1285"/>
      <c r="V4" s="1285"/>
      <c r="W4" s="1286"/>
    </row>
    <row r="5" spans="1:23" s="18" customFormat="1" ht="27" customHeight="1" thickBot="1">
      <c r="A5" s="726"/>
      <c r="B5" s="727"/>
      <c r="C5" s="727"/>
      <c r="D5" s="69"/>
      <c r="E5" s="51"/>
      <c r="F5" s="728" t="s">
        <v>6</v>
      </c>
      <c r="G5" s="728" t="s">
        <v>135</v>
      </c>
      <c r="H5" s="728" t="s">
        <v>136</v>
      </c>
      <c r="I5" s="728" t="s">
        <v>137</v>
      </c>
      <c r="J5" s="728" t="s">
        <v>286</v>
      </c>
      <c r="K5" s="728" t="s">
        <v>291</v>
      </c>
      <c r="L5" s="728" t="s">
        <v>6</v>
      </c>
      <c r="M5" s="728" t="s">
        <v>135</v>
      </c>
      <c r="N5" s="728" t="s">
        <v>136</v>
      </c>
      <c r="O5" s="728" t="s">
        <v>137</v>
      </c>
      <c r="P5" s="728" t="s">
        <v>286</v>
      </c>
      <c r="Q5" s="728" t="s">
        <v>291</v>
      </c>
      <c r="R5" s="728" t="s">
        <v>6</v>
      </c>
      <c r="S5" s="728" t="s">
        <v>135</v>
      </c>
      <c r="T5" s="728" t="s">
        <v>136</v>
      </c>
      <c r="U5" s="728" t="s">
        <v>137</v>
      </c>
      <c r="V5" s="728" t="s">
        <v>286</v>
      </c>
      <c r="W5" s="728" t="s">
        <v>291</v>
      </c>
    </row>
    <row r="6" spans="1:23" s="18" customFormat="1" ht="21.75" customHeight="1" thickBot="1">
      <c r="A6" s="15"/>
      <c r="B6" s="1273"/>
      <c r="C6" s="1273"/>
      <c r="D6" s="1273"/>
      <c r="E6" s="16"/>
      <c r="F6" s="594"/>
      <c r="G6" s="594"/>
      <c r="H6" s="594"/>
      <c r="I6" s="594"/>
      <c r="J6" s="594"/>
      <c r="K6" s="594"/>
      <c r="L6" s="520"/>
      <c r="M6" s="715"/>
      <c r="N6" s="715"/>
      <c r="O6" s="715"/>
      <c r="P6" s="715"/>
      <c r="Q6" s="715"/>
      <c r="R6" s="533"/>
      <c r="S6" s="533"/>
      <c r="T6" s="533"/>
      <c r="U6" s="533"/>
      <c r="V6" s="533"/>
      <c r="W6" s="533"/>
    </row>
    <row r="7" spans="1:23" s="18" customFormat="1" ht="21.75" customHeight="1" thickBot="1">
      <c r="A7" s="15" t="s">
        <v>10</v>
      </c>
      <c r="B7" s="1273" t="s">
        <v>11</v>
      </c>
      <c r="C7" s="1273"/>
      <c r="D7" s="1273"/>
      <c r="E7" s="19" t="s">
        <v>12</v>
      </c>
      <c r="F7" s="520">
        <f>F8+F13+F16+F17+F20</f>
        <v>16897600</v>
      </c>
      <c r="G7" s="520">
        <f>G8+G13+G16+G17+G20</f>
        <v>16897600</v>
      </c>
      <c r="H7" s="520">
        <f>H8+H13+H16+H17+H20</f>
        <v>16897600</v>
      </c>
      <c r="I7" s="520">
        <f>I8+I13+I16+I17+I20</f>
        <v>20957302</v>
      </c>
      <c r="J7" s="520">
        <f>J8+J13+J16+J17+J20</f>
        <v>20210612</v>
      </c>
      <c r="K7" s="1128">
        <f>+J7/I7</f>
        <v>0.9643708908713535</v>
      </c>
      <c r="L7" s="520">
        <f aca="true" t="shared" si="0" ref="L7:P12">F7-R7</f>
        <v>10861475</v>
      </c>
      <c r="M7" s="520">
        <f t="shared" si="0"/>
        <v>8789029</v>
      </c>
      <c r="N7" s="520">
        <f t="shared" si="0"/>
        <v>8789030</v>
      </c>
      <c r="O7" s="520">
        <f t="shared" si="0"/>
        <v>19401928</v>
      </c>
      <c r="P7" s="520">
        <f t="shared" si="0"/>
        <v>18655238</v>
      </c>
      <c r="Q7" s="1128">
        <f>+P7/O7</f>
        <v>0.9615146494719494</v>
      </c>
      <c r="R7" s="520">
        <f>R8+R13+R16+R17</f>
        <v>6036125</v>
      </c>
      <c r="S7" s="520">
        <f>S8+S13+S16+S17</f>
        <v>8108571</v>
      </c>
      <c r="T7" s="520">
        <f>T8+T13+T16+T17</f>
        <v>8108570</v>
      </c>
      <c r="U7" s="520">
        <f>U8+U13+U16+U17</f>
        <v>1555374</v>
      </c>
      <c r="V7" s="520">
        <f>V8+V13+V16+V17</f>
        <v>1555374</v>
      </c>
      <c r="W7" s="1128">
        <f>+V7/U7</f>
        <v>1</v>
      </c>
    </row>
    <row r="8" spans="1:23" ht="21.75" customHeight="1">
      <c r="A8" s="20"/>
      <c r="B8" s="21" t="s">
        <v>13</v>
      </c>
      <c r="C8" s="1282" t="s">
        <v>14</v>
      </c>
      <c r="D8" s="1282"/>
      <c r="E8" s="22" t="s">
        <v>15</v>
      </c>
      <c r="F8" s="521">
        <f>F10+F9</f>
        <v>2003046</v>
      </c>
      <c r="G8" s="521">
        <f>G10+G9</f>
        <v>2003046</v>
      </c>
      <c r="H8" s="521">
        <f>H10+H9</f>
        <v>2003046</v>
      </c>
      <c r="I8" s="521">
        <f>I10+I9</f>
        <v>2385972</v>
      </c>
      <c r="J8" s="521">
        <f>J10+J9</f>
        <v>2200956</v>
      </c>
      <c r="K8" s="1129">
        <f aca="true" t="shared" si="1" ref="K8:K63">+J8/I8</f>
        <v>0.9224567597608019</v>
      </c>
      <c r="L8" s="523">
        <f t="shared" si="0"/>
        <v>2003046</v>
      </c>
      <c r="M8" s="523">
        <f t="shared" si="0"/>
        <v>2003046</v>
      </c>
      <c r="N8" s="523">
        <f t="shared" si="0"/>
        <v>2003046</v>
      </c>
      <c r="O8" s="523">
        <f t="shared" si="0"/>
        <v>2385972</v>
      </c>
      <c r="P8" s="523">
        <f t="shared" si="0"/>
        <v>2200956</v>
      </c>
      <c r="Q8" s="1129">
        <f aca="true" t="shared" si="2" ref="Q8:Q63">+P8/O8</f>
        <v>0.9224567597608019</v>
      </c>
      <c r="R8" s="523"/>
      <c r="S8" s="523"/>
      <c r="T8" s="523"/>
      <c r="U8" s="523"/>
      <c r="V8" s="523"/>
      <c r="W8" s="1129"/>
    </row>
    <row r="9" spans="1:23" ht="21.75" customHeight="1">
      <c r="A9" s="23"/>
      <c r="B9" s="24"/>
      <c r="C9" s="24" t="s">
        <v>16</v>
      </c>
      <c r="D9" s="25" t="s">
        <v>17</v>
      </c>
      <c r="E9" s="26"/>
      <c r="F9" s="522"/>
      <c r="G9" s="522"/>
      <c r="H9" s="522"/>
      <c r="I9" s="522"/>
      <c r="J9" s="522"/>
      <c r="K9" s="1130"/>
      <c r="L9" s="522">
        <f t="shared" si="0"/>
        <v>0</v>
      </c>
      <c r="M9" s="522">
        <f t="shared" si="0"/>
        <v>0</v>
      </c>
      <c r="N9" s="522">
        <f t="shared" si="0"/>
        <v>0</v>
      </c>
      <c r="O9" s="522">
        <f t="shared" si="0"/>
        <v>0</v>
      </c>
      <c r="P9" s="522">
        <f t="shared" si="0"/>
        <v>0</v>
      </c>
      <c r="Q9" s="1130"/>
      <c r="R9" s="522"/>
      <c r="S9" s="522"/>
      <c r="T9" s="522"/>
      <c r="U9" s="522"/>
      <c r="V9" s="522"/>
      <c r="W9" s="1130"/>
    </row>
    <row r="10" spans="1:23" ht="21.75" customHeight="1">
      <c r="A10" s="23"/>
      <c r="B10" s="24"/>
      <c r="C10" s="24" t="s">
        <v>18</v>
      </c>
      <c r="D10" s="25" t="s">
        <v>19</v>
      </c>
      <c r="E10" s="26"/>
      <c r="F10" s="522">
        <v>2003046</v>
      </c>
      <c r="G10" s="522">
        <v>2003046</v>
      </c>
      <c r="H10" s="522">
        <v>2003046</v>
      </c>
      <c r="I10" s="522">
        <v>2385972</v>
      </c>
      <c r="J10" s="522">
        <v>2200956</v>
      </c>
      <c r="K10" s="1130">
        <f t="shared" si="1"/>
        <v>0.9224567597608019</v>
      </c>
      <c r="L10" s="522">
        <f t="shared" si="0"/>
        <v>2003046</v>
      </c>
      <c r="M10" s="522">
        <f t="shared" si="0"/>
        <v>2003046</v>
      </c>
      <c r="N10" s="522">
        <f t="shared" si="0"/>
        <v>2003046</v>
      </c>
      <c r="O10" s="522">
        <f t="shared" si="0"/>
        <v>2385972</v>
      </c>
      <c r="P10" s="522">
        <f t="shared" si="0"/>
        <v>2200956</v>
      </c>
      <c r="Q10" s="1130">
        <f t="shared" si="2"/>
        <v>0.9224567597608019</v>
      </c>
      <c r="R10" s="522"/>
      <c r="S10" s="522"/>
      <c r="T10" s="522"/>
      <c r="U10" s="522"/>
      <c r="V10" s="522"/>
      <c r="W10" s="1130"/>
    </row>
    <row r="11" spans="1:23" ht="21.75" customHeight="1">
      <c r="A11" s="23"/>
      <c r="B11" s="24"/>
      <c r="C11" s="24" t="s">
        <v>20</v>
      </c>
      <c r="D11" s="25" t="s">
        <v>21</v>
      </c>
      <c r="E11" s="26"/>
      <c r="F11" s="522"/>
      <c r="G11" s="522"/>
      <c r="H11" s="522"/>
      <c r="I11" s="522"/>
      <c r="J11" s="522"/>
      <c r="K11" s="1130"/>
      <c r="L11" s="522">
        <f t="shared" si="0"/>
        <v>0</v>
      </c>
      <c r="M11" s="522">
        <f t="shared" si="0"/>
        <v>0</v>
      </c>
      <c r="N11" s="522">
        <f t="shared" si="0"/>
        <v>0</v>
      </c>
      <c r="O11" s="522">
        <f t="shared" si="0"/>
        <v>0</v>
      </c>
      <c r="P11" s="522">
        <f t="shared" si="0"/>
        <v>0</v>
      </c>
      <c r="Q11" s="1130"/>
      <c r="R11" s="522"/>
      <c r="S11" s="522"/>
      <c r="T11" s="522"/>
      <c r="U11" s="522"/>
      <c r="V11" s="522"/>
      <c r="W11" s="1130"/>
    </row>
    <row r="12" spans="1:25" ht="21.75" customHeight="1" hidden="1">
      <c r="A12" s="23"/>
      <c r="B12" s="24"/>
      <c r="C12" s="24"/>
      <c r="D12" s="25"/>
      <c r="E12" s="26"/>
      <c r="F12" s="522"/>
      <c r="G12" s="522"/>
      <c r="H12" s="522"/>
      <c r="I12" s="522"/>
      <c r="J12" s="522"/>
      <c r="K12" s="1130" t="e">
        <f t="shared" si="1"/>
        <v>#DIV/0!</v>
      </c>
      <c r="L12" s="522">
        <f t="shared" si="0"/>
        <v>0</v>
      </c>
      <c r="M12" s="522">
        <f t="shared" si="0"/>
        <v>0</v>
      </c>
      <c r="N12" s="522">
        <f t="shared" si="0"/>
        <v>0</v>
      </c>
      <c r="O12" s="522">
        <f t="shared" si="0"/>
        <v>0</v>
      </c>
      <c r="P12" s="522">
        <f t="shared" si="0"/>
        <v>0</v>
      </c>
      <c r="Q12" s="1130" t="e">
        <f t="shared" si="2"/>
        <v>#DIV/0!</v>
      </c>
      <c r="R12" s="522"/>
      <c r="S12" s="522"/>
      <c r="T12" s="522"/>
      <c r="U12" s="522"/>
      <c r="V12" s="522"/>
      <c r="W12" s="1130" t="e">
        <f>+V12/U12</f>
        <v>#DIV/0!</v>
      </c>
      <c r="Y12" t="s">
        <v>22</v>
      </c>
    </row>
    <row r="13" spans="1:23" ht="21.75" customHeight="1">
      <c r="A13" s="23"/>
      <c r="B13" s="24" t="s">
        <v>23</v>
      </c>
      <c r="C13" s="1283" t="s">
        <v>24</v>
      </c>
      <c r="D13" s="1283"/>
      <c r="E13" s="28" t="s">
        <v>25</v>
      </c>
      <c r="F13" s="522">
        <f aca="true" t="shared" si="3" ref="F13:O13">F14+F15</f>
        <v>11568354</v>
      </c>
      <c r="G13" s="522">
        <f t="shared" si="3"/>
        <v>11568354</v>
      </c>
      <c r="H13" s="522">
        <f t="shared" si="3"/>
        <v>11568354</v>
      </c>
      <c r="I13" s="522">
        <f t="shared" si="3"/>
        <v>14476200</v>
      </c>
      <c r="J13" s="522">
        <f>J14+J15</f>
        <v>14327785</v>
      </c>
      <c r="K13" s="1130">
        <f t="shared" si="1"/>
        <v>0.9897476547712798</v>
      </c>
      <c r="L13" s="522">
        <f t="shared" si="3"/>
        <v>5532229</v>
      </c>
      <c r="M13" s="522">
        <f t="shared" si="3"/>
        <v>3459783</v>
      </c>
      <c r="N13" s="522">
        <f t="shared" si="3"/>
        <v>3459784</v>
      </c>
      <c r="O13" s="522">
        <f t="shared" si="3"/>
        <v>12920826</v>
      </c>
      <c r="P13" s="522">
        <f>P14+P15</f>
        <v>12772411</v>
      </c>
      <c r="Q13" s="1130">
        <f t="shared" si="2"/>
        <v>0.9885135052511349</v>
      </c>
      <c r="R13" s="522">
        <f>SUM(R14:R15)</f>
        <v>6036125</v>
      </c>
      <c r="S13" s="522">
        <f>SUM(S14:S15)</f>
        <v>8108571</v>
      </c>
      <c r="T13" s="522">
        <f>SUM(T14:T15)</f>
        <v>8108570</v>
      </c>
      <c r="U13" s="522">
        <f>SUM(U14:U15)</f>
        <v>1555374</v>
      </c>
      <c r="V13" s="522">
        <f>SUM(V14:V15)</f>
        <v>1555374</v>
      </c>
      <c r="W13" s="1130">
        <f>+V13/U13</f>
        <v>1</v>
      </c>
    </row>
    <row r="14" spans="1:23" ht="21.75" customHeight="1">
      <c r="A14" s="23"/>
      <c r="B14" s="24"/>
      <c r="C14" s="24" t="s">
        <v>26</v>
      </c>
      <c r="D14" s="27" t="s">
        <v>438</v>
      </c>
      <c r="E14" s="28"/>
      <c r="F14" s="522">
        <v>11568354</v>
      </c>
      <c r="G14" s="522">
        <v>11568354</v>
      </c>
      <c r="H14" s="522">
        <v>11568354</v>
      </c>
      <c r="I14" s="522">
        <v>14476200</v>
      </c>
      <c r="J14" s="522">
        <v>14327785</v>
      </c>
      <c r="K14" s="1130">
        <f t="shared" si="1"/>
        <v>0.9897476547712798</v>
      </c>
      <c r="L14" s="522">
        <f aca="true" t="shared" si="4" ref="L14:L28">F14-R14</f>
        <v>5532229</v>
      </c>
      <c r="M14" s="522">
        <f aca="true" t="shared" si="5" ref="M14:M28">G14-S14</f>
        <v>3459783</v>
      </c>
      <c r="N14" s="522">
        <f aca="true" t="shared" si="6" ref="N14:N28">H14-T14</f>
        <v>3459784</v>
      </c>
      <c r="O14" s="522">
        <f aca="true" t="shared" si="7" ref="O14:P28">I14-U14</f>
        <v>12920826</v>
      </c>
      <c r="P14" s="522">
        <f t="shared" si="7"/>
        <v>12772411</v>
      </c>
      <c r="Q14" s="1130">
        <f t="shared" si="2"/>
        <v>0.9885135052511349</v>
      </c>
      <c r="R14" s="522">
        <f>+'4.sz.m.ÖNK kiadás'!R36-R23</f>
        <v>6036125</v>
      </c>
      <c r="S14" s="522">
        <f>+'4.sz.m.ÖNK kiadás'!S36-S23</f>
        <v>8108571</v>
      </c>
      <c r="T14" s="522">
        <f>+'4.sz.m.ÖNK kiadás'!T36-T23</f>
        <v>8108570</v>
      </c>
      <c r="U14" s="522">
        <f>3672860-2117486</f>
        <v>1555374</v>
      </c>
      <c r="V14" s="522">
        <f>3672860-2117486</f>
        <v>1555374</v>
      </c>
      <c r="W14" s="1130">
        <f>+V14/U14</f>
        <v>1</v>
      </c>
    </row>
    <row r="15" spans="1:23" ht="21.75" customHeight="1">
      <c r="A15" s="23"/>
      <c r="B15" s="24"/>
      <c r="C15" s="24" t="s">
        <v>28</v>
      </c>
      <c r="D15" s="27" t="s">
        <v>29</v>
      </c>
      <c r="E15" s="28"/>
      <c r="F15" s="522"/>
      <c r="G15" s="522"/>
      <c r="H15" s="522"/>
      <c r="I15" s="522"/>
      <c r="J15" s="522"/>
      <c r="K15" s="1130"/>
      <c r="L15" s="522">
        <f t="shared" si="4"/>
        <v>0</v>
      </c>
      <c r="M15" s="522">
        <f t="shared" si="5"/>
        <v>0</v>
      </c>
      <c r="N15" s="522">
        <f t="shared" si="6"/>
        <v>0</v>
      </c>
      <c r="O15" s="522">
        <f t="shared" si="7"/>
        <v>0</v>
      </c>
      <c r="P15" s="522">
        <f t="shared" si="7"/>
        <v>0</v>
      </c>
      <c r="Q15" s="1130"/>
      <c r="R15" s="522"/>
      <c r="S15" s="522"/>
      <c r="T15" s="522"/>
      <c r="U15" s="522"/>
      <c r="V15" s="522"/>
      <c r="W15" s="1130"/>
    </row>
    <row r="16" spans="1:23" ht="21.75" customHeight="1">
      <c r="A16" s="23"/>
      <c r="B16" s="24" t="s">
        <v>30</v>
      </c>
      <c r="C16" s="1283" t="s">
        <v>31</v>
      </c>
      <c r="D16" s="1283"/>
      <c r="E16" s="28" t="s">
        <v>32</v>
      </c>
      <c r="F16" s="522">
        <v>1722000</v>
      </c>
      <c r="G16" s="522">
        <v>1722000</v>
      </c>
      <c r="H16" s="522">
        <v>1722000</v>
      </c>
      <c r="I16" s="522">
        <v>1884036</v>
      </c>
      <c r="J16" s="522">
        <v>1878719</v>
      </c>
      <c r="K16" s="1130">
        <f t="shared" si="1"/>
        <v>0.9971778670895886</v>
      </c>
      <c r="L16" s="522">
        <f t="shared" si="4"/>
        <v>1722000</v>
      </c>
      <c r="M16" s="522">
        <f t="shared" si="5"/>
        <v>1722000</v>
      </c>
      <c r="N16" s="522">
        <f t="shared" si="6"/>
        <v>1722000</v>
      </c>
      <c r="O16" s="522">
        <f t="shared" si="7"/>
        <v>1884036</v>
      </c>
      <c r="P16" s="522">
        <f t="shared" si="7"/>
        <v>1878719</v>
      </c>
      <c r="Q16" s="1130">
        <f t="shared" si="2"/>
        <v>0.9971778670895886</v>
      </c>
      <c r="R16" s="522"/>
      <c r="S16" s="522"/>
      <c r="T16" s="522"/>
      <c r="U16" s="522"/>
      <c r="V16" s="522"/>
      <c r="W16" s="1130"/>
    </row>
    <row r="17" spans="1:23" ht="21.75" customHeight="1">
      <c r="A17" s="23"/>
      <c r="B17" s="24" t="s">
        <v>33</v>
      </c>
      <c r="C17" s="1337" t="s">
        <v>34</v>
      </c>
      <c r="D17" s="1337"/>
      <c r="E17" s="29" t="s">
        <v>35</v>
      </c>
      <c r="F17" s="522">
        <v>0</v>
      </c>
      <c r="G17" s="522">
        <v>0</v>
      </c>
      <c r="H17" s="522">
        <v>0</v>
      </c>
      <c r="I17" s="522">
        <v>0</v>
      </c>
      <c r="J17" s="522">
        <v>0</v>
      </c>
      <c r="K17" s="1130"/>
      <c r="L17" s="522">
        <f t="shared" si="4"/>
        <v>0</v>
      </c>
      <c r="M17" s="522">
        <f t="shared" si="5"/>
        <v>0</v>
      </c>
      <c r="N17" s="522">
        <f t="shared" si="6"/>
        <v>0</v>
      </c>
      <c r="O17" s="522">
        <f t="shared" si="7"/>
        <v>0</v>
      </c>
      <c r="P17" s="522">
        <f t="shared" si="7"/>
        <v>0</v>
      </c>
      <c r="Q17" s="1130"/>
      <c r="R17" s="522"/>
      <c r="S17" s="522"/>
      <c r="T17" s="522"/>
      <c r="U17" s="522"/>
      <c r="V17" s="522"/>
      <c r="W17" s="1130"/>
    </row>
    <row r="18" spans="1:23" ht="21.75" customHeight="1">
      <c r="A18" s="23"/>
      <c r="B18" s="24"/>
      <c r="C18" s="24" t="s">
        <v>36</v>
      </c>
      <c r="D18" s="27" t="s">
        <v>37</v>
      </c>
      <c r="E18" s="28"/>
      <c r="F18" s="522"/>
      <c r="G18" s="522"/>
      <c r="H18" s="522"/>
      <c r="I18" s="522"/>
      <c r="J18" s="522"/>
      <c r="K18" s="1130"/>
      <c r="L18" s="522">
        <f t="shared" si="4"/>
        <v>0</v>
      </c>
      <c r="M18" s="522">
        <f t="shared" si="5"/>
        <v>0</v>
      </c>
      <c r="N18" s="522">
        <f t="shared" si="6"/>
        <v>0</v>
      </c>
      <c r="O18" s="522">
        <f t="shared" si="7"/>
        <v>0</v>
      </c>
      <c r="P18" s="522">
        <f t="shared" si="7"/>
        <v>0</v>
      </c>
      <c r="Q18" s="1130"/>
      <c r="R18" s="522"/>
      <c r="S18" s="522"/>
      <c r="T18" s="522"/>
      <c r="U18" s="522"/>
      <c r="V18" s="522"/>
      <c r="W18" s="1130"/>
    </row>
    <row r="19" spans="1:23" ht="21.75" customHeight="1">
      <c r="A19" s="23"/>
      <c r="B19" s="24"/>
      <c r="C19" s="24" t="s">
        <v>38</v>
      </c>
      <c r="D19" s="27" t="s">
        <v>39</v>
      </c>
      <c r="E19" s="28"/>
      <c r="F19" s="522">
        <v>0</v>
      </c>
      <c r="G19" s="522">
        <v>0</v>
      </c>
      <c r="H19" s="522">
        <v>0</v>
      </c>
      <c r="I19" s="522">
        <v>0</v>
      </c>
      <c r="J19" s="522">
        <v>0</v>
      </c>
      <c r="K19" s="1130"/>
      <c r="L19" s="522">
        <f t="shared" si="4"/>
        <v>0</v>
      </c>
      <c r="M19" s="522">
        <f t="shared" si="5"/>
        <v>0</v>
      </c>
      <c r="N19" s="522">
        <f t="shared" si="6"/>
        <v>0</v>
      </c>
      <c r="O19" s="522">
        <f t="shared" si="7"/>
        <v>0</v>
      </c>
      <c r="P19" s="522">
        <f t="shared" si="7"/>
        <v>0</v>
      </c>
      <c r="Q19" s="1130"/>
      <c r="R19" s="522"/>
      <c r="S19" s="522"/>
      <c r="T19" s="522"/>
      <c r="U19" s="522"/>
      <c r="V19" s="522"/>
      <c r="W19" s="1130"/>
    </row>
    <row r="20" spans="1:23" ht="21.75" customHeight="1" thickBot="1">
      <c r="A20" s="30"/>
      <c r="B20" s="31" t="s">
        <v>40</v>
      </c>
      <c r="C20" s="1336" t="s">
        <v>41</v>
      </c>
      <c r="D20" s="1336"/>
      <c r="E20" s="32" t="s">
        <v>42</v>
      </c>
      <c r="F20" s="522">
        <v>1604200</v>
      </c>
      <c r="G20" s="522">
        <v>1604200</v>
      </c>
      <c r="H20" s="522">
        <v>1604200</v>
      </c>
      <c r="I20" s="522">
        <v>2211094</v>
      </c>
      <c r="J20" s="522">
        <f>179049+135000+1090583+398520</f>
        <v>1803152</v>
      </c>
      <c r="K20" s="1130">
        <f t="shared" si="1"/>
        <v>0.8155021903184577</v>
      </c>
      <c r="L20" s="532">
        <f t="shared" si="4"/>
        <v>1604200</v>
      </c>
      <c r="M20" s="532">
        <f t="shared" si="5"/>
        <v>1604200</v>
      </c>
      <c r="N20" s="532">
        <f t="shared" si="6"/>
        <v>1604200</v>
      </c>
      <c r="O20" s="532">
        <f t="shared" si="7"/>
        <v>2211094</v>
      </c>
      <c r="P20" s="532">
        <f t="shared" si="7"/>
        <v>1803152</v>
      </c>
      <c r="Q20" s="1130">
        <f t="shared" si="2"/>
        <v>0.8155021903184577</v>
      </c>
      <c r="R20" s="532"/>
      <c r="S20" s="532"/>
      <c r="T20" s="532"/>
      <c r="U20" s="532"/>
      <c r="V20" s="532"/>
      <c r="W20" s="1130"/>
    </row>
    <row r="21" spans="1:23" ht="21.75" customHeight="1" thickBot="1">
      <c r="A21" s="15" t="s">
        <v>43</v>
      </c>
      <c r="B21" s="1273" t="s">
        <v>44</v>
      </c>
      <c r="C21" s="1273"/>
      <c r="D21" s="1273"/>
      <c r="E21" s="16" t="s">
        <v>45</v>
      </c>
      <c r="F21" s="520">
        <f>F22+F23+F24+F25+F32+F33+F34</f>
        <v>6273389</v>
      </c>
      <c r="G21" s="520">
        <f>G22+G23+G24+G25+G32+G33+G34</f>
        <v>6350253</v>
      </c>
      <c r="H21" s="520">
        <f>H22+H23+H24+H25+H32+H33+H34</f>
        <v>6301736</v>
      </c>
      <c r="I21" s="520">
        <f>I22+I23+I24+I25+I32+I33+I34</f>
        <v>4355709</v>
      </c>
      <c r="J21" s="520">
        <f>J22+J23+J24+J25+J32+J33+J34</f>
        <v>4072138</v>
      </c>
      <c r="K21" s="1128">
        <f t="shared" si="1"/>
        <v>0.9348967068277518</v>
      </c>
      <c r="L21" s="520">
        <f t="shared" si="4"/>
        <v>4744909</v>
      </c>
      <c r="M21" s="520">
        <f t="shared" si="5"/>
        <v>4821773</v>
      </c>
      <c r="N21" s="520">
        <f t="shared" si="6"/>
        <v>4773255</v>
      </c>
      <c r="O21" s="520">
        <f t="shared" si="7"/>
        <v>4355709</v>
      </c>
      <c r="P21" s="520">
        <f t="shared" si="7"/>
        <v>4072138</v>
      </c>
      <c r="Q21" s="1128">
        <f t="shared" si="2"/>
        <v>0.9348967068277518</v>
      </c>
      <c r="R21" s="520">
        <f>R22+R23+R24+R25+R32+R33+R34</f>
        <v>1528480</v>
      </c>
      <c r="S21" s="520">
        <f>S22+S23+S24+S25+S32+S33+S34</f>
        <v>1528480</v>
      </c>
      <c r="T21" s="520">
        <f>T22+T23+T24+T25+T32+T33+T34</f>
        <v>1528481</v>
      </c>
      <c r="U21" s="520">
        <f>U22+U23+U24+U25+U32+U33+U34</f>
        <v>0</v>
      </c>
      <c r="V21" s="520">
        <f>V22+V23+V24+V25+V32+V33+V34</f>
        <v>0</v>
      </c>
      <c r="W21" s="1128"/>
    </row>
    <row r="22" spans="1:23" ht="21.75" customHeight="1">
      <c r="A22" s="475"/>
      <c r="B22" s="448">
        <v>20</v>
      </c>
      <c r="C22" s="1282" t="s">
        <v>393</v>
      </c>
      <c r="D22" s="1335"/>
      <c r="E22" s="22" t="s">
        <v>396</v>
      </c>
      <c r="F22" s="523"/>
      <c r="G22" s="523"/>
      <c r="H22" s="523"/>
      <c r="I22" s="523"/>
      <c r="J22" s="523"/>
      <c r="K22" s="1131"/>
      <c r="L22" s="523">
        <f t="shared" si="4"/>
        <v>0</v>
      </c>
      <c r="M22" s="523">
        <f t="shared" si="5"/>
        <v>0</v>
      </c>
      <c r="N22" s="523">
        <f t="shared" si="6"/>
        <v>0</v>
      </c>
      <c r="O22" s="523">
        <f t="shared" si="7"/>
        <v>0</v>
      </c>
      <c r="P22" s="523">
        <f t="shared" si="7"/>
        <v>0</v>
      </c>
      <c r="Q22" s="1131"/>
      <c r="R22" s="523"/>
      <c r="S22" s="523"/>
      <c r="T22" s="523"/>
      <c r="U22" s="523"/>
      <c r="V22" s="523"/>
      <c r="W22" s="1131"/>
    </row>
    <row r="23" spans="1:23" ht="21.75" customHeight="1">
      <c r="A23" s="33"/>
      <c r="B23" s="34" t="s">
        <v>46</v>
      </c>
      <c r="C23" s="1270" t="s">
        <v>47</v>
      </c>
      <c r="D23" s="1270"/>
      <c r="E23" s="36" t="s">
        <v>48</v>
      </c>
      <c r="F23" s="663">
        <v>3738480</v>
      </c>
      <c r="G23" s="663">
        <v>3738480</v>
      </c>
      <c r="H23" s="663">
        <v>3738480</v>
      </c>
      <c r="I23" s="663">
        <v>2210000</v>
      </c>
      <c r="J23" s="663">
        <f>269100+1786143</f>
        <v>2055243</v>
      </c>
      <c r="K23" s="1132">
        <f t="shared" si="1"/>
        <v>0.9299742081447964</v>
      </c>
      <c r="L23" s="522">
        <f t="shared" si="4"/>
        <v>2210000</v>
      </c>
      <c r="M23" s="522">
        <f t="shared" si="5"/>
        <v>2210000</v>
      </c>
      <c r="N23" s="522">
        <f t="shared" si="6"/>
        <v>2209999</v>
      </c>
      <c r="O23" s="912">
        <f t="shared" si="7"/>
        <v>2210000</v>
      </c>
      <c r="P23" s="912">
        <f t="shared" si="7"/>
        <v>2055243</v>
      </c>
      <c r="Q23" s="1132">
        <f t="shared" si="2"/>
        <v>0.9299742081447964</v>
      </c>
      <c r="R23" s="522">
        <v>1528480</v>
      </c>
      <c r="S23" s="522">
        <v>1528480</v>
      </c>
      <c r="T23" s="522">
        <v>1528481</v>
      </c>
      <c r="U23" s="912">
        <v>0</v>
      </c>
      <c r="V23" s="912">
        <v>0</v>
      </c>
      <c r="W23" s="1132"/>
    </row>
    <row r="24" spans="1:23" ht="21.75" customHeight="1">
      <c r="A24" s="23"/>
      <c r="B24" s="24" t="s">
        <v>49</v>
      </c>
      <c r="C24" s="1272" t="s">
        <v>233</v>
      </c>
      <c r="D24" s="1272"/>
      <c r="E24" s="26" t="s">
        <v>51</v>
      </c>
      <c r="F24" s="45"/>
      <c r="G24" s="45">
        <v>300000</v>
      </c>
      <c r="H24" s="45">
        <v>300000</v>
      </c>
      <c r="I24" s="45">
        <v>300000</v>
      </c>
      <c r="J24" s="45">
        <v>230280</v>
      </c>
      <c r="K24" s="1133">
        <f t="shared" si="1"/>
        <v>0.7676</v>
      </c>
      <c r="L24" s="522">
        <f t="shared" si="4"/>
        <v>0</v>
      </c>
      <c r="M24" s="522">
        <f t="shared" si="5"/>
        <v>300000</v>
      </c>
      <c r="N24" s="522">
        <f t="shared" si="6"/>
        <v>300000</v>
      </c>
      <c r="O24" s="522">
        <f t="shared" si="7"/>
        <v>300000</v>
      </c>
      <c r="P24" s="522">
        <f t="shared" si="7"/>
        <v>230280</v>
      </c>
      <c r="Q24" s="1133">
        <f t="shared" si="2"/>
        <v>0.7676</v>
      </c>
      <c r="R24" s="427"/>
      <c r="S24" s="427"/>
      <c r="T24" s="427"/>
      <c r="U24" s="427"/>
      <c r="V24" s="427"/>
      <c r="W24" s="1133"/>
    </row>
    <row r="25" spans="1:23" ht="21.75" customHeight="1">
      <c r="A25" s="23"/>
      <c r="B25" s="24" t="s">
        <v>52</v>
      </c>
      <c r="C25" s="1272" t="s">
        <v>53</v>
      </c>
      <c r="D25" s="1272"/>
      <c r="E25" s="26" t="s">
        <v>54</v>
      </c>
      <c r="F25" s="45">
        <f>F26+F27+F28+F29</f>
        <v>1198529</v>
      </c>
      <c r="G25" s="45">
        <f>G26+G27+G28+G29</f>
        <v>1198529</v>
      </c>
      <c r="H25" s="45">
        <f>H26+H27+H28+H29</f>
        <v>1198529</v>
      </c>
      <c r="I25" s="45">
        <f>I26+I27+I28+I29</f>
        <v>1380465</v>
      </c>
      <c r="J25" s="1541">
        <f>J26+J27+J28+J29</f>
        <v>1380465</v>
      </c>
      <c r="K25" s="1542">
        <f t="shared" si="1"/>
        <v>1</v>
      </c>
      <c r="L25" s="1543">
        <f t="shared" si="4"/>
        <v>1198529</v>
      </c>
      <c r="M25" s="1543">
        <f t="shared" si="5"/>
        <v>1198529</v>
      </c>
      <c r="N25" s="1543">
        <f t="shared" si="6"/>
        <v>1198529</v>
      </c>
      <c r="O25" s="1543">
        <f t="shared" si="7"/>
        <v>1380465</v>
      </c>
      <c r="P25" s="1543">
        <f t="shared" si="7"/>
        <v>1380465</v>
      </c>
      <c r="Q25" s="1542">
        <f t="shared" si="2"/>
        <v>1</v>
      </c>
      <c r="R25" s="427"/>
      <c r="S25" s="427"/>
      <c r="T25" s="427"/>
      <c r="U25" s="427"/>
      <c r="V25" s="427"/>
      <c r="W25" s="1133"/>
    </row>
    <row r="26" spans="1:23" ht="33.75" customHeight="1">
      <c r="A26" s="23"/>
      <c r="B26" s="24"/>
      <c r="C26" s="24" t="s">
        <v>55</v>
      </c>
      <c r="D26" s="25" t="s">
        <v>484</v>
      </c>
      <c r="E26" s="26"/>
      <c r="F26" s="45">
        <v>1140995</v>
      </c>
      <c r="G26" s="45">
        <v>1140995</v>
      </c>
      <c r="H26" s="45">
        <v>1140995</v>
      </c>
      <c r="I26" s="45">
        <f>1380465-57534</f>
        <v>1322931</v>
      </c>
      <c r="J26" s="1541">
        <v>1351698</v>
      </c>
      <c r="K26" s="1542">
        <f t="shared" si="1"/>
        <v>1.02174489826</v>
      </c>
      <c r="L26" s="1543">
        <f t="shared" si="4"/>
        <v>1140995</v>
      </c>
      <c r="M26" s="1543">
        <f t="shared" si="5"/>
        <v>1140995</v>
      </c>
      <c r="N26" s="1543">
        <f t="shared" si="6"/>
        <v>1140995</v>
      </c>
      <c r="O26" s="1543">
        <f t="shared" si="7"/>
        <v>1322931</v>
      </c>
      <c r="P26" s="1543">
        <f t="shared" si="7"/>
        <v>1351698</v>
      </c>
      <c r="Q26" s="1542">
        <f t="shared" si="2"/>
        <v>1.02174489826</v>
      </c>
      <c r="R26" s="427"/>
      <c r="S26" s="427"/>
      <c r="T26" s="427"/>
      <c r="U26" s="427"/>
      <c r="V26" s="427"/>
      <c r="W26" s="1134"/>
    </row>
    <row r="27" spans="1:23" ht="41.25" customHeight="1">
      <c r="A27" s="23"/>
      <c r="B27" s="24"/>
      <c r="C27" s="24" t="s">
        <v>57</v>
      </c>
      <c r="D27" s="25" t="s">
        <v>58</v>
      </c>
      <c r="E27" s="26"/>
      <c r="F27" s="45">
        <v>57534</v>
      </c>
      <c r="G27" s="45">
        <v>57534</v>
      </c>
      <c r="H27" s="45">
        <v>57534</v>
      </c>
      <c r="I27" s="45">
        <v>57534</v>
      </c>
      <c r="J27" s="45">
        <v>28767</v>
      </c>
      <c r="K27" s="1133">
        <f t="shared" si="1"/>
        <v>0.5</v>
      </c>
      <c r="L27" s="522">
        <f t="shared" si="4"/>
        <v>57534</v>
      </c>
      <c r="M27" s="522">
        <f t="shared" si="5"/>
        <v>57534</v>
      </c>
      <c r="N27" s="522">
        <f t="shared" si="6"/>
        <v>57534</v>
      </c>
      <c r="O27" s="522">
        <f t="shared" si="7"/>
        <v>57534</v>
      </c>
      <c r="P27" s="522">
        <f t="shared" si="7"/>
        <v>28767</v>
      </c>
      <c r="Q27" s="1133">
        <f t="shared" si="2"/>
        <v>0.5</v>
      </c>
      <c r="R27" s="427"/>
      <c r="S27" s="427"/>
      <c r="T27" s="427"/>
      <c r="U27" s="427"/>
      <c r="V27" s="427"/>
      <c r="W27" s="1133"/>
    </row>
    <row r="28" spans="1:23" ht="21.75" customHeight="1">
      <c r="A28" s="23"/>
      <c r="B28" s="24"/>
      <c r="C28" s="24" t="s">
        <v>59</v>
      </c>
      <c r="D28" s="25" t="s">
        <v>60</v>
      </c>
      <c r="E28" s="26"/>
      <c r="F28" s="45"/>
      <c r="G28" s="45"/>
      <c r="H28" s="45"/>
      <c r="I28" s="45"/>
      <c r="J28" s="45"/>
      <c r="K28" s="1133"/>
      <c r="L28" s="522">
        <f t="shared" si="4"/>
        <v>0</v>
      </c>
      <c r="M28" s="522">
        <f t="shared" si="5"/>
        <v>0</v>
      </c>
      <c r="N28" s="522">
        <f t="shared" si="6"/>
        <v>0</v>
      </c>
      <c r="O28" s="522">
        <f t="shared" si="7"/>
        <v>0</v>
      </c>
      <c r="P28" s="522">
        <f t="shared" si="7"/>
        <v>0</v>
      </c>
      <c r="Q28" s="1133"/>
      <c r="R28" s="427"/>
      <c r="S28" s="427"/>
      <c r="T28" s="427"/>
      <c r="U28" s="427"/>
      <c r="V28" s="427"/>
      <c r="W28" s="1133"/>
    </row>
    <row r="29" spans="1:23" ht="39" customHeight="1">
      <c r="A29" s="23"/>
      <c r="B29" s="24"/>
      <c r="C29" s="24" t="s">
        <v>172</v>
      </c>
      <c r="D29" s="25" t="s">
        <v>457</v>
      </c>
      <c r="E29" s="26"/>
      <c r="F29" s="45"/>
      <c r="G29" s="45"/>
      <c r="H29" s="45"/>
      <c r="I29" s="45"/>
      <c r="J29" s="45"/>
      <c r="K29" s="1133"/>
      <c r="L29" s="522"/>
      <c r="M29" s="522"/>
      <c r="N29" s="522"/>
      <c r="O29" s="522"/>
      <c r="P29" s="522"/>
      <c r="Q29" s="1133"/>
      <c r="R29" s="427"/>
      <c r="S29" s="427"/>
      <c r="T29" s="427"/>
      <c r="U29" s="427"/>
      <c r="V29" s="427"/>
      <c r="W29" s="1133"/>
    </row>
    <row r="30" spans="1:23" ht="21.75" customHeight="1">
      <c r="A30" s="23"/>
      <c r="B30" s="24" t="s">
        <v>61</v>
      </c>
      <c r="C30" s="1272" t="s">
        <v>62</v>
      </c>
      <c r="D30" s="1272"/>
      <c r="E30" s="26"/>
      <c r="F30" s="45"/>
      <c r="G30" s="45"/>
      <c r="H30" s="45"/>
      <c r="I30" s="45"/>
      <c r="J30" s="45"/>
      <c r="K30" s="1133"/>
      <c r="L30" s="522">
        <f aca="true" t="shared" si="8" ref="L30:P34">F30-R30</f>
        <v>0</v>
      </c>
      <c r="M30" s="522">
        <f t="shared" si="8"/>
        <v>0</v>
      </c>
      <c r="N30" s="522">
        <f t="shared" si="8"/>
        <v>0</v>
      </c>
      <c r="O30" s="522">
        <f t="shared" si="8"/>
        <v>0</v>
      </c>
      <c r="P30" s="522">
        <f t="shared" si="8"/>
        <v>0</v>
      </c>
      <c r="Q30" s="1133"/>
      <c r="R30" s="427"/>
      <c r="S30" s="427"/>
      <c r="T30" s="427"/>
      <c r="U30" s="427"/>
      <c r="V30" s="427"/>
      <c r="W30" s="1133"/>
    </row>
    <row r="31" spans="1:23" ht="21.75" customHeight="1">
      <c r="A31" s="37"/>
      <c r="B31" s="38" t="s">
        <v>63</v>
      </c>
      <c r="C31" s="1332" t="s">
        <v>64</v>
      </c>
      <c r="D31" s="1332"/>
      <c r="E31" s="26"/>
      <c r="F31" s="45"/>
      <c r="G31" s="45"/>
      <c r="H31" s="45"/>
      <c r="I31" s="45"/>
      <c r="J31" s="45"/>
      <c r="K31" s="1133"/>
      <c r="L31" s="522">
        <f t="shared" si="8"/>
        <v>0</v>
      </c>
      <c r="M31" s="522">
        <f t="shared" si="8"/>
        <v>0</v>
      </c>
      <c r="N31" s="522">
        <f t="shared" si="8"/>
        <v>0</v>
      </c>
      <c r="O31" s="522">
        <f t="shared" si="8"/>
        <v>0</v>
      </c>
      <c r="P31" s="522">
        <f t="shared" si="8"/>
        <v>0</v>
      </c>
      <c r="Q31" s="1133"/>
      <c r="R31" s="427"/>
      <c r="S31" s="427"/>
      <c r="T31" s="427"/>
      <c r="U31" s="427"/>
      <c r="V31" s="427"/>
      <c r="W31" s="1133"/>
    </row>
    <row r="32" spans="1:23" ht="21.75" customHeight="1">
      <c r="A32" s="37"/>
      <c r="B32" s="38" t="s">
        <v>65</v>
      </c>
      <c r="C32" s="1332" t="s">
        <v>66</v>
      </c>
      <c r="D32" s="1332"/>
      <c r="E32" s="26" t="s">
        <v>67</v>
      </c>
      <c r="F32" s="45">
        <v>70798</v>
      </c>
      <c r="G32" s="45">
        <v>70798</v>
      </c>
      <c r="H32" s="45">
        <v>70798</v>
      </c>
      <c r="I32" s="45">
        <v>70798</v>
      </c>
      <c r="J32" s="45">
        <v>11704</v>
      </c>
      <c r="K32" s="1133">
        <f t="shared" si="1"/>
        <v>0.1653154043899545</v>
      </c>
      <c r="L32" s="522">
        <f t="shared" si="8"/>
        <v>70798</v>
      </c>
      <c r="M32" s="522">
        <f t="shared" si="8"/>
        <v>70798</v>
      </c>
      <c r="N32" s="522">
        <f t="shared" si="8"/>
        <v>70798</v>
      </c>
      <c r="O32" s="522">
        <f t="shared" si="8"/>
        <v>70798</v>
      </c>
      <c r="P32" s="522">
        <f t="shared" si="8"/>
        <v>11704</v>
      </c>
      <c r="Q32" s="1133">
        <f t="shared" si="2"/>
        <v>0.1653154043899545</v>
      </c>
      <c r="R32" s="427"/>
      <c r="S32" s="427"/>
      <c r="T32" s="427"/>
      <c r="U32" s="427"/>
      <c r="V32" s="427"/>
      <c r="W32" s="1133"/>
    </row>
    <row r="33" spans="1:23" ht="31.5" customHeight="1">
      <c r="A33" s="37"/>
      <c r="B33" s="38" t="s">
        <v>68</v>
      </c>
      <c r="C33" s="1271" t="s">
        <v>69</v>
      </c>
      <c r="D33" s="1271"/>
      <c r="E33" s="39" t="s">
        <v>392</v>
      </c>
      <c r="F33" s="664">
        <v>1141082</v>
      </c>
      <c r="G33" s="664">
        <v>917946</v>
      </c>
      <c r="H33" s="664">
        <v>869429</v>
      </c>
      <c r="I33" s="664">
        <v>269946</v>
      </c>
      <c r="J33" s="664">
        <f>266065+3881</f>
        <v>269946</v>
      </c>
      <c r="K33" s="1135">
        <f t="shared" si="1"/>
        <v>1</v>
      </c>
      <c r="L33" s="522">
        <f t="shared" si="8"/>
        <v>1141082</v>
      </c>
      <c r="M33" s="522">
        <f t="shared" si="8"/>
        <v>917946</v>
      </c>
      <c r="N33" s="522">
        <f t="shared" si="8"/>
        <v>869429</v>
      </c>
      <c r="O33" s="522">
        <f t="shared" si="8"/>
        <v>269946</v>
      </c>
      <c r="P33" s="522">
        <f t="shared" si="8"/>
        <v>269946</v>
      </c>
      <c r="Q33" s="1135">
        <f t="shared" si="2"/>
        <v>1</v>
      </c>
      <c r="R33" s="428"/>
      <c r="S33" s="428"/>
      <c r="T33" s="428"/>
      <c r="U33" s="428"/>
      <c r="V33" s="428"/>
      <c r="W33" s="1135"/>
    </row>
    <row r="34" spans="1:23" ht="21.75" customHeight="1" thickBot="1">
      <c r="A34" s="30"/>
      <c r="B34" s="31" t="s">
        <v>391</v>
      </c>
      <c r="C34" s="1274" t="s">
        <v>494</v>
      </c>
      <c r="D34" s="1275"/>
      <c r="E34" s="47" t="s">
        <v>495</v>
      </c>
      <c r="F34" s="48">
        <v>124500</v>
      </c>
      <c r="G34" s="48">
        <v>124500</v>
      </c>
      <c r="H34" s="48">
        <v>124500</v>
      </c>
      <c r="I34" s="48">
        <v>124500</v>
      </c>
      <c r="J34" s="48">
        <v>124500</v>
      </c>
      <c r="K34" s="1136">
        <f t="shared" si="1"/>
        <v>1</v>
      </c>
      <c r="L34" s="532">
        <f t="shared" si="8"/>
        <v>124500</v>
      </c>
      <c r="M34" s="532">
        <f t="shared" si="8"/>
        <v>124500</v>
      </c>
      <c r="N34" s="532">
        <f t="shared" si="8"/>
        <v>124500</v>
      </c>
      <c r="O34" s="532">
        <f t="shared" si="8"/>
        <v>124500</v>
      </c>
      <c r="P34" s="532">
        <f t="shared" si="8"/>
        <v>124500</v>
      </c>
      <c r="Q34" s="1136">
        <f t="shared" si="2"/>
        <v>1</v>
      </c>
      <c r="R34" s="476"/>
      <c r="S34" s="476"/>
      <c r="T34" s="476"/>
      <c r="U34" s="476"/>
      <c r="V34" s="476"/>
      <c r="W34" s="1136"/>
    </row>
    <row r="35" spans="1:23" ht="42" customHeight="1" thickBot="1">
      <c r="A35" s="40" t="s">
        <v>70</v>
      </c>
      <c r="B35" s="1273" t="s">
        <v>71</v>
      </c>
      <c r="C35" s="1273"/>
      <c r="D35" s="1273"/>
      <c r="E35" s="16" t="s">
        <v>72</v>
      </c>
      <c r="F35" s="524">
        <f>F36+F39+F37</f>
        <v>69831710</v>
      </c>
      <c r="G35" s="524">
        <f>G36+G39+G37</f>
        <v>70355006</v>
      </c>
      <c r="H35" s="524">
        <f>H36+H39+H37+H38</f>
        <v>71554847</v>
      </c>
      <c r="I35" s="524">
        <f>I36+I39+I37+I38</f>
        <v>76034970</v>
      </c>
      <c r="J35" s="524">
        <f>J36+J39+J37+J38</f>
        <v>64460715</v>
      </c>
      <c r="K35" s="1137">
        <f t="shared" si="1"/>
        <v>0.8477772135637063</v>
      </c>
      <c r="L35" s="524">
        <f>L36+L39+L37</f>
        <v>69831710</v>
      </c>
      <c r="M35" s="524">
        <f>M36+M39+M37</f>
        <v>70355006</v>
      </c>
      <c r="N35" s="524">
        <f>N36+N39+N37</f>
        <v>71505356</v>
      </c>
      <c r="O35" s="524">
        <f>O36+O39+O37</f>
        <v>56143929</v>
      </c>
      <c r="P35" s="524">
        <f>P36+P39+P37</f>
        <v>56143929</v>
      </c>
      <c r="Q35" s="1137">
        <f t="shared" si="2"/>
        <v>1</v>
      </c>
      <c r="R35" s="477">
        <f>SUM(R36:R39)</f>
        <v>0</v>
      </c>
      <c r="S35" s="477">
        <f>SUM(S36:S39)</f>
        <v>0</v>
      </c>
      <c r="T35" s="477">
        <f>SUM(T36:T39)</f>
        <v>0</v>
      </c>
      <c r="U35" s="477">
        <f>SUM(U36:U39)</f>
        <v>19841550</v>
      </c>
      <c r="V35" s="477">
        <f>SUM(V36:V39)</f>
        <v>8267295</v>
      </c>
      <c r="W35" s="1137">
        <f>+V35/U35</f>
        <v>0.41666578467912035</v>
      </c>
    </row>
    <row r="36" spans="1:23" ht="21.75" customHeight="1">
      <c r="A36" s="33"/>
      <c r="B36" s="38" t="s">
        <v>73</v>
      </c>
      <c r="C36" s="1334" t="s">
        <v>74</v>
      </c>
      <c r="D36" s="1334"/>
      <c r="E36" s="41" t="s">
        <v>75</v>
      </c>
      <c r="F36" s="665">
        <f>13247803+11845866+8616591+1800000</f>
        <v>35510260</v>
      </c>
      <c r="G36" s="665">
        <f>13299043+11845866+8616591+1800000</f>
        <v>35561500</v>
      </c>
      <c r="H36" s="665">
        <f>13299043+11845866+9510071+1832802-1173480</f>
        <v>35314302</v>
      </c>
      <c r="I36" s="665">
        <f>13299043+12020400+8379843+1849203</f>
        <v>35548489</v>
      </c>
      <c r="J36" s="665">
        <f>13299043+12020400+8379843+1849203</f>
        <v>35548489</v>
      </c>
      <c r="K36" s="1138">
        <f t="shared" si="1"/>
        <v>1</v>
      </c>
      <c r="L36" s="523">
        <f aca="true" t="shared" si="9" ref="L36:L52">F36-R36</f>
        <v>35510260</v>
      </c>
      <c r="M36" s="523">
        <f aca="true" t="shared" si="10" ref="M36:M52">G36-S36</f>
        <v>35561500</v>
      </c>
      <c r="N36" s="523">
        <f aca="true" t="shared" si="11" ref="N36:N52">H36-T36</f>
        <v>35314302</v>
      </c>
      <c r="O36" s="523">
        <f aca="true" t="shared" si="12" ref="O36:P52">I36-U36</f>
        <v>35548489</v>
      </c>
      <c r="P36" s="523">
        <f t="shared" si="12"/>
        <v>35548489</v>
      </c>
      <c r="Q36" s="1138">
        <f t="shared" si="2"/>
        <v>1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1138"/>
    </row>
    <row r="37" spans="1:23" ht="34.5" customHeight="1">
      <c r="A37" s="23"/>
      <c r="B37" s="38" t="s">
        <v>76</v>
      </c>
      <c r="C37" s="1332" t="s">
        <v>597</v>
      </c>
      <c r="D37" s="1332"/>
      <c r="E37" s="26"/>
      <c r="F37" s="45"/>
      <c r="G37" s="45">
        <v>472056</v>
      </c>
      <c r="H37" s="45">
        <f>666124+1173480</f>
        <v>1839604</v>
      </c>
      <c r="I37" s="45">
        <v>2990946</v>
      </c>
      <c r="J37" s="45">
        <v>2990946</v>
      </c>
      <c r="K37" s="1133">
        <f t="shared" si="1"/>
        <v>1</v>
      </c>
      <c r="L37" s="522">
        <f t="shared" si="9"/>
        <v>0</v>
      </c>
      <c r="M37" s="522">
        <f t="shared" si="10"/>
        <v>472056</v>
      </c>
      <c r="N37" s="522">
        <f t="shared" si="11"/>
        <v>1839604</v>
      </c>
      <c r="O37" s="522">
        <f t="shared" si="12"/>
        <v>2990946</v>
      </c>
      <c r="P37" s="522">
        <f t="shared" si="12"/>
        <v>2990946</v>
      </c>
      <c r="Q37" s="1133">
        <f t="shared" si="2"/>
        <v>1</v>
      </c>
      <c r="R37" s="427"/>
      <c r="S37" s="427"/>
      <c r="T37" s="427"/>
      <c r="U37" s="427"/>
      <c r="V37" s="427"/>
      <c r="W37" s="1133"/>
    </row>
    <row r="38" spans="1:23" ht="21.75" customHeight="1">
      <c r="A38" s="23"/>
      <c r="B38" s="38" t="s">
        <v>77</v>
      </c>
      <c r="C38" s="1332" t="s">
        <v>607</v>
      </c>
      <c r="D38" s="1332"/>
      <c r="E38" s="26"/>
      <c r="F38" s="525"/>
      <c r="G38" s="525"/>
      <c r="H38" s="45">
        <v>49491</v>
      </c>
      <c r="I38" s="45">
        <v>49491</v>
      </c>
      <c r="J38" s="45">
        <v>49491</v>
      </c>
      <c r="K38" s="1133">
        <f t="shared" si="1"/>
        <v>1</v>
      </c>
      <c r="L38" s="522">
        <f t="shared" si="9"/>
        <v>0</v>
      </c>
      <c r="M38" s="522">
        <f t="shared" si="10"/>
        <v>0</v>
      </c>
      <c r="N38" s="522">
        <f t="shared" si="11"/>
        <v>49491</v>
      </c>
      <c r="O38" s="522">
        <f t="shared" si="12"/>
        <v>49491</v>
      </c>
      <c r="P38" s="522">
        <f t="shared" si="12"/>
        <v>49491</v>
      </c>
      <c r="Q38" s="1133">
        <f t="shared" si="2"/>
        <v>1</v>
      </c>
      <c r="R38" s="427"/>
      <c r="S38" s="427"/>
      <c r="T38" s="427"/>
      <c r="U38" s="427"/>
      <c r="V38" s="427"/>
      <c r="W38" s="1133"/>
    </row>
    <row r="39" spans="1:23" ht="21.75" customHeight="1">
      <c r="A39" s="23"/>
      <c r="B39" s="38" t="s">
        <v>78</v>
      </c>
      <c r="C39" s="1332" t="s">
        <v>79</v>
      </c>
      <c r="D39" s="1332"/>
      <c r="E39" s="26" t="s">
        <v>80</v>
      </c>
      <c r="F39" s="45">
        <f>F40+F42+F41</f>
        <v>34321450</v>
      </c>
      <c r="G39" s="45">
        <f>G40+G42+G41</f>
        <v>34321450</v>
      </c>
      <c r="H39" s="45">
        <f>H40+H42+H41</f>
        <v>34351450</v>
      </c>
      <c r="I39" s="45">
        <f>I40+I42+I41</f>
        <v>37446044</v>
      </c>
      <c r="J39" s="45">
        <f>J40+J42+J41</f>
        <v>25871789</v>
      </c>
      <c r="K39" s="1133">
        <f t="shared" si="1"/>
        <v>0.6909084708654404</v>
      </c>
      <c r="L39" s="522">
        <f t="shared" si="9"/>
        <v>34321450</v>
      </c>
      <c r="M39" s="522">
        <f t="shared" si="10"/>
        <v>34321450</v>
      </c>
      <c r="N39" s="522">
        <f t="shared" si="11"/>
        <v>34351450</v>
      </c>
      <c r="O39" s="522">
        <f t="shared" si="12"/>
        <v>17604494</v>
      </c>
      <c r="P39" s="522">
        <f t="shared" si="12"/>
        <v>17604494</v>
      </c>
      <c r="Q39" s="1133">
        <f t="shared" si="2"/>
        <v>1</v>
      </c>
      <c r="R39" s="427"/>
      <c r="S39" s="427"/>
      <c r="T39" s="427"/>
      <c r="U39" s="45">
        <f>U40+U42+U41</f>
        <v>19841550</v>
      </c>
      <c r="V39" s="45">
        <f>V40+V42+V41</f>
        <v>8267295</v>
      </c>
      <c r="W39" s="1133">
        <f>+V39/U39</f>
        <v>0.41666578467912035</v>
      </c>
    </row>
    <row r="40" spans="1:23" ht="30" customHeight="1">
      <c r="A40" s="23"/>
      <c r="B40" s="38"/>
      <c r="C40" s="34" t="s">
        <v>81</v>
      </c>
      <c r="D40" s="35" t="s">
        <v>82</v>
      </c>
      <c r="E40" s="36"/>
      <c r="F40" s="45"/>
      <c r="G40" s="45"/>
      <c r="H40" s="45"/>
      <c r="I40" s="45">
        <v>13633600</v>
      </c>
      <c r="J40" s="45">
        <v>13633600</v>
      </c>
      <c r="K40" s="1133">
        <f t="shared" si="1"/>
        <v>1</v>
      </c>
      <c r="L40" s="522">
        <f t="shared" si="9"/>
        <v>0</v>
      </c>
      <c r="M40" s="522">
        <f t="shared" si="10"/>
        <v>0</v>
      </c>
      <c r="N40" s="522">
        <f t="shared" si="11"/>
        <v>0</v>
      </c>
      <c r="O40" s="522">
        <f t="shared" si="12"/>
        <v>13633600</v>
      </c>
      <c r="P40" s="522">
        <f t="shared" si="12"/>
        <v>13633600</v>
      </c>
      <c r="Q40" s="1133">
        <f t="shared" si="2"/>
        <v>1</v>
      </c>
      <c r="R40" s="427"/>
      <c r="S40" s="427"/>
      <c r="T40" s="427"/>
      <c r="U40" s="427"/>
      <c r="V40" s="427"/>
      <c r="W40" s="1133"/>
    </row>
    <row r="41" spans="1:23" ht="21.75" customHeight="1">
      <c r="A41" s="23"/>
      <c r="B41" s="38"/>
      <c r="C41" s="24" t="s">
        <v>83</v>
      </c>
      <c r="D41" s="25" t="s">
        <v>84</v>
      </c>
      <c r="E41" s="26"/>
      <c r="F41" s="45"/>
      <c r="G41" s="45"/>
      <c r="H41" s="45"/>
      <c r="I41" s="45">
        <v>19841550</v>
      </c>
      <c r="J41" s="45">
        <v>8267295</v>
      </c>
      <c r="K41" s="1133">
        <f t="shared" si="1"/>
        <v>0.41666578467912035</v>
      </c>
      <c r="L41" s="522">
        <f t="shared" si="9"/>
        <v>0</v>
      </c>
      <c r="M41" s="522">
        <f t="shared" si="10"/>
        <v>0</v>
      </c>
      <c r="N41" s="522">
        <f t="shared" si="11"/>
        <v>0</v>
      </c>
      <c r="O41" s="522">
        <f t="shared" si="12"/>
        <v>0</v>
      </c>
      <c r="P41" s="522">
        <f t="shared" si="12"/>
        <v>0</v>
      </c>
      <c r="Q41" s="1133" t="e">
        <f t="shared" si="2"/>
        <v>#DIV/0!</v>
      </c>
      <c r="R41" s="427"/>
      <c r="S41" s="427"/>
      <c r="T41" s="427"/>
      <c r="U41" s="45">
        <v>19841550</v>
      </c>
      <c r="V41" s="45">
        <v>8267295</v>
      </c>
      <c r="W41" s="1133">
        <f>+V41/U41</f>
        <v>0.41666578467912035</v>
      </c>
    </row>
    <row r="42" spans="1:23" ht="21.75" customHeight="1" thickBot="1">
      <c r="A42" s="23"/>
      <c r="B42" s="38"/>
      <c r="C42" s="24" t="s">
        <v>85</v>
      </c>
      <c r="D42" s="25" t="s">
        <v>86</v>
      </c>
      <c r="E42" s="26"/>
      <c r="F42" s="45">
        <v>34321450</v>
      </c>
      <c r="G42" s="45">
        <v>34321450</v>
      </c>
      <c r="H42" s="45">
        <v>34351450</v>
      </c>
      <c r="I42" s="45">
        <f>898068+2777460+247366+48000</f>
        <v>3970894</v>
      </c>
      <c r="J42" s="45">
        <f>3024826+50000+848068+48000</f>
        <v>3970894</v>
      </c>
      <c r="K42" s="1133">
        <f t="shared" si="1"/>
        <v>1</v>
      </c>
      <c r="L42" s="532">
        <f t="shared" si="9"/>
        <v>34321450</v>
      </c>
      <c r="M42" s="532">
        <f t="shared" si="10"/>
        <v>34321450</v>
      </c>
      <c r="N42" s="532">
        <f t="shared" si="11"/>
        <v>34351450</v>
      </c>
      <c r="O42" s="532">
        <f t="shared" si="12"/>
        <v>3970894</v>
      </c>
      <c r="P42" s="532">
        <f t="shared" si="12"/>
        <v>3970894</v>
      </c>
      <c r="Q42" s="1133">
        <f t="shared" si="2"/>
        <v>1</v>
      </c>
      <c r="R42" s="428"/>
      <c r="S42" s="428"/>
      <c r="T42" s="428"/>
      <c r="U42" s="428"/>
      <c r="V42" s="428"/>
      <c r="W42" s="1133"/>
    </row>
    <row r="43" spans="1:23" ht="36" customHeight="1" thickBot="1">
      <c r="A43" s="40" t="s">
        <v>87</v>
      </c>
      <c r="B43" s="1273" t="s">
        <v>88</v>
      </c>
      <c r="C43" s="1273"/>
      <c r="D43" s="1273"/>
      <c r="E43" s="16" t="s">
        <v>89</v>
      </c>
      <c r="F43" s="524">
        <f>F45+F44</f>
        <v>34485878</v>
      </c>
      <c r="G43" s="524">
        <f>G45+G44</f>
        <v>35294865</v>
      </c>
      <c r="H43" s="524">
        <f>H45+H44</f>
        <v>46317783</v>
      </c>
      <c r="I43" s="524">
        <f>I45+I44</f>
        <v>46317783</v>
      </c>
      <c r="J43" s="524">
        <f>J45+J44</f>
        <v>45285911</v>
      </c>
      <c r="K43" s="1137">
        <f t="shared" si="1"/>
        <v>0.9777219043493511</v>
      </c>
      <c r="L43" s="520">
        <f t="shared" si="9"/>
        <v>34485878</v>
      </c>
      <c r="M43" s="520">
        <f t="shared" si="10"/>
        <v>35294865</v>
      </c>
      <c r="N43" s="520">
        <f t="shared" si="11"/>
        <v>46317783</v>
      </c>
      <c r="O43" s="520">
        <f t="shared" si="12"/>
        <v>44200297</v>
      </c>
      <c r="P43" s="520">
        <f t="shared" si="12"/>
        <v>43168425</v>
      </c>
      <c r="Q43" s="1137">
        <f t="shared" si="2"/>
        <v>0.9766546365061756</v>
      </c>
      <c r="R43" s="520"/>
      <c r="S43" s="520"/>
      <c r="T43" s="520"/>
      <c r="U43" s="524">
        <f>U45+U44</f>
        <v>2117486</v>
      </c>
      <c r="V43" s="524">
        <f>V45+V44</f>
        <v>2117486</v>
      </c>
      <c r="W43" s="1137">
        <f>+V43/U43</f>
        <v>1</v>
      </c>
    </row>
    <row r="44" spans="1:23" ht="21.75" customHeight="1">
      <c r="A44" s="33"/>
      <c r="B44" s="43" t="s">
        <v>90</v>
      </c>
      <c r="C44" s="1270" t="s">
        <v>91</v>
      </c>
      <c r="D44" s="1270"/>
      <c r="E44" s="36" t="s">
        <v>92</v>
      </c>
      <c r="F44" s="526">
        <v>18615617</v>
      </c>
      <c r="G44" s="526">
        <v>18615617</v>
      </c>
      <c r="H44" s="526">
        <v>18615617</v>
      </c>
      <c r="I44" s="526">
        <v>18615617</v>
      </c>
      <c r="J44" s="526">
        <v>18615617</v>
      </c>
      <c r="K44" s="1139">
        <f t="shared" si="1"/>
        <v>1</v>
      </c>
      <c r="L44" s="523">
        <f t="shared" si="9"/>
        <v>18615617</v>
      </c>
      <c r="M44" s="523">
        <f t="shared" si="10"/>
        <v>18615617</v>
      </c>
      <c r="N44" s="523">
        <f t="shared" si="11"/>
        <v>18615617</v>
      </c>
      <c r="O44" s="523">
        <f t="shared" si="12"/>
        <v>18615617</v>
      </c>
      <c r="P44" s="523">
        <f t="shared" si="12"/>
        <v>18615617</v>
      </c>
      <c r="Q44" s="1139">
        <f t="shared" si="2"/>
        <v>1</v>
      </c>
      <c r="R44" s="523"/>
      <c r="S44" s="523"/>
      <c r="T44" s="523"/>
      <c r="U44" s="523"/>
      <c r="V44" s="523"/>
      <c r="W44" s="1139"/>
    </row>
    <row r="45" spans="1:23" ht="31.5" customHeight="1">
      <c r="A45" s="23"/>
      <c r="B45" s="44" t="s">
        <v>93</v>
      </c>
      <c r="C45" s="1272" t="s">
        <v>94</v>
      </c>
      <c r="D45" s="1272"/>
      <c r="E45" s="26" t="s">
        <v>95</v>
      </c>
      <c r="F45" s="45">
        <f>F48+F47+F46</f>
        <v>15870261</v>
      </c>
      <c r="G45" s="45">
        <f>G48+G47+G46</f>
        <v>16679248</v>
      </c>
      <c r="H45" s="45">
        <f>H48+H47+H46</f>
        <v>27702166</v>
      </c>
      <c r="I45" s="45">
        <f>I48+I47+I46</f>
        <v>27702166</v>
      </c>
      <c r="J45" s="45">
        <f>J48+J47+J46</f>
        <v>26670294</v>
      </c>
      <c r="K45" s="1133">
        <f t="shared" si="1"/>
        <v>0.9627512159157519</v>
      </c>
      <c r="L45" s="522">
        <f t="shared" si="9"/>
        <v>15870261</v>
      </c>
      <c r="M45" s="522">
        <f t="shared" si="10"/>
        <v>16679248</v>
      </c>
      <c r="N45" s="522">
        <f t="shared" si="11"/>
        <v>27702166</v>
      </c>
      <c r="O45" s="522">
        <f t="shared" si="12"/>
        <v>25584680</v>
      </c>
      <c r="P45" s="522">
        <f t="shared" si="12"/>
        <v>24552808</v>
      </c>
      <c r="Q45" s="1133">
        <f t="shared" si="2"/>
        <v>0.9596683640366032</v>
      </c>
      <c r="R45" s="522"/>
      <c r="S45" s="522"/>
      <c r="T45" s="522"/>
      <c r="U45" s="45">
        <f>U48+U47+U46</f>
        <v>2117486</v>
      </c>
      <c r="V45" s="45">
        <f>V48+V47+V46</f>
        <v>2117486</v>
      </c>
      <c r="W45" s="1133">
        <f>+V45/U45</f>
        <v>1</v>
      </c>
    </row>
    <row r="46" spans="1:23" ht="33" customHeight="1">
      <c r="A46" s="23"/>
      <c r="B46" s="43"/>
      <c r="C46" s="34" t="s">
        <v>96</v>
      </c>
      <c r="D46" s="35" t="s">
        <v>82</v>
      </c>
      <c r="E46" s="36"/>
      <c r="F46" s="45"/>
      <c r="G46" s="45"/>
      <c r="H46" s="45"/>
      <c r="I46" s="45"/>
      <c r="J46" s="45"/>
      <c r="K46" s="1133"/>
      <c r="L46" s="522">
        <f t="shared" si="9"/>
        <v>0</v>
      </c>
      <c r="M46" s="522">
        <f t="shared" si="10"/>
        <v>0</v>
      </c>
      <c r="N46" s="522">
        <f t="shared" si="11"/>
        <v>0</v>
      </c>
      <c r="O46" s="522">
        <f t="shared" si="12"/>
        <v>0</v>
      </c>
      <c r="P46" s="522">
        <f t="shared" si="12"/>
        <v>0</v>
      </c>
      <c r="Q46" s="1133"/>
      <c r="R46" s="522"/>
      <c r="S46" s="522"/>
      <c r="T46" s="522"/>
      <c r="U46" s="45"/>
      <c r="V46" s="45"/>
      <c r="W46" s="1133"/>
    </row>
    <row r="47" spans="1:25" ht="21.75" customHeight="1">
      <c r="A47" s="23"/>
      <c r="B47" s="44"/>
      <c r="C47" s="24" t="s">
        <v>97</v>
      </c>
      <c r="D47" s="35" t="s">
        <v>84</v>
      </c>
      <c r="E47" s="36"/>
      <c r="F47" s="45">
        <v>15870261</v>
      </c>
      <c r="G47" s="45">
        <v>16679248</v>
      </c>
      <c r="H47" s="45">
        <v>27702166</v>
      </c>
      <c r="I47" s="45">
        <v>27702166</v>
      </c>
      <c r="J47" s="45">
        <v>26670294</v>
      </c>
      <c r="K47" s="1133">
        <f t="shared" si="1"/>
        <v>0.9627512159157519</v>
      </c>
      <c r="L47" s="522">
        <f t="shared" si="9"/>
        <v>15870261</v>
      </c>
      <c r="M47" s="522">
        <f t="shared" si="10"/>
        <v>16679248</v>
      </c>
      <c r="N47" s="522">
        <f t="shared" si="11"/>
        <v>27702166</v>
      </c>
      <c r="O47" s="522">
        <f t="shared" si="12"/>
        <v>25584680</v>
      </c>
      <c r="P47" s="522">
        <f t="shared" si="12"/>
        <v>24552808</v>
      </c>
      <c r="Q47" s="1133">
        <f t="shared" si="2"/>
        <v>0.9596683640366032</v>
      </c>
      <c r="R47" s="522"/>
      <c r="S47" s="522"/>
      <c r="T47" s="522"/>
      <c r="U47" s="522">
        <v>2117486</v>
      </c>
      <c r="V47" s="522">
        <v>2117486</v>
      </c>
      <c r="W47" s="1133">
        <f>+V47/U47</f>
        <v>1</v>
      </c>
      <c r="Y47" s="3"/>
    </row>
    <row r="48" spans="1:23" ht="30.75" customHeight="1" thickBot="1">
      <c r="A48" s="37"/>
      <c r="B48" s="43"/>
      <c r="C48" s="34" t="s">
        <v>98</v>
      </c>
      <c r="D48" s="35" t="s">
        <v>99</v>
      </c>
      <c r="E48" s="36"/>
      <c r="F48" s="45"/>
      <c r="G48" s="45"/>
      <c r="H48" s="45"/>
      <c r="I48" s="45"/>
      <c r="J48" s="45"/>
      <c r="K48" s="1133"/>
      <c r="L48" s="532">
        <f t="shared" si="9"/>
        <v>0</v>
      </c>
      <c r="M48" s="532">
        <f t="shared" si="10"/>
        <v>0</v>
      </c>
      <c r="N48" s="532">
        <f t="shared" si="11"/>
        <v>0</v>
      </c>
      <c r="O48" s="532">
        <f t="shared" si="12"/>
        <v>0</v>
      </c>
      <c r="P48" s="532">
        <f t="shared" si="12"/>
        <v>0</v>
      </c>
      <c r="Q48" s="1133"/>
      <c r="R48" s="532"/>
      <c r="S48" s="532"/>
      <c r="T48" s="532"/>
      <c r="U48" s="532"/>
      <c r="V48" s="532"/>
      <c r="W48" s="1133"/>
    </row>
    <row r="49" spans="1:23" ht="21.75" customHeight="1" hidden="1">
      <c r="A49" s="46"/>
      <c r="B49" s="44"/>
      <c r="C49" s="1332"/>
      <c r="D49" s="1332"/>
      <c r="E49" s="26"/>
      <c r="F49" s="45"/>
      <c r="G49" s="45"/>
      <c r="H49" s="45"/>
      <c r="I49" s="45"/>
      <c r="J49" s="45"/>
      <c r="K49" s="1133" t="e">
        <f t="shared" si="1"/>
        <v>#DIV/0!</v>
      </c>
      <c r="L49" s="520">
        <f t="shared" si="9"/>
        <v>0</v>
      </c>
      <c r="M49" s="520">
        <f t="shared" si="10"/>
        <v>0</v>
      </c>
      <c r="N49" s="520">
        <f t="shared" si="11"/>
        <v>0</v>
      </c>
      <c r="O49" s="520">
        <f t="shared" si="12"/>
        <v>0</v>
      </c>
      <c r="P49" s="520">
        <f t="shared" si="12"/>
        <v>0</v>
      </c>
      <c r="Q49" s="1133" t="e">
        <f t="shared" si="2"/>
        <v>#DIV/0!</v>
      </c>
      <c r="R49" s="520"/>
      <c r="S49" s="520"/>
      <c r="T49" s="520"/>
      <c r="U49" s="520"/>
      <c r="V49" s="520"/>
      <c r="W49" s="1133" t="e">
        <f>+V49/U49</f>
        <v>#DIV/0!</v>
      </c>
    </row>
    <row r="50" spans="1:23" ht="21.75" customHeight="1" hidden="1">
      <c r="A50" s="46"/>
      <c r="B50" s="43"/>
      <c r="C50" s="1275"/>
      <c r="D50" s="1275"/>
      <c r="E50" s="47"/>
      <c r="F50" s="48"/>
      <c r="G50" s="48"/>
      <c r="H50" s="48"/>
      <c r="I50" s="48"/>
      <c r="J50" s="48"/>
      <c r="K50" s="1136" t="e">
        <f t="shared" si="1"/>
        <v>#DIV/0!</v>
      </c>
      <c r="L50" s="520">
        <f t="shared" si="9"/>
        <v>0</v>
      </c>
      <c r="M50" s="520">
        <f t="shared" si="10"/>
        <v>0</v>
      </c>
      <c r="N50" s="520">
        <f t="shared" si="11"/>
        <v>0</v>
      </c>
      <c r="O50" s="520">
        <f t="shared" si="12"/>
        <v>0</v>
      </c>
      <c r="P50" s="520">
        <f t="shared" si="12"/>
        <v>0</v>
      </c>
      <c r="Q50" s="1136" t="e">
        <f t="shared" si="2"/>
        <v>#DIV/0!</v>
      </c>
      <c r="R50" s="520"/>
      <c r="S50" s="520"/>
      <c r="T50" s="520"/>
      <c r="U50" s="520"/>
      <c r="V50" s="520"/>
      <c r="W50" s="1136" t="e">
        <f>+V50/U50</f>
        <v>#DIV/0!</v>
      </c>
    </row>
    <row r="51" spans="1:23" ht="21.75" customHeight="1" thickBot="1">
      <c r="A51" s="40" t="s">
        <v>100</v>
      </c>
      <c r="B51" s="1273" t="s">
        <v>101</v>
      </c>
      <c r="C51" s="1273"/>
      <c r="D51" s="1273"/>
      <c r="E51" s="16"/>
      <c r="F51" s="524">
        <f>F52+F54+F53</f>
        <v>622998</v>
      </c>
      <c r="G51" s="524">
        <f>G52+G54+G53</f>
        <v>622998</v>
      </c>
      <c r="H51" s="524">
        <f>H52+H54+H53</f>
        <v>652998</v>
      </c>
      <c r="I51" s="524">
        <f>I52+I54+I53</f>
        <v>198634</v>
      </c>
      <c r="J51" s="524">
        <f>J52+J54+J53</f>
        <v>198634</v>
      </c>
      <c r="K51" s="1137">
        <f t="shared" si="1"/>
        <v>1</v>
      </c>
      <c r="L51" s="520">
        <f t="shared" si="9"/>
        <v>622998</v>
      </c>
      <c r="M51" s="520">
        <f t="shared" si="10"/>
        <v>622998</v>
      </c>
      <c r="N51" s="520">
        <f t="shared" si="11"/>
        <v>652998</v>
      </c>
      <c r="O51" s="520">
        <f t="shared" si="12"/>
        <v>198634</v>
      </c>
      <c r="P51" s="520">
        <f t="shared" si="12"/>
        <v>198634</v>
      </c>
      <c r="Q51" s="1137">
        <f t="shared" si="2"/>
        <v>1</v>
      </c>
      <c r="R51" s="520">
        <f>R52+R54</f>
        <v>0</v>
      </c>
      <c r="S51" s="520">
        <f>S52+S54</f>
        <v>0</v>
      </c>
      <c r="T51" s="520">
        <f>T52+T54</f>
        <v>0</v>
      </c>
      <c r="U51" s="520">
        <f>U52+U54</f>
        <v>0</v>
      </c>
      <c r="V51" s="520">
        <f>V52+V54</f>
        <v>0</v>
      </c>
      <c r="W51" s="1137"/>
    </row>
    <row r="52" spans="1:23" s="18" customFormat="1" ht="21.75" customHeight="1">
      <c r="A52" s="49"/>
      <c r="B52" s="43" t="s">
        <v>102</v>
      </c>
      <c r="C52" s="1270" t="s">
        <v>234</v>
      </c>
      <c r="D52" s="1270"/>
      <c r="E52" s="36" t="s">
        <v>104</v>
      </c>
      <c r="F52" s="526">
        <v>73006</v>
      </c>
      <c r="G52" s="526">
        <v>73006</v>
      </c>
      <c r="H52" s="526">
        <v>103006</v>
      </c>
      <c r="I52" s="526">
        <v>35234</v>
      </c>
      <c r="J52" s="526">
        <v>35234</v>
      </c>
      <c r="K52" s="1139">
        <f t="shared" si="1"/>
        <v>1</v>
      </c>
      <c r="L52" s="523">
        <f t="shared" si="9"/>
        <v>73006</v>
      </c>
      <c r="M52" s="523">
        <f t="shared" si="10"/>
        <v>73006</v>
      </c>
      <c r="N52" s="523">
        <f t="shared" si="11"/>
        <v>103006</v>
      </c>
      <c r="O52" s="523">
        <f t="shared" si="12"/>
        <v>35234</v>
      </c>
      <c r="P52" s="523">
        <f t="shared" si="12"/>
        <v>35234</v>
      </c>
      <c r="Q52" s="1139">
        <f t="shared" si="2"/>
        <v>1</v>
      </c>
      <c r="R52" s="523"/>
      <c r="S52" s="523"/>
      <c r="T52" s="523"/>
      <c r="U52" s="523"/>
      <c r="V52" s="523"/>
      <c r="W52" s="1139"/>
    </row>
    <row r="53" spans="1:23" s="18" customFormat="1" ht="37.5" customHeight="1">
      <c r="A53" s="49"/>
      <c r="B53" s="43" t="s">
        <v>105</v>
      </c>
      <c r="C53" s="1270" t="s">
        <v>469</v>
      </c>
      <c r="D53" s="1270"/>
      <c r="E53" s="36" t="s">
        <v>104</v>
      </c>
      <c r="F53" s="526">
        <v>350000</v>
      </c>
      <c r="G53" s="526">
        <v>350000</v>
      </c>
      <c r="H53" s="526">
        <v>350000</v>
      </c>
      <c r="I53" s="526">
        <v>0</v>
      </c>
      <c r="J53" s="526">
        <v>0</v>
      </c>
      <c r="K53" s="1139"/>
      <c r="L53" s="635"/>
      <c r="M53" s="635"/>
      <c r="N53" s="635"/>
      <c r="O53" s="635"/>
      <c r="P53" s="635"/>
      <c r="Q53" s="1139"/>
      <c r="R53" s="635"/>
      <c r="S53" s="635"/>
      <c r="T53" s="635"/>
      <c r="U53" s="635"/>
      <c r="V53" s="635"/>
      <c r="W53" s="1139"/>
    </row>
    <row r="54" spans="1:23" ht="21.75" customHeight="1" thickBot="1">
      <c r="A54" s="23"/>
      <c r="B54" s="24" t="s">
        <v>262</v>
      </c>
      <c r="C54" s="1272" t="s">
        <v>235</v>
      </c>
      <c r="D54" s="1272"/>
      <c r="E54" s="26" t="s">
        <v>107</v>
      </c>
      <c r="F54" s="527">
        <v>199992</v>
      </c>
      <c r="G54" s="527">
        <v>199992</v>
      </c>
      <c r="H54" s="527">
        <v>199992</v>
      </c>
      <c r="I54" s="527">
        <v>163400</v>
      </c>
      <c r="J54" s="527">
        <v>163400</v>
      </c>
      <c r="K54" s="1140">
        <f t="shared" si="1"/>
        <v>1</v>
      </c>
      <c r="L54" s="532">
        <f aca="true" t="shared" si="13" ref="L54:L63">F54-R54</f>
        <v>199992</v>
      </c>
      <c r="M54" s="532">
        <f aca="true" t="shared" si="14" ref="M54:M63">G54-S54</f>
        <v>199992</v>
      </c>
      <c r="N54" s="532">
        <f aca="true" t="shared" si="15" ref="N54:N63">H54-T54</f>
        <v>199992</v>
      </c>
      <c r="O54" s="532">
        <f aca="true" t="shared" si="16" ref="O54:P63">I54-U54</f>
        <v>163400</v>
      </c>
      <c r="P54" s="532">
        <f t="shared" si="16"/>
        <v>163400</v>
      </c>
      <c r="Q54" s="1140">
        <f t="shared" si="2"/>
        <v>1</v>
      </c>
      <c r="R54" s="532"/>
      <c r="S54" s="532"/>
      <c r="T54" s="532"/>
      <c r="U54" s="532"/>
      <c r="V54" s="532"/>
      <c r="W54" s="1140"/>
    </row>
    <row r="55" spans="1:23" ht="21.75" customHeight="1" thickBot="1">
      <c r="A55" s="40" t="s">
        <v>108</v>
      </c>
      <c r="B55" s="1273" t="s">
        <v>109</v>
      </c>
      <c r="C55" s="1273"/>
      <c r="D55" s="1273"/>
      <c r="E55" s="16" t="s">
        <v>110</v>
      </c>
      <c r="F55" s="528">
        <f>SUM(F56:F57)</f>
        <v>0</v>
      </c>
      <c r="G55" s="528">
        <f>SUM(G56:G57)</f>
        <v>0</v>
      </c>
      <c r="H55" s="528">
        <f>SUM(H56:H57)</f>
        <v>0</v>
      </c>
      <c r="I55" s="528">
        <f>SUM(I56:I57)</f>
        <v>0</v>
      </c>
      <c r="J55" s="528">
        <f>SUM(J56:J57)</f>
        <v>0</v>
      </c>
      <c r="K55" s="1141"/>
      <c r="L55" s="520">
        <f t="shared" si="13"/>
        <v>0</v>
      </c>
      <c r="M55" s="520">
        <f t="shared" si="14"/>
        <v>0</v>
      </c>
      <c r="N55" s="520">
        <f t="shared" si="15"/>
        <v>0</v>
      </c>
      <c r="O55" s="520">
        <f t="shared" si="16"/>
        <v>0</v>
      </c>
      <c r="P55" s="520">
        <f t="shared" si="16"/>
        <v>0</v>
      </c>
      <c r="Q55" s="1141"/>
      <c r="R55" s="520"/>
      <c r="S55" s="520"/>
      <c r="T55" s="520"/>
      <c r="U55" s="520"/>
      <c r="V55" s="520"/>
      <c r="W55" s="1141"/>
    </row>
    <row r="56" spans="1:23" s="18" customFormat="1" ht="21.75" customHeight="1">
      <c r="A56" s="49"/>
      <c r="B56" s="34" t="s">
        <v>111</v>
      </c>
      <c r="C56" s="1270" t="s">
        <v>112</v>
      </c>
      <c r="D56" s="1270"/>
      <c r="E56" s="36" t="s">
        <v>113</v>
      </c>
      <c r="F56" s="529"/>
      <c r="G56" s="529"/>
      <c r="H56" s="529"/>
      <c r="I56" s="529"/>
      <c r="J56" s="529"/>
      <c r="K56" s="1142"/>
      <c r="L56" s="523">
        <f t="shared" si="13"/>
        <v>0</v>
      </c>
      <c r="M56" s="523">
        <f t="shared" si="14"/>
        <v>0</v>
      </c>
      <c r="N56" s="523">
        <f t="shared" si="15"/>
        <v>0</v>
      </c>
      <c r="O56" s="523">
        <f t="shared" si="16"/>
        <v>0</v>
      </c>
      <c r="P56" s="523">
        <f t="shared" si="16"/>
        <v>0</v>
      </c>
      <c r="Q56" s="1142"/>
      <c r="R56" s="523"/>
      <c r="S56" s="523"/>
      <c r="T56" s="523"/>
      <c r="U56" s="523"/>
      <c r="V56" s="523"/>
      <c r="W56" s="1142"/>
    </row>
    <row r="57" spans="1:23" ht="21.75" customHeight="1" thickBot="1">
      <c r="A57" s="37"/>
      <c r="B57" s="38" t="s">
        <v>114</v>
      </c>
      <c r="C57" s="1271" t="s">
        <v>115</v>
      </c>
      <c r="D57" s="1271"/>
      <c r="E57" s="39" t="s">
        <v>116</v>
      </c>
      <c r="F57" s="530"/>
      <c r="G57" s="530"/>
      <c r="H57" s="530"/>
      <c r="I57" s="530"/>
      <c r="J57" s="530"/>
      <c r="K57" s="1143"/>
      <c r="L57" s="532">
        <f t="shared" si="13"/>
        <v>0</v>
      </c>
      <c r="M57" s="532">
        <f t="shared" si="14"/>
        <v>0</v>
      </c>
      <c r="N57" s="532">
        <f t="shared" si="15"/>
        <v>0</v>
      </c>
      <c r="O57" s="532">
        <f t="shared" si="16"/>
        <v>0</v>
      </c>
      <c r="P57" s="532">
        <f t="shared" si="16"/>
        <v>0</v>
      </c>
      <c r="Q57" s="1143"/>
      <c r="R57" s="532"/>
      <c r="S57" s="532"/>
      <c r="T57" s="532"/>
      <c r="U57" s="532"/>
      <c r="V57" s="532"/>
      <c r="W57" s="1143"/>
    </row>
    <row r="58" spans="1:23" ht="21.75" customHeight="1" thickBot="1">
      <c r="A58" s="40" t="s">
        <v>117</v>
      </c>
      <c r="B58" s="1333" t="s">
        <v>118</v>
      </c>
      <c r="C58" s="1333"/>
      <c r="D58" s="1333"/>
      <c r="E58" s="51"/>
      <c r="F58" s="528">
        <f>F7+F21+F35+F51+F55+F43</f>
        <v>128111575</v>
      </c>
      <c r="G58" s="528">
        <f>G7+G21+G35+G51+G55+G43</f>
        <v>129520722</v>
      </c>
      <c r="H58" s="528">
        <f>H7+H21+H35+H51+H55+H43</f>
        <v>141724964</v>
      </c>
      <c r="I58" s="528">
        <f>I7+I21+I35+I51+I55+I43</f>
        <v>147864398</v>
      </c>
      <c r="J58" s="528">
        <f>J7+J21+J35+J51+J55+J43</f>
        <v>134228010</v>
      </c>
      <c r="K58" s="1141">
        <f t="shared" si="1"/>
        <v>0.907777746472819</v>
      </c>
      <c r="L58" s="520">
        <f t="shared" si="13"/>
        <v>120546970</v>
      </c>
      <c r="M58" s="520">
        <f t="shared" si="14"/>
        <v>119883671</v>
      </c>
      <c r="N58" s="520">
        <f t="shared" si="15"/>
        <v>132087913</v>
      </c>
      <c r="O58" s="520">
        <f t="shared" si="16"/>
        <v>124349988</v>
      </c>
      <c r="P58" s="520">
        <f t="shared" si="16"/>
        <v>122287855</v>
      </c>
      <c r="Q58" s="1141">
        <f t="shared" si="2"/>
        <v>0.9834167012545268</v>
      </c>
      <c r="R58" s="520">
        <f>R7+R21+R35</f>
        <v>7564605</v>
      </c>
      <c r="S58" s="520">
        <f>S7+S21+S35</f>
        <v>9637051</v>
      </c>
      <c r="T58" s="520">
        <f>T7+T21+T35</f>
        <v>9637051</v>
      </c>
      <c r="U58" s="520">
        <f>U7+U21+U35+U43</f>
        <v>23514410</v>
      </c>
      <c r="V58" s="520">
        <f>V7+V21+V35+V43</f>
        <v>11940155</v>
      </c>
      <c r="W58" s="1141">
        <f>+V58/U58</f>
        <v>0.5077803355474366</v>
      </c>
    </row>
    <row r="59" spans="1:23" ht="24" customHeight="1" thickBot="1">
      <c r="A59" s="15" t="s">
        <v>119</v>
      </c>
      <c r="B59" s="1273" t="s">
        <v>120</v>
      </c>
      <c r="C59" s="1273"/>
      <c r="D59" s="1273"/>
      <c r="E59" s="16"/>
      <c r="F59" s="528">
        <f>F62+F61+F60</f>
        <v>38905917</v>
      </c>
      <c r="G59" s="528">
        <f>G62+G61+G60</f>
        <v>38905917</v>
      </c>
      <c r="H59" s="528">
        <f>H62+H61+H60</f>
        <v>26928146</v>
      </c>
      <c r="I59" s="528">
        <f>I62+I61+I60</f>
        <v>16398269</v>
      </c>
      <c r="J59" s="528">
        <f>J62+J61+J60</f>
        <v>16398269</v>
      </c>
      <c r="K59" s="1141">
        <f t="shared" si="1"/>
        <v>1</v>
      </c>
      <c r="L59" s="520">
        <f t="shared" si="13"/>
        <v>38905917</v>
      </c>
      <c r="M59" s="520">
        <f t="shared" si="14"/>
        <v>38905917</v>
      </c>
      <c r="N59" s="520">
        <f t="shared" si="15"/>
        <v>26928146</v>
      </c>
      <c r="O59" s="520">
        <f t="shared" si="16"/>
        <v>16398269</v>
      </c>
      <c r="P59" s="520">
        <f t="shared" si="16"/>
        <v>16398269</v>
      </c>
      <c r="Q59" s="1141">
        <f t="shared" si="2"/>
        <v>1</v>
      </c>
      <c r="R59" s="520">
        <v>0</v>
      </c>
      <c r="S59" s="520">
        <v>0</v>
      </c>
      <c r="T59" s="520">
        <v>0</v>
      </c>
      <c r="U59" s="520">
        <v>0</v>
      </c>
      <c r="V59" s="520">
        <v>0</v>
      </c>
      <c r="W59" s="1141"/>
    </row>
    <row r="60" spans="1:23" ht="21.75" customHeight="1">
      <c r="A60" s="33"/>
      <c r="B60" s="34" t="s">
        <v>121</v>
      </c>
      <c r="C60" s="1270" t="s">
        <v>122</v>
      </c>
      <c r="D60" s="1270"/>
      <c r="E60" s="36" t="s">
        <v>123</v>
      </c>
      <c r="F60" s="531">
        <v>22668175</v>
      </c>
      <c r="G60" s="531">
        <v>22668175</v>
      </c>
      <c r="H60" s="531">
        <v>11645257</v>
      </c>
      <c r="I60" s="531">
        <v>0</v>
      </c>
      <c r="J60" s="531">
        <v>0</v>
      </c>
      <c r="K60" s="1144"/>
      <c r="L60" s="523">
        <f t="shared" si="13"/>
        <v>22668175</v>
      </c>
      <c r="M60" s="523">
        <f t="shared" si="14"/>
        <v>22668175</v>
      </c>
      <c r="N60" s="523">
        <f t="shared" si="15"/>
        <v>11645257</v>
      </c>
      <c r="O60" s="523">
        <f t="shared" si="16"/>
        <v>0</v>
      </c>
      <c r="P60" s="523">
        <f t="shared" si="16"/>
        <v>0</v>
      </c>
      <c r="Q60" s="1144"/>
      <c r="R60" s="523"/>
      <c r="S60" s="523"/>
      <c r="T60" s="523"/>
      <c r="U60" s="523"/>
      <c r="V60" s="523"/>
      <c r="W60" s="1144"/>
    </row>
    <row r="61" spans="1:23" ht="21.75" customHeight="1">
      <c r="A61" s="23"/>
      <c r="B61" s="44" t="s">
        <v>124</v>
      </c>
      <c r="C61" s="1270" t="s">
        <v>459</v>
      </c>
      <c r="D61" s="1270"/>
      <c r="E61" s="36" t="s">
        <v>125</v>
      </c>
      <c r="F61" s="527"/>
      <c r="G61" s="527"/>
      <c r="H61" s="527"/>
      <c r="I61" s="527">
        <v>1115380</v>
      </c>
      <c r="J61" s="527">
        <v>1115380</v>
      </c>
      <c r="K61" s="1140">
        <f t="shared" si="1"/>
        <v>1</v>
      </c>
      <c r="L61" s="522">
        <f t="shared" si="13"/>
        <v>0</v>
      </c>
      <c r="M61" s="522">
        <f t="shared" si="14"/>
        <v>0</v>
      </c>
      <c r="N61" s="522">
        <f t="shared" si="15"/>
        <v>0</v>
      </c>
      <c r="O61" s="522">
        <f t="shared" si="16"/>
        <v>1115380</v>
      </c>
      <c r="P61" s="522">
        <f t="shared" si="16"/>
        <v>1115380</v>
      </c>
      <c r="Q61" s="1140">
        <f t="shared" si="2"/>
        <v>1</v>
      </c>
      <c r="R61" s="522"/>
      <c r="S61" s="522"/>
      <c r="T61" s="522"/>
      <c r="U61" s="522"/>
      <c r="V61" s="522"/>
      <c r="W61" s="1140"/>
    </row>
    <row r="62" spans="1:23" ht="21.75" customHeight="1" thickBot="1">
      <c r="A62" s="23"/>
      <c r="B62" s="44" t="s">
        <v>126</v>
      </c>
      <c r="C62" s="1270" t="s">
        <v>127</v>
      </c>
      <c r="D62" s="1270"/>
      <c r="E62" s="36" t="s">
        <v>128</v>
      </c>
      <c r="F62" s="527">
        <v>16237742</v>
      </c>
      <c r="G62" s="527">
        <v>16237742</v>
      </c>
      <c r="H62" s="527">
        <v>15282889</v>
      </c>
      <c r="I62" s="527">
        <v>15282889</v>
      </c>
      <c r="J62" s="527">
        <v>15282889</v>
      </c>
      <c r="K62" s="1140">
        <f t="shared" si="1"/>
        <v>1</v>
      </c>
      <c r="L62" s="532">
        <f t="shared" si="13"/>
        <v>16237742</v>
      </c>
      <c r="M62" s="532">
        <f t="shared" si="14"/>
        <v>16237742</v>
      </c>
      <c r="N62" s="532">
        <f t="shared" si="15"/>
        <v>15282889</v>
      </c>
      <c r="O62" s="532">
        <f t="shared" si="16"/>
        <v>15282889</v>
      </c>
      <c r="P62" s="532">
        <f t="shared" si="16"/>
        <v>15282889</v>
      </c>
      <c r="Q62" s="1140">
        <f t="shared" si="2"/>
        <v>1</v>
      </c>
      <c r="R62" s="532"/>
      <c r="S62" s="532"/>
      <c r="T62" s="532"/>
      <c r="U62" s="532"/>
      <c r="V62" s="532"/>
      <c r="W62" s="1140"/>
    </row>
    <row r="63" spans="1:23" ht="35.25" customHeight="1" thickBot="1">
      <c r="A63" s="40" t="s">
        <v>129</v>
      </c>
      <c r="B63" s="1321" t="s">
        <v>130</v>
      </c>
      <c r="C63" s="1321"/>
      <c r="D63" s="1321"/>
      <c r="E63" s="53"/>
      <c r="F63" s="528">
        <f>F58+F59</f>
        <v>167017492</v>
      </c>
      <c r="G63" s="528">
        <f>G58+G59</f>
        <v>168426639</v>
      </c>
      <c r="H63" s="528">
        <f>H58+H59</f>
        <v>168653110</v>
      </c>
      <c r="I63" s="528">
        <f>I58+I59</f>
        <v>164262667</v>
      </c>
      <c r="J63" s="528">
        <f>J58+J59</f>
        <v>150626279</v>
      </c>
      <c r="K63" s="1141">
        <f t="shared" si="1"/>
        <v>0.9169842530317617</v>
      </c>
      <c r="L63" s="520">
        <f t="shared" si="13"/>
        <v>159452887</v>
      </c>
      <c r="M63" s="520">
        <f t="shared" si="14"/>
        <v>158789588</v>
      </c>
      <c r="N63" s="520">
        <f t="shared" si="15"/>
        <v>159016059</v>
      </c>
      <c r="O63" s="520">
        <f t="shared" si="16"/>
        <v>140748257</v>
      </c>
      <c r="P63" s="520">
        <f t="shared" si="16"/>
        <v>138686124</v>
      </c>
      <c r="Q63" s="1141">
        <f t="shared" si="2"/>
        <v>0.985348784816568</v>
      </c>
      <c r="R63" s="520">
        <f>R58</f>
        <v>7564605</v>
      </c>
      <c r="S63" s="520">
        <f>S58</f>
        <v>9637051</v>
      </c>
      <c r="T63" s="520">
        <f>T58</f>
        <v>9637051</v>
      </c>
      <c r="U63" s="520">
        <f>U58</f>
        <v>23514410</v>
      </c>
      <c r="V63" s="520">
        <f>V58</f>
        <v>11940155</v>
      </c>
      <c r="W63" s="1141">
        <f>+V63/U63</f>
        <v>0.5077803355474366</v>
      </c>
    </row>
    <row r="64" spans="1:22" ht="21.75" customHeight="1" hidden="1">
      <c r="A64" s="1269" t="s">
        <v>131</v>
      </c>
      <c r="B64" s="1269"/>
      <c r="C64" s="1269"/>
      <c r="D64" s="1269"/>
      <c r="E64" s="54"/>
      <c r="F64" s="417"/>
      <c r="G64" s="417"/>
      <c r="H64" s="417"/>
      <c r="I64" s="417"/>
      <c r="J64" s="417"/>
      <c r="K64" s="417"/>
      <c r="L64" s="17"/>
      <c r="M64" s="716"/>
      <c r="N64" s="716"/>
      <c r="O64" s="716"/>
      <c r="P64" s="716"/>
      <c r="Q64" s="716"/>
      <c r="V64" s="474"/>
    </row>
    <row r="65" spans="1:17" ht="21.75" customHeight="1" hidden="1">
      <c r="A65" s="1277" t="s">
        <v>132</v>
      </c>
      <c r="B65" s="1277"/>
      <c r="C65" s="1277"/>
      <c r="D65" s="1277"/>
      <c r="E65" s="55"/>
      <c r="F65" s="418"/>
      <c r="G65" s="418"/>
      <c r="H65" s="418"/>
      <c r="I65" s="418"/>
      <c r="J65" s="418"/>
      <c r="K65" s="418"/>
      <c r="L65" s="17"/>
      <c r="M65" s="716"/>
      <c r="N65" s="716"/>
      <c r="O65" s="716"/>
      <c r="P65" s="716"/>
      <c r="Q65" s="716"/>
    </row>
    <row r="66" spans="1:22" ht="21.75" customHeight="1">
      <c r="A66" s="56"/>
      <c r="B66" s="57"/>
      <c r="C66" s="57"/>
      <c r="D66" s="57"/>
      <c r="E66" s="57"/>
      <c r="F66" s="58"/>
      <c r="G66" s="58"/>
      <c r="H66" s="863"/>
      <c r="I66" s="58"/>
      <c r="J66" s="58"/>
      <c r="K66" s="58"/>
      <c r="L66" s="58"/>
      <c r="M66"/>
      <c r="N66"/>
      <c r="O66"/>
      <c r="P66"/>
      <c r="Q66"/>
      <c r="V66" s="3"/>
    </row>
    <row r="67" spans="18:21" ht="12.75">
      <c r="R67" s="3"/>
      <c r="U67" s="3"/>
    </row>
    <row r="68" spans="18:21" ht="35.25" customHeight="1">
      <c r="R68" s="3"/>
      <c r="S68" s="3"/>
      <c r="U68" s="3"/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L4:Q4"/>
    <mergeCell ref="R4:W4"/>
    <mergeCell ref="C16:D16"/>
    <mergeCell ref="C17:D17"/>
    <mergeCell ref="A2:L2"/>
    <mergeCell ref="A4:C4"/>
    <mergeCell ref="B6:D6"/>
    <mergeCell ref="B7:D7"/>
    <mergeCell ref="C8:D8"/>
    <mergeCell ref="C13:D13"/>
    <mergeCell ref="L3:R3"/>
    <mergeCell ref="C53:D53"/>
    <mergeCell ref="C38:D38"/>
    <mergeCell ref="B21:D21"/>
    <mergeCell ref="C23:D23"/>
    <mergeCell ref="C24:D24"/>
    <mergeCell ref="C25:D25"/>
    <mergeCell ref="C30:D30"/>
    <mergeCell ref="C22:D22"/>
    <mergeCell ref="C20:D20"/>
    <mergeCell ref="A65:D65"/>
    <mergeCell ref="B58:D58"/>
    <mergeCell ref="B59:D59"/>
    <mergeCell ref="C60:D60"/>
    <mergeCell ref="C61:D61"/>
    <mergeCell ref="C31:D31"/>
    <mergeCell ref="C32:D32"/>
    <mergeCell ref="C33:D33"/>
    <mergeCell ref="B35:D35"/>
    <mergeCell ref="C36:D36"/>
    <mergeCell ref="F4:K4"/>
    <mergeCell ref="C52:D52"/>
    <mergeCell ref="C54:D54"/>
    <mergeCell ref="B55:D55"/>
    <mergeCell ref="C56:D56"/>
    <mergeCell ref="C44:D44"/>
    <mergeCell ref="C45:D45"/>
    <mergeCell ref="C49:D49"/>
    <mergeCell ref="C50:D50"/>
    <mergeCell ref="B51:D51"/>
    <mergeCell ref="A64:D64"/>
    <mergeCell ref="C37:D37"/>
    <mergeCell ref="C34:D34"/>
    <mergeCell ref="C57:D57"/>
    <mergeCell ref="C39:D39"/>
    <mergeCell ref="C62:D62"/>
    <mergeCell ref="B63:D63"/>
    <mergeCell ref="B43:D4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0" zoomScaleNormal="70" zoomScalePageLayoutView="0" workbookViewId="0" topLeftCell="A2">
      <selection activeCell="J11" sqref="J11"/>
    </sheetView>
  </sheetViews>
  <sheetFormatPr defaultColWidth="9.140625" defaultRowHeight="12.75"/>
  <cols>
    <col min="1" max="1" width="5.8515625" style="59" customWidth="1"/>
    <col min="2" max="2" width="8.140625" style="60" customWidth="1"/>
    <col min="3" max="3" width="6.8515625" style="60" customWidth="1"/>
    <col min="4" max="4" width="50.140625" style="61" customWidth="1"/>
    <col min="5" max="5" width="8.8515625" style="61" customWidth="1"/>
    <col min="6" max="6" width="30.00390625" style="62" customWidth="1"/>
    <col min="7" max="8" width="18.7109375" style="62" hidden="1" customWidth="1"/>
    <col min="9" max="11" width="18.7109375" style="62" customWidth="1"/>
    <col min="12" max="12" width="23.421875" style="63" customWidth="1"/>
    <col min="13" max="14" width="18.57421875" style="63" hidden="1" customWidth="1"/>
    <col min="15" max="17" width="18.57421875" style="63" customWidth="1"/>
    <col min="18" max="18" width="23.00390625" style="62" customWidth="1"/>
    <col min="19" max="19" width="15.8515625" style="62" hidden="1" customWidth="1"/>
    <col min="20" max="20" width="14.57421875" style="62" hidden="1" customWidth="1"/>
    <col min="21" max="21" width="16.421875" style="62" customWidth="1"/>
    <col min="22" max="22" width="13.421875" style="62" bestFit="1" customWidth="1"/>
    <col min="23" max="23" width="15.57421875" style="62" customWidth="1"/>
    <col min="24" max="16384" width="9.140625" style="62" customWidth="1"/>
  </cols>
  <sheetData>
    <row r="1" spans="6:17" ht="15.75">
      <c r="F1" s="1339"/>
      <c r="G1" s="1339"/>
      <c r="H1" s="1339"/>
      <c r="I1" s="1339"/>
      <c r="J1" s="1339"/>
      <c r="K1" s="1339"/>
      <c r="L1" s="1339"/>
      <c r="M1" s="67"/>
      <c r="N1" s="67"/>
      <c r="O1" s="67"/>
      <c r="P1" s="67"/>
      <c r="Q1" s="67"/>
    </row>
    <row r="2" spans="1:17" ht="37.5" customHeight="1">
      <c r="A2" s="1340" t="s">
        <v>512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651"/>
      <c r="N2" s="651"/>
      <c r="O2" s="651"/>
      <c r="P2" s="651"/>
      <c r="Q2" s="651"/>
    </row>
    <row r="3" spans="1:18" ht="14.25" customHeight="1" thickBot="1">
      <c r="A3" s="149"/>
      <c r="B3" s="65"/>
      <c r="C3" s="65"/>
      <c r="D3" s="7"/>
      <c r="E3" s="66"/>
      <c r="L3" s="1341" t="s">
        <v>478</v>
      </c>
      <c r="M3" s="1341"/>
      <c r="N3" s="1341"/>
      <c r="O3" s="1341"/>
      <c r="P3" s="1341"/>
      <c r="Q3" s="1341"/>
      <c r="R3" s="1341"/>
    </row>
    <row r="4" spans="1:23" s="7" customFormat="1" ht="48.75" customHeight="1" thickBot="1">
      <c r="A4" s="1325" t="s">
        <v>133</v>
      </c>
      <c r="B4" s="1325"/>
      <c r="C4" s="1325"/>
      <c r="D4" s="1325"/>
      <c r="E4" s="68" t="s">
        <v>3</v>
      </c>
      <c r="F4" s="1342" t="s">
        <v>4</v>
      </c>
      <c r="G4" s="1343"/>
      <c r="H4" s="1343"/>
      <c r="I4" s="1343"/>
      <c r="J4" s="1343"/>
      <c r="K4" s="1344"/>
      <c r="L4" s="1342" t="s">
        <v>243</v>
      </c>
      <c r="M4" s="1343"/>
      <c r="N4" s="1343"/>
      <c r="O4" s="1343"/>
      <c r="P4" s="1343"/>
      <c r="Q4" s="1344"/>
      <c r="R4" s="1342" t="s">
        <v>296</v>
      </c>
      <c r="S4" s="1343"/>
      <c r="T4" s="1343"/>
      <c r="U4" s="1343"/>
      <c r="V4" s="1343"/>
      <c r="W4" s="1344"/>
    </row>
    <row r="5" spans="1:23" s="7" customFormat="1" ht="16.5" customHeight="1" thickBot="1">
      <c r="A5" s="68"/>
      <c r="B5" s="69"/>
      <c r="C5" s="69"/>
      <c r="D5" s="69"/>
      <c r="E5" s="68"/>
      <c r="F5" s="593" t="s">
        <v>6</v>
      </c>
      <c r="G5" s="593" t="s">
        <v>135</v>
      </c>
      <c r="H5" s="593" t="s">
        <v>136</v>
      </c>
      <c r="I5" s="593" t="s">
        <v>137</v>
      </c>
      <c r="J5" s="593" t="s">
        <v>286</v>
      </c>
      <c r="K5" s="593" t="s">
        <v>291</v>
      </c>
      <c r="L5" s="593" t="s">
        <v>6</v>
      </c>
      <c r="M5" s="593" t="s">
        <v>135</v>
      </c>
      <c r="N5" s="593" t="s">
        <v>136</v>
      </c>
      <c r="O5" s="593" t="s">
        <v>137</v>
      </c>
      <c r="P5" s="593" t="s">
        <v>286</v>
      </c>
      <c r="Q5" s="593" t="s">
        <v>291</v>
      </c>
      <c r="R5" s="593" t="s">
        <v>6</v>
      </c>
      <c r="S5" s="593" t="s">
        <v>135</v>
      </c>
      <c r="T5" s="593" t="s">
        <v>136</v>
      </c>
      <c r="U5" s="593" t="s">
        <v>137</v>
      </c>
      <c r="V5" s="593" t="s">
        <v>286</v>
      </c>
      <c r="W5" s="593" t="s">
        <v>291</v>
      </c>
    </row>
    <row r="6" spans="1:23" s="73" customFormat="1" ht="22.5" customHeight="1" thickBot="1">
      <c r="A6" s="40" t="s">
        <v>10</v>
      </c>
      <c r="B6" s="1317" t="s">
        <v>140</v>
      </c>
      <c r="C6" s="1317"/>
      <c r="D6" s="1317"/>
      <c r="E6" s="40"/>
      <c r="F6" s="564">
        <f>F7+F8+F9+F10+F11</f>
        <v>73716750</v>
      </c>
      <c r="G6" s="564">
        <f>G7+G8+G9+G10+G11</f>
        <v>73924070</v>
      </c>
      <c r="H6" s="564">
        <f>H7+H8+H9+H10+H11</f>
        <v>75979621</v>
      </c>
      <c r="I6" s="564">
        <f>I7+I8+I9+I10+I11</f>
        <v>75113372</v>
      </c>
      <c r="J6" s="564">
        <f>J7+J8+J9+J10+J11</f>
        <v>52409822</v>
      </c>
      <c r="K6" s="1116">
        <f>+J6/I6</f>
        <v>0.6977428998927115</v>
      </c>
      <c r="L6" s="564">
        <f aca="true" t="shared" si="0" ref="L6:P9">F6-R6</f>
        <v>68780888</v>
      </c>
      <c r="M6" s="564">
        <f t="shared" si="0"/>
        <v>67347808</v>
      </c>
      <c r="N6" s="564">
        <f t="shared" si="0"/>
        <v>69403359</v>
      </c>
      <c r="O6" s="564">
        <f t="shared" si="0"/>
        <v>54289751</v>
      </c>
      <c r="P6" s="564">
        <f t="shared" si="0"/>
        <v>47426703</v>
      </c>
      <c r="Q6" s="1116">
        <f>+P6/O6</f>
        <v>0.8735848318773832</v>
      </c>
      <c r="R6" s="576">
        <f>R7+R8+R9+R10+R11</f>
        <v>4935862</v>
      </c>
      <c r="S6" s="576">
        <f>S7+S8+S9+S10+S11</f>
        <v>6576262</v>
      </c>
      <c r="T6" s="576">
        <f>T7+T8+T9+T10+T11</f>
        <v>6576262</v>
      </c>
      <c r="U6" s="576">
        <f>U7+U8+U9+U10+U11</f>
        <v>20823621</v>
      </c>
      <c r="V6" s="576">
        <f>V7+V8+V9+V10+V11</f>
        <v>4983119</v>
      </c>
      <c r="W6" s="1116">
        <f>+V6/U6</f>
        <v>0.23930127233875415</v>
      </c>
    </row>
    <row r="7" spans="1:23" s="79" customFormat="1" ht="22.5" customHeight="1">
      <c r="A7" s="74"/>
      <c r="B7" s="75" t="s">
        <v>13</v>
      </c>
      <c r="C7" s="75"/>
      <c r="D7" s="76" t="s">
        <v>141</v>
      </c>
      <c r="E7" s="557" t="s">
        <v>142</v>
      </c>
      <c r="F7" s="565">
        <v>29501352</v>
      </c>
      <c r="G7" s="565">
        <v>28181352</v>
      </c>
      <c r="H7" s="565">
        <v>28386095</v>
      </c>
      <c r="I7" s="565">
        <v>26866470</v>
      </c>
      <c r="J7" s="565">
        <v>21350976</v>
      </c>
      <c r="K7" s="1117">
        <f aca="true" t="shared" si="1" ref="K7:K36">+J7/I7</f>
        <v>0.7947071572856427</v>
      </c>
      <c r="L7" s="574">
        <f t="shared" si="0"/>
        <v>28872852</v>
      </c>
      <c r="M7" s="574">
        <f t="shared" si="0"/>
        <v>27552852</v>
      </c>
      <c r="N7" s="574">
        <f t="shared" si="0"/>
        <v>27757595</v>
      </c>
      <c r="O7" s="574">
        <f t="shared" si="0"/>
        <v>22829187</v>
      </c>
      <c r="P7" s="574">
        <f t="shared" si="0"/>
        <v>19788695</v>
      </c>
      <c r="Q7" s="1117">
        <f aca="true" t="shared" si="2" ref="Q7:Q36">+P7/O7</f>
        <v>0.8668155812995005</v>
      </c>
      <c r="R7" s="577">
        <v>628500</v>
      </c>
      <c r="S7" s="577">
        <v>628500</v>
      </c>
      <c r="T7" s="577">
        <v>628500</v>
      </c>
      <c r="U7" s="577">
        <v>4037283</v>
      </c>
      <c r="V7" s="1126">
        <v>1562281</v>
      </c>
      <c r="W7" s="1117">
        <f aca="true" t="shared" si="3" ref="W7:W36">+V7/U7</f>
        <v>0.3869634603271557</v>
      </c>
    </row>
    <row r="8" spans="1:23" s="79" customFormat="1" ht="22.5" customHeight="1">
      <c r="A8" s="80"/>
      <c r="B8" s="81" t="s">
        <v>23</v>
      </c>
      <c r="C8" s="81"/>
      <c r="D8" s="82" t="s">
        <v>143</v>
      </c>
      <c r="E8" s="557" t="s">
        <v>144</v>
      </c>
      <c r="F8" s="565">
        <v>5584950</v>
      </c>
      <c r="G8" s="565">
        <v>5294550</v>
      </c>
      <c r="H8" s="565">
        <v>5299902</v>
      </c>
      <c r="I8" s="565">
        <v>4929093</v>
      </c>
      <c r="J8" s="565">
        <v>4183147</v>
      </c>
      <c r="K8" s="1117">
        <f t="shared" si="1"/>
        <v>0.8486646529087603</v>
      </c>
      <c r="L8" s="566">
        <f t="shared" si="0"/>
        <v>5453693</v>
      </c>
      <c r="M8" s="566">
        <f t="shared" si="0"/>
        <v>5163293</v>
      </c>
      <c r="N8" s="566">
        <f t="shared" si="0"/>
        <v>5168645</v>
      </c>
      <c r="O8" s="566">
        <f t="shared" si="0"/>
        <v>4052979</v>
      </c>
      <c r="P8" s="566">
        <f t="shared" si="0"/>
        <v>3870835</v>
      </c>
      <c r="Q8" s="1117">
        <f t="shared" si="2"/>
        <v>0.9550592292730853</v>
      </c>
      <c r="R8" s="578">
        <v>131257</v>
      </c>
      <c r="S8" s="578">
        <v>131257</v>
      </c>
      <c r="T8" s="578">
        <v>131257</v>
      </c>
      <c r="U8" s="578">
        <v>876114</v>
      </c>
      <c r="V8" s="1127">
        <v>312312</v>
      </c>
      <c r="W8" s="1117">
        <f t="shared" si="3"/>
        <v>0.35647415747265765</v>
      </c>
    </row>
    <row r="9" spans="1:23" s="79" customFormat="1" ht="22.5" customHeight="1">
      <c r="A9" s="80"/>
      <c r="B9" s="81" t="s">
        <v>145</v>
      </c>
      <c r="C9" s="81"/>
      <c r="D9" s="82" t="s">
        <v>146</v>
      </c>
      <c r="E9" s="557" t="s">
        <v>147</v>
      </c>
      <c r="F9" s="565">
        <f>31547114+404629</f>
        <v>31951743</v>
      </c>
      <c r="G9" s="565">
        <v>32129063</v>
      </c>
      <c r="H9" s="565">
        <v>33944519</v>
      </c>
      <c r="I9" s="565">
        <v>36540198</v>
      </c>
      <c r="J9" s="565">
        <v>20098088</v>
      </c>
      <c r="K9" s="1117">
        <f t="shared" si="1"/>
        <v>0.5500267951476344</v>
      </c>
      <c r="L9" s="566">
        <f t="shared" si="0"/>
        <v>30859743</v>
      </c>
      <c r="M9" s="566">
        <f t="shared" si="0"/>
        <v>31037063</v>
      </c>
      <c r="N9" s="566">
        <f t="shared" si="0"/>
        <v>32852519</v>
      </c>
      <c r="O9" s="566">
        <f t="shared" si="0"/>
        <v>23058249</v>
      </c>
      <c r="P9" s="566">
        <f t="shared" si="0"/>
        <v>19417837</v>
      </c>
      <c r="Q9" s="1117">
        <f t="shared" si="2"/>
        <v>0.8421210561131507</v>
      </c>
      <c r="R9" s="566">
        <f>'7.sz.m.Dologi kiadás (2)'!P29</f>
        <v>1092000</v>
      </c>
      <c r="S9" s="566">
        <f>'7.sz.m.Dologi kiadás (2)'!Q29</f>
        <v>1092000</v>
      </c>
      <c r="T9" s="566">
        <f>'7.sz.m.Dologi kiadás (2)'!R29</f>
        <v>1092000</v>
      </c>
      <c r="U9" s="566">
        <f>'7.sz.m.Dologi kiadás (2)'!S29</f>
        <v>13481949</v>
      </c>
      <c r="V9" s="566">
        <f>'7.sz.m.Dologi kiadás (2)'!T29</f>
        <v>680251</v>
      </c>
      <c r="W9" s="1117">
        <f t="shared" si="3"/>
        <v>0.0504564288145579</v>
      </c>
    </row>
    <row r="10" spans="1:23" s="79" customFormat="1" ht="22.5" customHeight="1">
      <c r="A10" s="80"/>
      <c r="B10" s="81" t="s">
        <v>33</v>
      </c>
      <c r="C10" s="81"/>
      <c r="D10" s="82" t="s">
        <v>148</v>
      </c>
      <c r="E10" s="557" t="s">
        <v>149</v>
      </c>
      <c r="F10" s="565">
        <v>2579000</v>
      </c>
      <c r="G10" s="565">
        <v>2579000</v>
      </c>
      <c r="H10" s="565">
        <v>2609000</v>
      </c>
      <c r="I10" s="565">
        <v>3577000</v>
      </c>
      <c r="J10" s="565">
        <v>3577000</v>
      </c>
      <c r="K10" s="1117">
        <f t="shared" si="1"/>
        <v>1</v>
      </c>
      <c r="L10" s="566">
        <f>+'8.sz.m.szociális kiadások'!C11+'8.sz.m.szociális kiadások'!C12+'8.sz.m.szociális kiadások'!C13+'8.sz.m.szociális kiadások'!C14</f>
        <v>1769000</v>
      </c>
      <c r="M10" s="566">
        <f>+'8.sz.m.szociális kiadások'!D11+'8.sz.m.szociális kiadások'!D12+'8.sz.m.szociális kiadások'!D13+'8.sz.m.szociális kiadások'!D14</f>
        <v>1769000</v>
      </c>
      <c r="N10" s="566">
        <f>+'8.sz.m.szociális kiadások'!E11+'8.sz.m.szociális kiadások'!E12+'8.sz.m.szociális kiadások'!E13+'8.sz.m.szociális kiadások'!E14+'8.sz.m.szociális kiadások'!E41</f>
        <v>1799000</v>
      </c>
      <c r="O10" s="566">
        <f>'8.sz.m.szociális kiadások'!F44+'8.sz.m.szociális kiadások'!F16+'8.sz.m.szociális kiadások'!F19</f>
        <v>3577000</v>
      </c>
      <c r="P10" s="566">
        <f>'8.sz.m.szociális kiadások'!G44+'8.sz.m.szociális kiadások'!G16+'8.sz.m.szociális kiadások'!G19</f>
        <v>3577000</v>
      </c>
      <c r="Q10" s="1117">
        <f t="shared" si="2"/>
        <v>1</v>
      </c>
      <c r="R10" s="566">
        <f>+'8.sz.m.szociális kiadások'!C17+'8.sz.m.szociális kiadások'!C18</f>
        <v>810000</v>
      </c>
      <c r="S10" s="566">
        <f>+'8.sz.m.szociális kiadások'!D17+'8.sz.m.szociális kiadások'!D18</f>
        <v>810000</v>
      </c>
      <c r="T10" s="566">
        <f>+'8.sz.m.szociális kiadások'!E17+'8.sz.m.szociális kiadások'!E18</f>
        <v>810000</v>
      </c>
      <c r="U10" s="566"/>
      <c r="V10" s="566"/>
      <c r="W10" s="1117"/>
    </row>
    <row r="11" spans="1:23" s="79" customFormat="1" ht="22.5" customHeight="1">
      <c r="A11" s="80"/>
      <c r="B11" s="81" t="s">
        <v>40</v>
      </c>
      <c r="C11" s="81"/>
      <c r="D11" s="83" t="s">
        <v>150</v>
      </c>
      <c r="E11" s="558" t="s">
        <v>151</v>
      </c>
      <c r="F11" s="565">
        <f>SUM(F12:F15)</f>
        <v>4099705</v>
      </c>
      <c r="G11" s="565">
        <f>SUM(G12:G15)</f>
        <v>5740105</v>
      </c>
      <c r="H11" s="565">
        <f>SUM(H12:H15)</f>
        <v>5740105</v>
      </c>
      <c r="I11" s="565">
        <f>SUM(I12:I15)</f>
        <v>3200611</v>
      </c>
      <c r="J11" s="565">
        <f>SUM(J12:J15)</f>
        <v>3200611</v>
      </c>
      <c r="K11" s="1117">
        <f t="shared" si="1"/>
        <v>1</v>
      </c>
      <c r="L11" s="566">
        <f>SUM(L12:L15)</f>
        <v>1825600</v>
      </c>
      <c r="M11" s="566">
        <f>SUM(M12:M15)</f>
        <v>1825600</v>
      </c>
      <c r="N11" s="566">
        <f>SUM(N12:N15)</f>
        <v>1825600</v>
      </c>
      <c r="O11" s="566">
        <f>SUM(O12:O15)</f>
        <v>772336</v>
      </c>
      <c r="P11" s="566">
        <f>SUM(P12:P15)</f>
        <v>772336</v>
      </c>
      <c r="Q11" s="1117">
        <f t="shared" si="2"/>
        <v>1</v>
      </c>
      <c r="R11" s="566">
        <f>SUM(R12:R15)</f>
        <v>2274105</v>
      </c>
      <c r="S11" s="566">
        <f>SUM(S12:S15)</f>
        <v>3914505</v>
      </c>
      <c r="T11" s="566">
        <f>SUM(T12:T15)</f>
        <v>3914505</v>
      </c>
      <c r="U11" s="566">
        <f>SUM(U12:U15)</f>
        <v>2428275</v>
      </c>
      <c r="V11" s="566">
        <f>SUM(V12:V15)</f>
        <v>2428275</v>
      </c>
      <c r="W11" s="1117">
        <f t="shared" si="3"/>
        <v>1</v>
      </c>
    </row>
    <row r="12" spans="1:23" s="79" customFormat="1" ht="28.5" customHeight="1">
      <c r="A12" s="80"/>
      <c r="B12" s="85"/>
      <c r="C12" s="81" t="s">
        <v>152</v>
      </c>
      <c r="D12" s="82" t="s">
        <v>153</v>
      </c>
      <c r="E12" s="557" t="s">
        <v>236</v>
      </c>
      <c r="F12" s="565"/>
      <c r="G12" s="565"/>
      <c r="H12" s="565"/>
      <c r="I12" s="565"/>
      <c r="J12" s="565"/>
      <c r="K12" s="1117"/>
      <c r="L12" s="566">
        <f aca="true" t="shared" si="4" ref="L12:P13">F12-R12</f>
        <v>0</v>
      </c>
      <c r="M12" s="566">
        <f t="shared" si="4"/>
        <v>0</v>
      </c>
      <c r="N12" s="566">
        <f t="shared" si="4"/>
        <v>0</v>
      </c>
      <c r="O12" s="566">
        <f t="shared" si="4"/>
        <v>0</v>
      </c>
      <c r="P12" s="566">
        <f t="shared" si="4"/>
        <v>0</v>
      </c>
      <c r="Q12" s="1117"/>
      <c r="R12" s="579"/>
      <c r="S12" s="579"/>
      <c r="T12" s="579"/>
      <c r="U12" s="579"/>
      <c r="V12" s="579"/>
      <c r="W12" s="1117"/>
    </row>
    <row r="13" spans="1:23" s="79" customFormat="1" ht="31.5" customHeight="1">
      <c r="A13" s="80"/>
      <c r="B13" s="81"/>
      <c r="C13" s="81" t="s">
        <v>154</v>
      </c>
      <c r="D13" s="82" t="s">
        <v>155</v>
      </c>
      <c r="E13" s="557" t="s">
        <v>480</v>
      </c>
      <c r="F13" s="565">
        <v>1973000</v>
      </c>
      <c r="G13" s="565">
        <v>2003000</v>
      </c>
      <c r="H13" s="565">
        <v>2003000</v>
      </c>
      <c r="I13" s="565">
        <v>1640558</v>
      </c>
      <c r="J13" s="565">
        <f>1534733+15000+43000+47825</f>
        <v>1640558</v>
      </c>
      <c r="K13" s="1117">
        <f t="shared" si="1"/>
        <v>1</v>
      </c>
      <c r="L13" s="566">
        <f t="shared" si="4"/>
        <v>0</v>
      </c>
      <c r="M13" s="566">
        <f t="shared" si="4"/>
        <v>0</v>
      </c>
      <c r="N13" s="566">
        <f t="shared" si="4"/>
        <v>0</v>
      </c>
      <c r="O13" s="566">
        <f t="shared" si="4"/>
        <v>0</v>
      </c>
      <c r="P13" s="566">
        <f t="shared" si="4"/>
        <v>0</v>
      </c>
      <c r="Q13" s="1117"/>
      <c r="R13" s="578">
        <f>'9.sz.m.átadott pe (2)'!H36</f>
        <v>1973000</v>
      </c>
      <c r="S13" s="578">
        <f>'9.sz.m.átadott pe (2)'!I36</f>
        <v>2003000</v>
      </c>
      <c r="T13" s="578">
        <f>'9.sz.m.átadott pe (2)'!J36</f>
        <v>2003000</v>
      </c>
      <c r="U13" s="578">
        <f>'9.sz.m.átadott pe (2)'!K36</f>
        <v>1640558</v>
      </c>
      <c r="V13" s="578">
        <f>'9.sz.m.átadott pe (2)'!L36</f>
        <v>1640558</v>
      </c>
      <c r="W13" s="1117">
        <f t="shared" si="3"/>
        <v>1</v>
      </c>
    </row>
    <row r="14" spans="1:23" s="79" customFormat="1" ht="36.75" customHeight="1">
      <c r="A14" s="86"/>
      <c r="B14" s="87"/>
      <c r="C14" s="81" t="s">
        <v>156</v>
      </c>
      <c r="D14" s="82" t="s">
        <v>157</v>
      </c>
      <c r="E14" s="557" t="s">
        <v>237</v>
      </c>
      <c r="F14" s="565">
        <v>2126705</v>
      </c>
      <c r="G14" s="565">
        <v>3737105</v>
      </c>
      <c r="H14" s="565">
        <v>3737105</v>
      </c>
      <c r="I14" s="565">
        <v>1560053</v>
      </c>
      <c r="J14" s="565">
        <f>335000+823567+401486</f>
        <v>1560053</v>
      </c>
      <c r="K14" s="1117">
        <f t="shared" si="1"/>
        <v>1</v>
      </c>
      <c r="L14" s="586">
        <f>'9.sz.m.átadott pe (2)'!B64</f>
        <v>1825600</v>
      </c>
      <c r="M14" s="586">
        <f>'9.sz.m.átadott pe (2)'!C64</f>
        <v>1825600</v>
      </c>
      <c r="N14" s="586">
        <f>'9.sz.m.átadott pe (2)'!D64</f>
        <v>1825600</v>
      </c>
      <c r="O14" s="586">
        <f>'9.sz.m.átadott pe (2)'!E64</f>
        <v>772336</v>
      </c>
      <c r="P14" s="586">
        <f>'9.sz.m.átadott pe (2)'!F64</f>
        <v>772336</v>
      </c>
      <c r="Q14" s="1117">
        <f t="shared" si="2"/>
        <v>1</v>
      </c>
      <c r="R14" s="578">
        <f>'9.sz.m.átadott pe (2)'!H64</f>
        <v>301105</v>
      </c>
      <c r="S14" s="578">
        <f>'9.sz.m.átadott pe (2)'!I64</f>
        <v>1911505</v>
      </c>
      <c r="T14" s="578">
        <f>'9.sz.m.átadott pe (2)'!J64</f>
        <v>1911505</v>
      </c>
      <c r="U14" s="578">
        <f>'9.sz.m.átadott pe (2)'!K64</f>
        <v>787717</v>
      </c>
      <c r="V14" s="578">
        <f>'9.sz.m.átadott pe (2)'!L64</f>
        <v>787717</v>
      </c>
      <c r="W14" s="1117">
        <f t="shared" si="3"/>
        <v>1</v>
      </c>
    </row>
    <row r="15" spans="1:23" s="79" customFormat="1" ht="42.75" customHeight="1" thickBot="1">
      <c r="A15" s="80"/>
      <c r="B15" s="81"/>
      <c r="C15" s="81" t="s">
        <v>158</v>
      </c>
      <c r="D15" s="82" t="s">
        <v>424</v>
      </c>
      <c r="E15" s="557" t="s">
        <v>423</v>
      </c>
      <c r="F15" s="566">
        <v>0</v>
      </c>
      <c r="G15" s="566">
        <v>0</v>
      </c>
      <c r="H15" s="566">
        <v>0</v>
      </c>
      <c r="I15" s="566">
        <v>0</v>
      </c>
      <c r="J15" s="566">
        <v>0</v>
      </c>
      <c r="K15" s="1118"/>
      <c r="L15" s="603">
        <f aca="true" t="shared" si="5" ref="L15:L36">F15-R15</f>
        <v>0</v>
      </c>
      <c r="M15" s="603">
        <f aca="true" t="shared" si="6" ref="M15:M36">G15-S15</f>
        <v>0</v>
      </c>
      <c r="N15" s="603">
        <f aca="true" t="shared" si="7" ref="N15:N36">H15-T15</f>
        <v>0</v>
      </c>
      <c r="O15" s="603">
        <f aca="true" t="shared" si="8" ref="O15:P36">I15-U15</f>
        <v>0</v>
      </c>
      <c r="P15" s="603">
        <f t="shared" si="8"/>
        <v>0</v>
      </c>
      <c r="Q15" s="1118"/>
      <c r="R15" s="578">
        <f>'9.sz.m.átadott pe (2)'!H91</f>
        <v>0</v>
      </c>
      <c r="S15" s="578">
        <f>'9.sz.m.átadott pe (2)'!I91</f>
        <v>0</v>
      </c>
      <c r="T15" s="578">
        <f>'9.sz.m.átadott pe (2)'!J91</f>
        <v>0</v>
      </c>
      <c r="U15" s="578">
        <f>'9.sz.m.átadott pe (2)'!K91</f>
        <v>0</v>
      </c>
      <c r="V15" s="578">
        <f>'9.sz.m.átadott pe (2)'!L91</f>
        <v>0</v>
      </c>
      <c r="W15" s="1118"/>
    </row>
    <row r="16" spans="1:23" s="79" customFormat="1" ht="22.5" customHeight="1" hidden="1" thickBot="1">
      <c r="A16" s="88"/>
      <c r="B16" s="89"/>
      <c r="C16" s="89" t="s">
        <v>160</v>
      </c>
      <c r="D16" s="90" t="s">
        <v>161</v>
      </c>
      <c r="E16" s="559"/>
      <c r="F16" s="567"/>
      <c r="G16" s="567"/>
      <c r="H16" s="567"/>
      <c r="I16" s="567"/>
      <c r="J16" s="567"/>
      <c r="K16" s="1119" t="e">
        <f t="shared" si="1"/>
        <v>#DIV/0!</v>
      </c>
      <c r="L16" s="564">
        <f t="shared" si="5"/>
        <v>0</v>
      </c>
      <c r="M16" s="564">
        <f t="shared" si="6"/>
        <v>0</v>
      </c>
      <c r="N16" s="564">
        <f t="shared" si="7"/>
        <v>0</v>
      </c>
      <c r="O16" s="564">
        <f t="shared" si="8"/>
        <v>0</v>
      </c>
      <c r="P16" s="564">
        <f t="shared" si="8"/>
        <v>0</v>
      </c>
      <c r="Q16" s="1119" t="e">
        <f t="shared" si="2"/>
        <v>#DIV/0!</v>
      </c>
      <c r="R16" s="580"/>
      <c r="S16" s="580"/>
      <c r="T16" s="580"/>
      <c r="U16" s="580"/>
      <c r="V16" s="580"/>
      <c r="W16" s="1119" t="e">
        <f t="shared" si="3"/>
        <v>#DIV/0!</v>
      </c>
    </row>
    <row r="17" spans="1:23" s="79" customFormat="1" ht="22.5" customHeight="1" thickBot="1">
      <c r="A17" s="40" t="s">
        <v>162</v>
      </c>
      <c r="B17" s="1317" t="s">
        <v>163</v>
      </c>
      <c r="C17" s="1317"/>
      <c r="D17" s="1317"/>
      <c r="E17" s="40"/>
      <c r="F17" s="564">
        <f>F18+F19+F20</f>
        <v>70524454</v>
      </c>
      <c r="G17" s="564">
        <f>G18+G19+G20</f>
        <v>71334500</v>
      </c>
      <c r="H17" s="564">
        <f>H18+H19+H20</f>
        <v>72110432</v>
      </c>
      <c r="I17" s="564">
        <f>I18+I19+I20</f>
        <v>69746586</v>
      </c>
      <c r="J17" s="564">
        <f>J18+J19+J20</f>
        <v>58218512</v>
      </c>
      <c r="K17" s="1116">
        <f t="shared" si="1"/>
        <v>0.8347148633196183</v>
      </c>
      <c r="L17" s="564">
        <f t="shared" si="5"/>
        <v>67895711</v>
      </c>
      <c r="M17" s="564">
        <f t="shared" si="6"/>
        <v>68273711</v>
      </c>
      <c r="N17" s="564">
        <f t="shared" si="7"/>
        <v>69049643</v>
      </c>
      <c r="O17" s="564">
        <f t="shared" si="8"/>
        <v>67055797</v>
      </c>
      <c r="P17" s="564">
        <f t="shared" si="8"/>
        <v>56586466</v>
      </c>
      <c r="Q17" s="1116">
        <f t="shared" si="2"/>
        <v>0.8438713508990132</v>
      </c>
      <c r="R17" s="564">
        <f>R18+R19+R20</f>
        <v>2628743</v>
      </c>
      <c r="S17" s="564">
        <f>S18+S19+S20</f>
        <v>3060789</v>
      </c>
      <c r="T17" s="564">
        <f>T18+T19+T20</f>
        <v>3060789</v>
      </c>
      <c r="U17" s="564">
        <f>U18+U19+U20</f>
        <v>2690789</v>
      </c>
      <c r="V17" s="564">
        <f>V18+V19+V20</f>
        <v>1632046</v>
      </c>
      <c r="W17" s="1116">
        <f t="shared" si="3"/>
        <v>0.6065306495604077</v>
      </c>
    </row>
    <row r="18" spans="1:23" s="79" customFormat="1" ht="22.5" customHeight="1">
      <c r="A18" s="74"/>
      <c r="B18" s="75" t="s">
        <v>46</v>
      </c>
      <c r="C18" s="1318" t="s">
        <v>164</v>
      </c>
      <c r="D18" s="1318"/>
      <c r="E18" s="74" t="s">
        <v>165</v>
      </c>
      <c r="F18" s="565">
        <v>11693143</v>
      </c>
      <c r="G18" s="565">
        <v>11693143</v>
      </c>
      <c r="H18" s="565">
        <v>12469075</v>
      </c>
      <c r="I18" s="565">
        <v>11693625</v>
      </c>
      <c r="J18" s="565">
        <v>943550</v>
      </c>
      <c r="K18" s="1117">
        <f t="shared" si="1"/>
        <v>0.0806892644496467</v>
      </c>
      <c r="L18" s="574">
        <f t="shared" si="5"/>
        <v>10634400</v>
      </c>
      <c r="M18" s="574">
        <f t="shared" si="6"/>
        <v>10634400</v>
      </c>
      <c r="N18" s="574">
        <f t="shared" si="7"/>
        <v>11410332</v>
      </c>
      <c r="O18" s="574">
        <f t="shared" si="8"/>
        <v>10634882</v>
      </c>
      <c r="P18" s="574">
        <f t="shared" si="8"/>
        <v>943550</v>
      </c>
      <c r="Q18" s="1117">
        <f t="shared" si="2"/>
        <v>0.08872218798478441</v>
      </c>
      <c r="R18" s="577">
        <f>+'6.a sz.m.fejlesztés (2)'!E9</f>
        <v>1058743</v>
      </c>
      <c r="S18" s="577">
        <f>+'6.a sz.m.fejlesztés (2)'!F9</f>
        <v>1058743</v>
      </c>
      <c r="T18" s="577">
        <f>+'6.a sz.m.fejlesztés (2)'!G9</f>
        <v>1058743</v>
      </c>
      <c r="U18" s="577">
        <f>+'6.a sz.m.fejlesztés (2)'!H9</f>
        <v>1058743</v>
      </c>
      <c r="V18" s="577">
        <f>+'6.a sz.m.fejlesztés (2)'!I9</f>
        <v>0</v>
      </c>
      <c r="W18" s="1117">
        <f t="shared" si="3"/>
        <v>0</v>
      </c>
    </row>
    <row r="19" spans="1:23" s="79" customFormat="1" ht="22.5" customHeight="1">
      <c r="A19" s="80"/>
      <c r="B19" s="81" t="s">
        <v>49</v>
      </c>
      <c r="C19" s="1319" t="s">
        <v>166</v>
      </c>
      <c r="D19" s="1319"/>
      <c r="E19" s="74" t="s">
        <v>167</v>
      </c>
      <c r="F19" s="566">
        <v>57261311</v>
      </c>
      <c r="G19" s="566">
        <v>57639311</v>
      </c>
      <c r="H19" s="566">
        <v>57639311</v>
      </c>
      <c r="I19" s="566">
        <v>56420915</v>
      </c>
      <c r="J19" s="566">
        <v>55642916</v>
      </c>
      <c r="K19" s="1118">
        <f t="shared" si="1"/>
        <v>0.986210804982514</v>
      </c>
      <c r="L19" s="566">
        <f t="shared" si="5"/>
        <v>57261311</v>
      </c>
      <c r="M19" s="566">
        <f t="shared" si="6"/>
        <v>57639311</v>
      </c>
      <c r="N19" s="566">
        <f t="shared" si="7"/>
        <v>57639311</v>
      </c>
      <c r="O19" s="566">
        <f t="shared" si="8"/>
        <v>56420915</v>
      </c>
      <c r="P19" s="566">
        <f t="shared" si="8"/>
        <v>55642916</v>
      </c>
      <c r="Q19" s="1118">
        <f t="shared" si="2"/>
        <v>0.986210804982514</v>
      </c>
      <c r="R19" s="578"/>
      <c r="S19" s="578"/>
      <c r="T19" s="578"/>
      <c r="U19" s="578"/>
      <c r="V19" s="578"/>
      <c r="W19" s="1118"/>
    </row>
    <row r="20" spans="1:23" s="79" customFormat="1" ht="22.5" customHeight="1">
      <c r="A20" s="94"/>
      <c r="B20" s="81" t="s">
        <v>52</v>
      </c>
      <c r="C20" s="1272" t="s">
        <v>168</v>
      </c>
      <c r="D20" s="1272"/>
      <c r="E20" s="560" t="s">
        <v>169</v>
      </c>
      <c r="F20" s="566">
        <f>SUM(F21:F24)</f>
        <v>1570000</v>
      </c>
      <c r="G20" s="566">
        <f>SUM(G21:G24)</f>
        <v>2002046</v>
      </c>
      <c r="H20" s="566">
        <f>SUM(H21:H24)</f>
        <v>2002046</v>
      </c>
      <c r="I20" s="566">
        <f>SUM(I21:I24)</f>
        <v>1632046</v>
      </c>
      <c r="J20" s="566">
        <f>SUM(J21:J24)</f>
        <v>1632046</v>
      </c>
      <c r="K20" s="1118">
        <f t="shared" si="1"/>
        <v>1</v>
      </c>
      <c r="L20" s="566">
        <f t="shared" si="5"/>
        <v>0</v>
      </c>
      <c r="M20" s="566">
        <f t="shared" si="6"/>
        <v>0</v>
      </c>
      <c r="N20" s="566">
        <f t="shared" si="7"/>
        <v>0</v>
      </c>
      <c r="O20" s="566">
        <f t="shared" si="8"/>
        <v>0</v>
      </c>
      <c r="P20" s="566">
        <f t="shared" si="8"/>
        <v>0</v>
      </c>
      <c r="Q20" s="1118"/>
      <c r="R20" s="578">
        <f>SUM(R21:R24)</f>
        <v>1570000</v>
      </c>
      <c r="S20" s="578">
        <f>SUM(S21:S24)</f>
        <v>2002046</v>
      </c>
      <c r="T20" s="578">
        <f>SUM(T21:T24)</f>
        <v>2002046</v>
      </c>
      <c r="U20" s="578">
        <f>SUM(U21:U24)</f>
        <v>1632046</v>
      </c>
      <c r="V20" s="578">
        <f>SUM(V21:V24)</f>
        <v>1632046</v>
      </c>
      <c r="W20" s="1118">
        <f t="shared" si="3"/>
        <v>1</v>
      </c>
    </row>
    <row r="21" spans="1:23" s="79" customFormat="1" ht="22.5" customHeight="1">
      <c r="A21" s="95"/>
      <c r="B21" s="96"/>
      <c r="C21" s="96" t="s">
        <v>55</v>
      </c>
      <c r="D21" s="25" t="s">
        <v>170</v>
      </c>
      <c r="E21" s="560"/>
      <c r="F21" s="566">
        <v>1570000</v>
      </c>
      <c r="G21" s="566">
        <v>2002046</v>
      </c>
      <c r="H21" s="566">
        <v>2002046</v>
      </c>
      <c r="I21" s="566">
        <v>1632046</v>
      </c>
      <c r="J21" s="566">
        <v>1632046</v>
      </c>
      <c r="K21" s="1118">
        <f t="shared" si="1"/>
        <v>1</v>
      </c>
      <c r="L21" s="566">
        <f t="shared" si="5"/>
        <v>0</v>
      </c>
      <c r="M21" s="566">
        <f t="shared" si="6"/>
        <v>0</v>
      </c>
      <c r="N21" s="566">
        <f t="shared" si="7"/>
        <v>0</v>
      </c>
      <c r="O21" s="566">
        <f t="shared" si="8"/>
        <v>0</v>
      </c>
      <c r="P21" s="566">
        <f t="shared" si="8"/>
        <v>0</v>
      </c>
      <c r="Q21" s="1118"/>
      <c r="R21" s="578">
        <f>'9.sz.m.átadott pe (2)'!T36</f>
        <v>1570000</v>
      </c>
      <c r="S21" s="578">
        <f>'9.sz.m.átadott pe (2)'!U36</f>
        <v>2002046</v>
      </c>
      <c r="T21" s="578">
        <f>'9.sz.m.átadott pe (2)'!V36</f>
        <v>2002046</v>
      </c>
      <c r="U21" s="578">
        <f>'9.sz.m.átadott pe (2)'!W36</f>
        <v>1632046</v>
      </c>
      <c r="V21" s="578">
        <f>'9.sz.m.átadott pe (2)'!X36</f>
        <v>1632046</v>
      </c>
      <c r="W21" s="1118">
        <f t="shared" si="3"/>
        <v>1</v>
      </c>
    </row>
    <row r="22" spans="1:23" s="79" customFormat="1" ht="22.5" customHeight="1">
      <c r="A22" s="95"/>
      <c r="B22" s="96"/>
      <c r="C22" s="96" t="s">
        <v>57</v>
      </c>
      <c r="D22" s="25" t="s">
        <v>171</v>
      </c>
      <c r="E22" s="560"/>
      <c r="F22" s="566"/>
      <c r="G22" s="566"/>
      <c r="H22" s="566"/>
      <c r="I22" s="566"/>
      <c r="J22" s="566"/>
      <c r="K22" s="1118"/>
      <c r="L22" s="566">
        <f t="shared" si="5"/>
        <v>0</v>
      </c>
      <c r="M22" s="566">
        <f t="shared" si="6"/>
        <v>0</v>
      </c>
      <c r="N22" s="566">
        <f t="shared" si="7"/>
        <v>0</v>
      </c>
      <c r="O22" s="566">
        <f t="shared" si="8"/>
        <v>0</v>
      </c>
      <c r="P22" s="566">
        <f t="shared" si="8"/>
        <v>0</v>
      </c>
      <c r="Q22" s="1118"/>
      <c r="R22" s="578"/>
      <c r="S22" s="578"/>
      <c r="T22" s="578"/>
      <c r="U22" s="578"/>
      <c r="V22" s="578"/>
      <c r="W22" s="1118"/>
    </row>
    <row r="23" spans="1:23" s="79" customFormat="1" ht="22.5" customHeight="1">
      <c r="A23" s="94"/>
      <c r="B23" s="25"/>
      <c r="C23" s="96" t="s">
        <v>59</v>
      </c>
      <c r="D23" s="25" t="s">
        <v>159</v>
      </c>
      <c r="E23" s="560"/>
      <c r="F23" s="566"/>
      <c r="G23" s="566"/>
      <c r="H23" s="566"/>
      <c r="I23" s="566"/>
      <c r="J23" s="566"/>
      <c r="K23" s="1118"/>
      <c r="L23" s="566">
        <f t="shared" si="5"/>
        <v>0</v>
      </c>
      <c r="M23" s="566">
        <f t="shared" si="6"/>
        <v>0</v>
      </c>
      <c r="N23" s="566">
        <f t="shared" si="7"/>
        <v>0</v>
      </c>
      <c r="O23" s="566">
        <f t="shared" si="8"/>
        <v>0</v>
      </c>
      <c r="P23" s="566">
        <f t="shared" si="8"/>
        <v>0</v>
      </c>
      <c r="Q23" s="1118"/>
      <c r="R23" s="578"/>
      <c r="S23" s="578"/>
      <c r="T23" s="578"/>
      <c r="U23" s="578"/>
      <c r="V23" s="578"/>
      <c r="W23" s="1118"/>
    </row>
    <row r="24" spans="1:23" s="79" customFormat="1" ht="22.5" customHeight="1" thickBot="1">
      <c r="A24" s="97"/>
      <c r="B24" s="98"/>
      <c r="C24" s="99" t="s">
        <v>172</v>
      </c>
      <c r="D24" s="98" t="s">
        <v>173</v>
      </c>
      <c r="E24" s="97"/>
      <c r="F24" s="568"/>
      <c r="G24" s="568"/>
      <c r="H24" s="568"/>
      <c r="I24" s="568"/>
      <c r="J24" s="568"/>
      <c r="K24" s="1120"/>
      <c r="L24" s="575">
        <f t="shared" si="5"/>
        <v>0</v>
      </c>
      <c r="M24" s="575">
        <f t="shared" si="6"/>
        <v>0</v>
      </c>
      <c r="N24" s="575">
        <f t="shared" si="7"/>
        <v>0</v>
      </c>
      <c r="O24" s="575">
        <f t="shared" si="8"/>
        <v>0</v>
      </c>
      <c r="P24" s="575">
        <f t="shared" si="8"/>
        <v>0</v>
      </c>
      <c r="Q24" s="1120"/>
      <c r="R24" s="580"/>
      <c r="S24" s="580"/>
      <c r="T24" s="580"/>
      <c r="U24" s="580"/>
      <c r="V24" s="580"/>
      <c r="W24" s="1120"/>
    </row>
    <row r="25" spans="1:23" s="79" customFormat="1" ht="22.5" customHeight="1" thickBot="1">
      <c r="A25" s="40" t="s">
        <v>70</v>
      </c>
      <c r="B25" s="1317" t="s">
        <v>174</v>
      </c>
      <c r="C25" s="1317"/>
      <c r="D25" s="1317"/>
      <c r="E25" s="40" t="s">
        <v>175</v>
      </c>
      <c r="F25" s="564">
        <f>F26+F28</f>
        <v>2224091</v>
      </c>
      <c r="G25" s="564">
        <f>G26+G28</f>
        <v>2615872</v>
      </c>
      <c r="H25" s="564">
        <f>H26+H28</f>
        <v>2970</v>
      </c>
      <c r="I25" s="564">
        <f>I26+I28</f>
        <v>0</v>
      </c>
      <c r="J25" s="564">
        <f>J26+J28</f>
        <v>0</v>
      </c>
      <c r="K25" s="1116"/>
      <c r="L25" s="564">
        <f t="shared" si="5"/>
        <v>2224091</v>
      </c>
      <c r="M25" s="564">
        <f t="shared" si="6"/>
        <v>2615872</v>
      </c>
      <c r="N25" s="564">
        <f t="shared" si="7"/>
        <v>2970</v>
      </c>
      <c r="O25" s="564">
        <f t="shared" si="8"/>
        <v>0</v>
      </c>
      <c r="P25" s="564">
        <f t="shared" si="8"/>
        <v>0</v>
      </c>
      <c r="Q25" s="1116"/>
      <c r="R25" s="582"/>
      <c r="S25" s="582"/>
      <c r="T25" s="582"/>
      <c r="U25" s="582"/>
      <c r="V25" s="582"/>
      <c r="W25" s="1116"/>
    </row>
    <row r="26" spans="1:23" s="79" customFormat="1" ht="22.5" customHeight="1">
      <c r="A26" s="74"/>
      <c r="B26" s="75" t="s">
        <v>73</v>
      </c>
      <c r="C26" s="1318" t="s">
        <v>176</v>
      </c>
      <c r="D26" s="1318"/>
      <c r="E26" s="74"/>
      <c r="F26" s="565">
        <f>2628720-404629</f>
        <v>2224091</v>
      </c>
      <c r="G26" s="565">
        <v>2615872</v>
      </c>
      <c r="H26" s="565">
        <v>2970</v>
      </c>
      <c r="I26" s="565">
        <v>0</v>
      </c>
      <c r="J26" s="565">
        <v>0</v>
      </c>
      <c r="K26" s="1117"/>
      <c r="L26" s="574">
        <f t="shared" si="5"/>
        <v>2224091</v>
      </c>
      <c r="M26" s="574">
        <f t="shared" si="6"/>
        <v>2615872</v>
      </c>
      <c r="N26" s="574">
        <f t="shared" si="7"/>
        <v>2970</v>
      </c>
      <c r="O26" s="574">
        <f t="shared" si="8"/>
        <v>0</v>
      </c>
      <c r="P26" s="574">
        <f t="shared" si="8"/>
        <v>0</v>
      </c>
      <c r="Q26" s="1117"/>
      <c r="R26" s="577"/>
      <c r="S26" s="577"/>
      <c r="T26" s="577"/>
      <c r="U26" s="577"/>
      <c r="V26" s="577"/>
      <c r="W26" s="1117"/>
    </row>
    <row r="27" spans="1:23" s="73" customFormat="1" ht="22.5" customHeight="1">
      <c r="A27" s="86"/>
      <c r="B27" s="81" t="s">
        <v>76</v>
      </c>
      <c r="C27" s="1320" t="s">
        <v>177</v>
      </c>
      <c r="D27" s="1320"/>
      <c r="E27" s="561"/>
      <c r="F27" s="565"/>
      <c r="G27" s="565"/>
      <c r="H27" s="565"/>
      <c r="I27" s="565"/>
      <c r="J27" s="565"/>
      <c r="K27" s="1117"/>
      <c r="L27" s="566">
        <f t="shared" si="5"/>
        <v>0</v>
      </c>
      <c r="M27" s="566">
        <f t="shared" si="6"/>
        <v>0</v>
      </c>
      <c r="N27" s="566">
        <f t="shared" si="7"/>
        <v>0</v>
      </c>
      <c r="O27" s="566">
        <f t="shared" si="8"/>
        <v>0</v>
      </c>
      <c r="P27" s="566">
        <f t="shared" si="8"/>
        <v>0</v>
      </c>
      <c r="Q27" s="1117"/>
      <c r="R27" s="583"/>
      <c r="S27" s="583"/>
      <c r="T27" s="583"/>
      <c r="U27" s="583"/>
      <c r="V27" s="583"/>
      <c r="W27" s="1117"/>
    </row>
    <row r="28" spans="1:23" s="73" customFormat="1" ht="22.5" customHeight="1" thickBot="1">
      <c r="A28" s="102"/>
      <c r="B28" s="89" t="s">
        <v>77</v>
      </c>
      <c r="C28" s="103" t="s">
        <v>178</v>
      </c>
      <c r="D28" s="103"/>
      <c r="E28" s="562"/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1120"/>
      <c r="L28" s="575">
        <f t="shared" si="5"/>
        <v>0</v>
      </c>
      <c r="M28" s="575">
        <f t="shared" si="6"/>
        <v>0</v>
      </c>
      <c r="N28" s="575">
        <f t="shared" si="7"/>
        <v>0</v>
      </c>
      <c r="O28" s="575">
        <f t="shared" si="8"/>
        <v>0</v>
      </c>
      <c r="P28" s="575">
        <f t="shared" si="8"/>
        <v>0</v>
      </c>
      <c r="Q28" s="1120"/>
      <c r="R28" s="583"/>
      <c r="S28" s="583"/>
      <c r="T28" s="583"/>
      <c r="U28" s="583"/>
      <c r="V28" s="583"/>
      <c r="W28" s="1120"/>
    </row>
    <row r="29" spans="1:23" s="73" customFormat="1" ht="22.5" customHeight="1" hidden="1">
      <c r="A29" s="105" t="s">
        <v>87</v>
      </c>
      <c r="B29" s="106" t="s">
        <v>179</v>
      </c>
      <c r="C29" s="106"/>
      <c r="D29" s="106"/>
      <c r="E29" s="105"/>
      <c r="F29" s="569"/>
      <c r="G29" s="569"/>
      <c r="H29" s="569"/>
      <c r="I29" s="569"/>
      <c r="J29" s="569"/>
      <c r="K29" s="1121" t="e">
        <f t="shared" si="1"/>
        <v>#DIV/0!</v>
      </c>
      <c r="L29" s="564">
        <f t="shared" si="5"/>
        <v>0</v>
      </c>
      <c r="M29" s="564">
        <f t="shared" si="6"/>
        <v>0</v>
      </c>
      <c r="N29" s="564">
        <f t="shared" si="7"/>
        <v>0</v>
      </c>
      <c r="O29" s="564">
        <f t="shared" si="8"/>
        <v>0</v>
      </c>
      <c r="P29" s="564">
        <f t="shared" si="8"/>
        <v>0</v>
      </c>
      <c r="Q29" s="1121" t="e">
        <f t="shared" si="2"/>
        <v>#DIV/0!</v>
      </c>
      <c r="R29" s="583"/>
      <c r="S29" s="583"/>
      <c r="T29" s="583"/>
      <c r="U29" s="583"/>
      <c r="V29" s="583"/>
      <c r="W29" s="1121" t="e">
        <f t="shared" si="3"/>
        <v>#DIV/0!</v>
      </c>
    </row>
    <row r="30" spans="1:23" s="73" customFormat="1" ht="22.5" customHeight="1" hidden="1">
      <c r="A30" s="40"/>
      <c r="B30" s="1317"/>
      <c r="C30" s="1317"/>
      <c r="D30" s="1317"/>
      <c r="E30" s="504"/>
      <c r="F30" s="570"/>
      <c r="G30" s="570"/>
      <c r="H30" s="570"/>
      <c r="I30" s="570"/>
      <c r="J30" s="570"/>
      <c r="K30" s="1122" t="e">
        <f t="shared" si="1"/>
        <v>#DIV/0!</v>
      </c>
      <c r="L30" s="564">
        <f t="shared" si="5"/>
        <v>0</v>
      </c>
      <c r="M30" s="564">
        <f t="shared" si="6"/>
        <v>0</v>
      </c>
      <c r="N30" s="564">
        <f t="shared" si="7"/>
        <v>0</v>
      </c>
      <c r="O30" s="564">
        <f t="shared" si="8"/>
        <v>0</v>
      </c>
      <c r="P30" s="564">
        <f t="shared" si="8"/>
        <v>0</v>
      </c>
      <c r="Q30" s="1122" t="e">
        <f t="shared" si="2"/>
        <v>#DIV/0!</v>
      </c>
      <c r="R30" s="584"/>
      <c r="S30" s="584"/>
      <c r="T30" s="584"/>
      <c r="U30" s="584"/>
      <c r="V30" s="584"/>
      <c r="W30" s="1122" t="e">
        <f t="shared" si="3"/>
        <v>#DIV/0!</v>
      </c>
    </row>
    <row r="31" spans="1:23" s="73" customFormat="1" ht="22.5" customHeight="1" thickBot="1">
      <c r="A31" s="40" t="s">
        <v>87</v>
      </c>
      <c r="B31" s="1321" t="s">
        <v>180</v>
      </c>
      <c r="C31" s="1321"/>
      <c r="D31" s="1321"/>
      <c r="E31" s="105"/>
      <c r="F31" s="564">
        <f>F6+F17+F25</f>
        <v>146465295</v>
      </c>
      <c r="G31" s="564">
        <f>G6+G17+G25</f>
        <v>147874442</v>
      </c>
      <c r="H31" s="564">
        <f>H6+H17+H25</f>
        <v>148093023</v>
      </c>
      <c r="I31" s="564">
        <f>I6+I17+I25</f>
        <v>144859958</v>
      </c>
      <c r="J31" s="564">
        <f>J6+J17+J25</f>
        <v>110628334</v>
      </c>
      <c r="K31" s="1116">
        <f t="shared" si="1"/>
        <v>0.7636916062063196</v>
      </c>
      <c r="L31" s="564">
        <f t="shared" si="5"/>
        <v>138900690</v>
      </c>
      <c r="M31" s="564">
        <f t="shared" si="6"/>
        <v>138237391</v>
      </c>
      <c r="N31" s="564">
        <f t="shared" si="7"/>
        <v>138455972</v>
      </c>
      <c r="O31" s="564">
        <f t="shared" si="8"/>
        <v>121345548</v>
      </c>
      <c r="P31" s="564">
        <f t="shared" si="8"/>
        <v>104013169</v>
      </c>
      <c r="Q31" s="1116">
        <f t="shared" si="2"/>
        <v>0.8571651017637664</v>
      </c>
      <c r="R31" s="581">
        <f>R6+R17</f>
        <v>7564605</v>
      </c>
      <c r="S31" s="581">
        <f>S6+S17</f>
        <v>9637051</v>
      </c>
      <c r="T31" s="581">
        <f>T6+T17</f>
        <v>9637051</v>
      </c>
      <c r="U31" s="581">
        <f>U6+U17</f>
        <v>23514410</v>
      </c>
      <c r="V31" s="581">
        <f>V6+V17</f>
        <v>6615165</v>
      </c>
      <c r="W31" s="1116">
        <f t="shared" si="3"/>
        <v>0.2813238775712425</v>
      </c>
    </row>
    <row r="32" spans="1:23" s="73" customFormat="1" ht="22.5" customHeight="1" thickBot="1">
      <c r="A32" s="105">
        <v>5</v>
      </c>
      <c r="B32" s="1309" t="s">
        <v>238</v>
      </c>
      <c r="C32" s="1309"/>
      <c r="D32" s="1309"/>
      <c r="E32" s="97" t="s">
        <v>182</v>
      </c>
      <c r="F32" s="571">
        <f>F33+F34+F35</f>
        <v>20552197</v>
      </c>
      <c r="G32" s="571">
        <f>G33+G34+G35</f>
        <v>20552197</v>
      </c>
      <c r="H32" s="571">
        <f>H33+H34+H35</f>
        <v>20560087</v>
      </c>
      <c r="I32" s="571">
        <f>I33+I34+I35</f>
        <v>19402709</v>
      </c>
      <c r="J32" s="571">
        <f>J33+J34+J35</f>
        <v>19402709</v>
      </c>
      <c r="K32" s="1123">
        <f t="shared" si="1"/>
        <v>1</v>
      </c>
      <c r="L32" s="564">
        <f t="shared" si="5"/>
        <v>20552197</v>
      </c>
      <c r="M32" s="564">
        <f t="shared" si="6"/>
        <v>20552197</v>
      </c>
      <c r="N32" s="564">
        <f t="shared" si="7"/>
        <v>20560087</v>
      </c>
      <c r="O32" s="564">
        <f t="shared" si="8"/>
        <v>19402709</v>
      </c>
      <c r="P32" s="564">
        <f t="shared" si="8"/>
        <v>19402709</v>
      </c>
      <c r="Q32" s="1123">
        <f t="shared" si="2"/>
        <v>1</v>
      </c>
      <c r="R32" s="581"/>
      <c r="S32" s="581"/>
      <c r="T32" s="581"/>
      <c r="U32" s="581"/>
      <c r="V32" s="581"/>
      <c r="W32" s="1123"/>
    </row>
    <row r="33" spans="1:23" s="79" customFormat="1" ht="22.5" customHeight="1">
      <c r="A33" s="587"/>
      <c r="B33" s="588" t="s">
        <v>102</v>
      </c>
      <c r="C33" s="1338" t="s">
        <v>183</v>
      </c>
      <c r="D33" s="1338"/>
      <c r="E33" s="589" t="s">
        <v>239</v>
      </c>
      <c r="F33" s="565"/>
      <c r="G33" s="565"/>
      <c r="H33" s="565"/>
      <c r="I33" s="565"/>
      <c r="J33" s="565"/>
      <c r="K33" s="1117"/>
      <c r="L33" s="574">
        <f t="shared" si="5"/>
        <v>0</v>
      </c>
      <c r="M33" s="574">
        <f t="shared" si="6"/>
        <v>0</v>
      </c>
      <c r="N33" s="574">
        <f t="shared" si="7"/>
        <v>0</v>
      </c>
      <c r="O33" s="574">
        <f t="shared" si="8"/>
        <v>0</v>
      </c>
      <c r="P33" s="574">
        <f t="shared" si="8"/>
        <v>0</v>
      </c>
      <c r="Q33" s="1117"/>
      <c r="R33" s="577"/>
      <c r="S33" s="577"/>
      <c r="T33" s="577"/>
      <c r="U33" s="577"/>
      <c r="V33" s="577"/>
      <c r="W33" s="1117"/>
    </row>
    <row r="34" spans="1:23" s="79" customFormat="1" ht="22.5" customHeight="1">
      <c r="A34" s="80"/>
      <c r="B34" s="81" t="s">
        <v>105</v>
      </c>
      <c r="C34" s="1319" t="s">
        <v>386</v>
      </c>
      <c r="D34" s="1319"/>
      <c r="E34" s="80" t="s">
        <v>387</v>
      </c>
      <c r="F34" s="566">
        <v>1276685</v>
      </c>
      <c r="G34" s="566">
        <v>1276685</v>
      </c>
      <c r="H34" s="566">
        <v>1276685</v>
      </c>
      <c r="I34" s="566">
        <v>1276685</v>
      </c>
      <c r="J34" s="566">
        <v>1276685</v>
      </c>
      <c r="K34" s="1118">
        <f t="shared" si="1"/>
        <v>1</v>
      </c>
      <c r="L34" s="566">
        <f t="shared" si="5"/>
        <v>1276685</v>
      </c>
      <c r="M34" s="566">
        <f t="shared" si="6"/>
        <v>1276685</v>
      </c>
      <c r="N34" s="566">
        <f t="shared" si="7"/>
        <v>1276685</v>
      </c>
      <c r="O34" s="566">
        <f t="shared" si="8"/>
        <v>1276685</v>
      </c>
      <c r="P34" s="566">
        <f t="shared" si="8"/>
        <v>1276685</v>
      </c>
      <c r="Q34" s="1118">
        <f t="shared" si="2"/>
        <v>1</v>
      </c>
      <c r="R34" s="578"/>
      <c r="S34" s="578"/>
      <c r="T34" s="578"/>
      <c r="U34" s="578"/>
      <c r="V34" s="578"/>
      <c r="W34" s="1118"/>
    </row>
    <row r="35" spans="1:23" s="79" customFormat="1" ht="22.5" customHeight="1" thickBot="1">
      <c r="A35" s="590"/>
      <c r="B35" s="591" t="s">
        <v>262</v>
      </c>
      <c r="C35" s="592" t="s">
        <v>240</v>
      </c>
      <c r="D35" s="592"/>
      <c r="E35" s="590" t="s">
        <v>241</v>
      </c>
      <c r="F35" s="572">
        <v>19275512</v>
      </c>
      <c r="G35" s="572">
        <v>19275512</v>
      </c>
      <c r="H35" s="572">
        <v>19283402</v>
      </c>
      <c r="I35" s="572">
        <v>18126024</v>
      </c>
      <c r="J35" s="572">
        <v>18126024</v>
      </c>
      <c r="K35" s="1124">
        <f t="shared" si="1"/>
        <v>1</v>
      </c>
      <c r="L35" s="575">
        <f t="shared" si="5"/>
        <v>19275512</v>
      </c>
      <c r="M35" s="575">
        <f t="shared" si="6"/>
        <v>19275512</v>
      </c>
      <c r="N35" s="575">
        <f t="shared" si="7"/>
        <v>19283402</v>
      </c>
      <c r="O35" s="575">
        <f t="shared" si="8"/>
        <v>18126024</v>
      </c>
      <c r="P35" s="575">
        <f t="shared" si="8"/>
        <v>18126024</v>
      </c>
      <c r="Q35" s="1124">
        <f t="shared" si="2"/>
        <v>1</v>
      </c>
      <c r="R35" s="580"/>
      <c r="S35" s="580"/>
      <c r="T35" s="580"/>
      <c r="U35" s="580"/>
      <c r="V35" s="580"/>
      <c r="W35" s="1124"/>
    </row>
    <row r="36" spans="1:23" s="79" customFormat="1" ht="22.5" customHeight="1" thickBot="1">
      <c r="A36" s="40" t="s">
        <v>108</v>
      </c>
      <c r="B36" s="1321" t="s">
        <v>242</v>
      </c>
      <c r="C36" s="1321"/>
      <c r="D36" s="1321"/>
      <c r="E36" s="504"/>
      <c r="F36" s="573">
        <f>F6+F17+F25+F32</f>
        <v>167017492</v>
      </c>
      <c r="G36" s="573">
        <f>G6+G17+G25+G32</f>
        <v>168426639</v>
      </c>
      <c r="H36" s="573">
        <f>H6+H17+H25+H32</f>
        <v>168653110</v>
      </c>
      <c r="I36" s="573">
        <f>I6+I17+I25+I32</f>
        <v>164262667</v>
      </c>
      <c r="J36" s="573">
        <f>J6+J17+J25+J32</f>
        <v>130031043</v>
      </c>
      <c r="K36" s="1125">
        <f t="shared" si="1"/>
        <v>0.79160435767185</v>
      </c>
      <c r="L36" s="573">
        <f t="shared" si="5"/>
        <v>159452887</v>
      </c>
      <c r="M36" s="573">
        <f t="shared" si="6"/>
        <v>158789588</v>
      </c>
      <c r="N36" s="573">
        <f t="shared" si="7"/>
        <v>159016059</v>
      </c>
      <c r="O36" s="573">
        <f t="shared" si="8"/>
        <v>140748257</v>
      </c>
      <c r="P36" s="573">
        <f t="shared" si="8"/>
        <v>123415878</v>
      </c>
      <c r="Q36" s="1125">
        <f t="shared" si="2"/>
        <v>0.8768554625866521</v>
      </c>
      <c r="R36" s="585">
        <f>R31</f>
        <v>7564605</v>
      </c>
      <c r="S36" s="585">
        <f>S31</f>
        <v>9637051</v>
      </c>
      <c r="T36" s="585">
        <f>T31</f>
        <v>9637051</v>
      </c>
      <c r="U36" s="585">
        <f>U31</f>
        <v>23514410</v>
      </c>
      <c r="V36" s="585">
        <f>V31</f>
        <v>6615165</v>
      </c>
      <c r="W36" s="1125">
        <f t="shared" si="3"/>
        <v>0.2813238775712425</v>
      </c>
    </row>
    <row r="37" spans="1:17" s="79" customFormat="1" ht="19.5" customHeight="1" hidden="1">
      <c r="A37" s="1269" t="s">
        <v>184</v>
      </c>
      <c r="B37" s="1269"/>
      <c r="C37" s="1269"/>
      <c r="D37" s="1269"/>
      <c r="E37" s="54"/>
      <c r="F37" s="563"/>
      <c r="G37" s="563"/>
      <c r="H37" s="563"/>
      <c r="I37" s="563"/>
      <c r="J37" s="563"/>
      <c r="K37" s="563"/>
      <c r="L37" s="151"/>
      <c r="M37" s="123"/>
      <c r="N37" s="123"/>
      <c r="O37" s="123"/>
      <c r="P37" s="123"/>
      <c r="Q37" s="123"/>
    </row>
    <row r="38" spans="1:17" s="79" customFormat="1" ht="19.5" customHeight="1" hidden="1">
      <c r="A38" s="1277" t="s">
        <v>195</v>
      </c>
      <c r="B38" s="1277"/>
      <c r="C38" s="1277"/>
      <c r="D38" s="1277"/>
      <c r="E38" s="55"/>
      <c r="F38" s="418"/>
      <c r="G38" s="418"/>
      <c r="H38" s="418"/>
      <c r="I38" s="418"/>
      <c r="J38" s="418"/>
      <c r="K38" s="418"/>
      <c r="L38" s="50"/>
      <c r="M38" s="123"/>
      <c r="N38" s="123"/>
      <c r="O38" s="123"/>
      <c r="P38" s="123"/>
      <c r="Q38" s="123"/>
    </row>
    <row r="39" spans="1:17" s="79" customFormat="1" ht="19.5" customHeight="1">
      <c r="A39" s="152"/>
      <c r="B39" s="113"/>
      <c r="C39" s="152"/>
      <c r="D39" s="152"/>
      <c r="E39" s="152"/>
      <c r="F39" s="153"/>
      <c r="G39" s="153"/>
      <c r="H39" s="153"/>
      <c r="I39" s="153"/>
      <c r="J39" s="153"/>
      <c r="K39" s="153"/>
      <c r="L39" s="154"/>
      <c r="M39" s="120"/>
      <c r="N39" s="120"/>
      <c r="O39" s="120"/>
      <c r="P39" s="120"/>
      <c r="Q39" s="120"/>
    </row>
    <row r="40" spans="1:20" s="79" customFormat="1" ht="19.5" customHeight="1">
      <c r="A40" s="118"/>
      <c r="B40" s="150"/>
      <c r="C40" s="150"/>
      <c r="D40" s="61"/>
      <c r="E40" s="61"/>
      <c r="F40" s="119"/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19"/>
      <c r="T40" s="119"/>
    </row>
    <row r="41" spans="6:11" ht="15.75">
      <c r="F41" s="9"/>
      <c r="G41" s="9"/>
      <c r="H41" s="9"/>
      <c r="I41" s="9"/>
      <c r="J41" s="9"/>
      <c r="K41" s="9"/>
    </row>
  </sheetData>
  <sheetProtection selectLockedCells="1" selectUnlockedCells="1"/>
  <mergeCells count="23">
    <mergeCell ref="F1:L1"/>
    <mergeCell ref="A2:L2"/>
    <mergeCell ref="A4:D4"/>
    <mergeCell ref="L3:R3"/>
    <mergeCell ref="F4:K4"/>
    <mergeCell ref="L4:Q4"/>
    <mergeCell ref="R4:W4"/>
    <mergeCell ref="B6:D6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C40">
      <selection activeCell="O64" sqref="O64"/>
    </sheetView>
  </sheetViews>
  <sheetFormatPr defaultColWidth="9.140625" defaultRowHeight="12.75"/>
  <cols>
    <col min="1" max="1" width="8.28125" style="155" customWidth="1"/>
    <col min="2" max="2" width="8.28125" style="156" customWidth="1"/>
    <col min="3" max="3" width="41.7109375" style="156" customWidth="1"/>
    <col min="4" max="4" width="8.140625" style="156" customWidth="1"/>
    <col min="5" max="9" width="9.140625" style="156" hidden="1" customWidth="1"/>
    <col min="10" max="10" width="13.140625" style="156" customWidth="1"/>
    <col min="11" max="12" width="12.7109375" style="156" hidden="1" customWidth="1"/>
    <col min="13" max="15" width="12.7109375" style="156" customWidth="1"/>
    <col min="16" max="16" width="12.140625" style="156" customWidth="1"/>
    <col min="17" max="17" width="11.57421875" style="156" hidden="1" customWidth="1"/>
    <col min="18" max="18" width="11.8515625" style="156" hidden="1" customWidth="1"/>
    <col min="19" max="19" width="11.8515625" style="156" customWidth="1"/>
    <col min="20" max="20" width="10.00390625" style="156" bestFit="1" customWidth="1"/>
    <col min="21" max="21" width="12.8515625" style="156" customWidth="1"/>
    <col min="22" max="16384" width="9.140625" style="156" customWidth="1"/>
  </cols>
  <sheetData>
    <row r="1" spans="1:15" s="158" customFormat="1" ht="21" customHeight="1">
      <c r="A1" s="157"/>
      <c r="C1" s="159"/>
      <c r="D1" s="160"/>
      <c r="E1" s="160"/>
      <c r="F1" s="160"/>
      <c r="G1" s="160"/>
      <c r="H1" s="160"/>
      <c r="I1" s="160"/>
      <c r="J1" s="1347"/>
      <c r="K1" s="652"/>
      <c r="L1" s="652"/>
      <c r="M1" s="652"/>
      <c r="N1" s="652"/>
      <c r="O1" s="652"/>
    </row>
    <row r="2" spans="1:9" s="158" customFormat="1" ht="21" customHeight="1">
      <c r="A2" s="157"/>
      <c r="C2" s="7"/>
      <c r="D2" s="161"/>
      <c r="E2" s="161"/>
      <c r="F2" s="161"/>
      <c r="G2" s="161"/>
      <c r="H2" s="161"/>
      <c r="I2" s="161"/>
    </row>
    <row r="3" spans="1:15" s="162" customFormat="1" ht="25.5" customHeight="1">
      <c r="A3" s="1348" t="s">
        <v>629</v>
      </c>
      <c r="B3" s="1348"/>
      <c r="C3" s="1348"/>
      <c r="D3" s="1348"/>
      <c r="E3" s="1348"/>
      <c r="F3" s="1348"/>
      <c r="G3" s="1348"/>
      <c r="H3" s="1348"/>
      <c r="I3" s="1348"/>
      <c r="J3" s="1348"/>
      <c r="K3" s="653"/>
      <c r="L3" s="653"/>
      <c r="M3" s="653"/>
      <c r="N3" s="653"/>
      <c r="O3" s="653"/>
    </row>
    <row r="4" spans="1:16" s="165" customFormat="1" ht="15.75" customHeight="1" thickBot="1">
      <c r="A4" s="163"/>
      <c r="B4" s="163"/>
      <c r="C4" s="164" t="s">
        <v>513</v>
      </c>
      <c r="J4" s="1268" t="s">
        <v>478</v>
      </c>
      <c r="K4" s="1268"/>
      <c r="L4" s="1268"/>
      <c r="M4" s="1268"/>
      <c r="N4" s="1268"/>
      <c r="O4" s="1268"/>
      <c r="P4" s="1351"/>
    </row>
    <row r="5" spans="1:21" s="165" customFormat="1" ht="41.25" customHeight="1" thickBot="1">
      <c r="A5" s="163"/>
      <c r="B5" s="163"/>
      <c r="C5" s="163"/>
      <c r="D5" s="1349" t="s">
        <v>3</v>
      </c>
      <c r="E5" s="1349"/>
      <c r="F5" s="1349"/>
      <c r="G5" s="1349"/>
      <c r="H5" s="1349"/>
      <c r="I5" s="1349"/>
      <c r="J5" s="1325" t="s">
        <v>4</v>
      </c>
      <c r="K5" s="1333"/>
      <c r="L5" s="1333"/>
      <c r="M5" s="1333"/>
      <c r="N5" s="1333"/>
      <c r="O5" s="1345"/>
      <c r="P5" s="1325" t="s">
        <v>243</v>
      </c>
      <c r="Q5" s="1333"/>
      <c r="R5" s="1333"/>
      <c r="S5" s="1333"/>
      <c r="T5" s="1333"/>
      <c r="U5" s="1345"/>
    </row>
    <row r="6" spans="1:21" ht="19.5" customHeight="1" thickBot="1">
      <c r="A6" s="1350" t="s">
        <v>244</v>
      </c>
      <c r="B6" s="1350"/>
      <c r="C6" s="166" t="s">
        <v>245</v>
      </c>
      <c r="D6" s="167"/>
      <c r="E6" s="168" t="s">
        <v>135</v>
      </c>
      <c r="F6" s="168" t="s">
        <v>136</v>
      </c>
      <c r="G6" s="168" t="s">
        <v>137</v>
      </c>
      <c r="H6" s="168" t="s">
        <v>246</v>
      </c>
      <c r="I6" s="168" t="s">
        <v>247</v>
      </c>
      <c r="J6" s="506" t="s">
        <v>6</v>
      </c>
      <c r="K6" s="506" t="s">
        <v>135</v>
      </c>
      <c r="L6" s="506" t="s">
        <v>136</v>
      </c>
      <c r="M6" s="506" t="s">
        <v>137</v>
      </c>
      <c r="N6" s="506" t="s">
        <v>286</v>
      </c>
      <c r="O6" s="506" t="s">
        <v>648</v>
      </c>
      <c r="P6" s="918" t="s">
        <v>6</v>
      </c>
      <c r="Q6" s="918" t="s">
        <v>135</v>
      </c>
      <c r="R6" s="918" t="s">
        <v>136</v>
      </c>
      <c r="S6" s="918" t="s">
        <v>137</v>
      </c>
      <c r="T6" s="918" t="s">
        <v>286</v>
      </c>
      <c r="U6" s="506" t="s">
        <v>648</v>
      </c>
    </row>
    <row r="7" spans="1:21" s="173" customFormat="1" ht="19.5" customHeight="1" thickBot="1">
      <c r="A7" s="169">
        <v>1</v>
      </c>
      <c r="B7" s="170">
        <v>2</v>
      </c>
      <c r="C7" s="171">
        <v>3</v>
      </c>
      <c r="D7" s="169">
        <v>4</v>
      </c>
      <c r="E7" s="170"/>
      <c r="F7" s="170"/>
      <c r="G7" s="170"/>
      <c r="H7" s="170"/>
      <c r="I7" s="170"/>
      <c r="J7" s="172">
        <v>5</v>
      </c>
      <c r="K7" s="172">
        <v>6</v>
      </c>
      <c r="L7" s="172">
        <v>7</v>
      </c>
      <c r="M7" s="172">
        <v>6</v>
      </c>
      <c r="N7" s="172">
        <v>7</v>
      </c>
      <c r="O7" s="172">
        <v>8</v>
      </c>
      <c r="P7" s="172">
        <v>9</v>
      </c>
      <c r="Q7" s="172">
        <v>10</v>
      </c>
      <c r="R7" s="172">
        <v>11</v>
      </c>
      <c r="S7" s="172">
        <v>10</v>
      </c>
      <c r="T7" s="172">
        <v>11</v>
      </c>
      <c r="U7" s="172">
        <v>12</v>
      </c>
    </row>
    <row r="8" spans="1:21" s="173" customFormat="1" ht="19.5" customHeight="1" thickBot="1">
      <c r="A8" s="174"/>
      <c r="B8" s="175"/>
      <c r="C8" s="175" t="s">
        <v>248</v>
      </c>
      <c r="D8" s="176"/>
      <c r="E8" s="177"/>
      <c r="F8" s="177"/>
      <c r="G8" s="177"/>
      <c r="H8" s="177"/>
      <c r="I8" s="177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84" customFormat="1" ht="19.5" customHeight="1" thickBot="1">
      <c r="A9" s="169" t="s">
        <v>10</v>
      </c>
      <c r="B9" s="179"/>
      <c r="C9" s="180" t="s">
        <v>249</v>
      </c>
      <c r="D9" s="181" t="s">
        <v>45</v>
      </c>
      <c r="E9" s="182"/>
      <c r="F9" s="182"/>
      <c r="G9" s="182"/>
      <c r="H9" s="182"/>
      <c r="I9" s="182"/>
      <c r="J9" s="183">
        <f aca="true" t="shared" si="0" ref="J9:R9">SUM(J10:J13)</f>
        <v>5131234</v>
      </c>
      <c r="K9" s="183">
        <f t="shared" si="0"/>
        <v>5131254</v>
      </c>
      <c r="L9" s="183">
        <f t="shared" si="0"/>
        <v>5130544</v>
      </c>
      <c r="M9" s="183">
        <f>SUM(M10:M13)</f>
        <v>4953625</v>
      </c>
      <c r="N9" s="183">
        <f>SUM(N10:N13)</f>
        <v>4952449</v>
      </c>
      <c r="O9" s="919">
        <f>+N9/M9</f>
        <v>0.9997625980973529</v>
      </c>
      <c r="P9" s="183">
        <f t="shared" si="0"/>
        <v>5131234</v>
      </c>
      <c r="Q9" s="183">
        <f t="shared" si="0"/>
        <v>5131254</v>
      </c>
      <c r="R9" s="183">
        <f t="shared" si="0"/>
        <v>5130544</v>
      </c>
      <c r="S9" s="183">
        <f>SUM(S10:S13)</f>
        <v>4953625</v>
      </c>
      <c r="T9" s="183">
        <f>SUM(T10:T13)</f>
        <v>4952449</v>
      </c>
      <c r="U9" s="919">
        <f>+T9/S9</f>
        <v>0.9997625980973529</v>
      </c>
    </row>
    <row r="10" spans="1:21" s="184" customFormat="1" ht="19.5" customHeight="1">
      <c r="A10" s="195"/>
      <c r="B10" s="186" t="s">
        <v>13</v>
      </c>
      <c r="C10" s="493" t="s">
        <v>400</v>
      </c>
      <c r="D10" s="494"/>
      <c r="E10" s="495"/>
      <c r="F10" s="495"/>
      <c r="G10" s="495"/>
      <c r="H10" s="495"/>
      <c r="I10" s="495"/>
      <c r="J10" s="859">
        <v>4742660</v>
      </c>
      <c r="K10" s="859">
        <v>4742660</v>
      </c>
      <c r="L10" s="859">
        <v>4742660</v>
      </c>
      <c r="M10" s="859">
        <v>4554543</v>
      </c>
      <c r="N10" s="859">
        <v>4553383</v>
      </c>
      <c r="O10" s="920">
        <f aca="true" t="shared" si="1" ref="O10:O29">+N10/M10</f>
        <v>0.9997453092439791</v>
      </c>
      <c r="P10" s="859">
        <v>4742660</v>
      </c>
      <c r="Q10" s="859">
        <v>4742660</v>
      </c>
      <c r="R10" s="859">
        <v>4742660</v>
      </c>
      <c r="S10" s="859">
        <v>4554543</v>
      </c>
      <c r="T10" s="859">
        <v>4553383</v>
      </c>
      <c r="U10" s="920">
        <f aca="true" t="shared" si="2" ref="U10:U29">+T10/S10</f>
        <v>0.9997453092439791</v>
      </c>
    </row>
    <row r="11" spans="1:21" s="184" customFormat="1" ht="19.5" customHeight="1">
      <c r="A11" s="185"/>
      <c r="B11" s="186" t="s">
        <v>23</v>
      </c>
      <c r="C11" s="496" t="s">
        <v>401</v>
      </c>
      <c r="D11" s="497"/>
      <c r="E11" s="498"/>
      <c r="F11" s="498"/>
      <c r="G11" s="498"/>
      <c r="H11" s="498"/>
      <c r="I11" s="498"/>
      <c r="J11" s="860">
        <v>388574</v>
      </c>
      <c r="K11" s="860">
        <v>388574</v>
      </c>
      <c r="L11" s="860">
        <v>387864</v>
      </c>
      <c r="M11" s="860">
        <v>399061</v>
      </c>
      <c r="N11" s="860">
        <v>399061</v>
      </c>
      <c r="O11" s="921">
        <f t="shared" si="1"/>
        <v>1</v>
      </c>
      <c r="P11" s="860">
        <v>388574</v>
      </c>
      <c r="Q11" s="860">
        <v>388574</v>
      </c>
      <c r="R11" s="860">
        <v>387864</v>
      </c>
      <c r="S11" s="860">
        <v>399061</v>
      </c>
      <c r="T11" s="860">
        <v>399061</v>
      </c>
      <c r="U11" s="921">
        <f t="shared" si="2"/>
        <v>1</v>
      </c>
    </row>
    <row r="12" spans="1:21" s="184" customFormat="1" ht="19.5" customHeight="1">
      <c r="A12" s="185"/>
      <c r="B12" s="186" t="s">
        <v>145</v>
      </c>
      <c r="C12" s="496" t="s">
        <v>66</v>
      </c>
      <c r="D12" s="497"/>
      <c r="E12" s="498"/>
      <c r="F12" s="498"/>
      <c r="G12" s="498"/>
      <c r="H12" s="498"/>
      <c r="I12" s="498"/>
      <c r="J12" s="860"/>
      <c r="K12" s="860">
        <v>20</v>
      </c>
      <c r="L12" s="860">
        <v>20</v>
      </c>
      <c r="M12" s="860">
        <v>20</v>
      </c>
      <c r="N12" s="860">
        <v>4</v>
      </c>
      <c r="O12" s="921">
        <f t="shared" si="1"/>
        <v>0.2</v>
      </c>
      <c r="P12" s="860"/>
      <c r="Q12" s="860">
        <v>20</v>
      </c>
      <c r="R12" s="860">
        <v>20</v>
      </c>
      <c r="S12" s="860">
        <v>20</v>
      </c>
      <c r="T12" s="860">
        <v>4</v>
      </c>
      <c r="U12" s="921">
        <f t="shared" si="2"/>
        <v>0.2</v>
      </c>
    </row>
    <row r="13" spans="1:21" s="184" customFormat="1" ht="19.5" customHeight="1" thickBot="1">
      <c r="A13" s="492"/>
      <c r="B13" s="186" t="s">
        <v>33</v>
      </c>
      <c r="C13" s="499" t="s">
        <v>421</v>
      </c>
      <c r="D13" s="500"/>
      <c r="E13" s="501"/>
      <c r="F13" s="501"/>
      <c r="G13" s="501"/>
      <c r="H13" s="501"/>
      <c r="I13" s="501"/>
      <c r="J13" s="861"/>
      <c r="K13" s="861"/>
      <c r="L13" s="861"/>
      <c r="M13" s="861">
        <v>1</v>
      </c>
      <c r="N13" s="861">
        <v>1</v>
      </c>
      <c r="O13" s="922">
        <f t="shared" si="1"/>
        <v>1</v>
      </c>
      <c r="P13" s="861"/>
      <c r="Q13" s="861"/>
      <c r="R13" s="861"/>
      <c r="S13" s="861">
        <v>1</v>
      </c>
      <c r="T13" s="861">
        <v>1</v>
      </c>
      <c r="U13" s="922">
        <f t="shared" si="2"/>
        <v>1</v>
      </c>
    </row>
    <row r="14" spans="1:21" s="184" customFormat="1" ht="30" customHeight="1" thickBot="1">
      <c r="A14" s="169" t="s">
        <v>162</v>
      </c>
      <c r="B14" s="179"/>
      <c r="C14" s="180" t="s">
        <v>250</v>
      </c>
      <c r="D14" s="181"/>
      <c r="E14" s="182"/>
      <c r="F14" s="182"/>
      <c r="G14" s="182"/>
      <c r="H14" s="182"/>
      <c r="I14" s="182"/>
      <c r="J14" s="183">
        <f aca="true" t="shared" si="3" ref="J14:R14">J15+J17</f>
        <v>916143</v>
      </c>
      <c r="K14" s="183">
        <f t="shared" si="3"/>
        <v>916143</v>
      </c>
      <c r="L14" s="183">
        <f t="shared" si="3"/>
        <v>983252</v>
      </c>
      <c r="M14" s="183">
        <f>M15+M17</f>
        <v>1138422</v>
      </c>
      <c r="N14" s="183">
        <f>N15+N17</f>
        <v>1138422</v>
      </c>
      <c r="O14" s="919">
        <f t="shared" si="1"/>
        <v>1</v>
      </c>
      <c r="P14" s="183">
        <f t="shared" si="3"/>
        <v>916143</v>
      </c>
      <c r="Q14" s="183">
        <f t="shared" si="3"/>
        <v>916143</v>
      </c>
      <c r="R14" s="183">
        <f t="shared" si="3"/>
        <v>983252</v>
      </c>
      <c r="S14" s="183">
        <f>S15+S17</f>
        <v>1138422</v>
      </c>
      <c r="T14" s="183">
        <f>T15+T17</f>
        <v>1138422</v>
      </c>
      <c r="U14" s="919">
        <f t="shared" si="2"/>
        <v>1</v>
      </c>
    </row>
    <row r="15" spans="1:21" s="191" customFormat="1" ht="19.5" customHeight="1">
      <c r="A15" s="185"/>
      <c r="B15" s="186" t="s">
        <v>46</v>
      </c>
      <c r="C15" s="187" t="s">
        <v>103</v>
      </c>
      <c r="D15" s="188" t="s">
        <v>72</v>
      </c>
      <c r="E15" s="189"/>
      <c r="F15" s="189"/>
      <c r="G15" s="189"/>
      <c r="H15" s="189"/>
      <c r="I15" s="189"/>
      <c r="J15" s="190">
        <v>916143</v>
      </c>
      <c r="K15" s="190">
        <v>916143</v>
      </c>
      <c r="L15" s="190">
        <v>983252</v>
      </c>
      <c r="M15" s="190">
        <v>1138422</v>
      </c>
      <c r="N15" s="190">
        <v>1138422</v>
      </c>
      <c r="O15" s="923">
        <f t="shared" si="1"/>
        <v>1</v>
      </c>
      <c r="P15" s="190">
        <v>916143</v>
      </c>
      <c r="Q15" s="190">
        <v>916143</v>
      </c>
      <c r="R15" s="190">
        <v>983252</v>
      </c>
      <c r="S15" s="190">
        <v>1138422</v>
      </c>
      <c r="T15" s="190">
        <v>1138422</v>
      </c>
      <c r="U15" s="923">
        <f t="shared" si="2"/>
        <v>1</v>
      </c>
    </row>
    <row r="16" spans="1:21" s="191" customFormat="1" ht="19.5" customHeight="1">
      <c r="A16" s="185"/>
      <c r="B16" s="186" t="s">
        <v>49</v>
      </c>
      <c r="C16" s="192" t="s">
        <v>251</v>
      </c>
      <c r="D16" s="188"/>
      <c r="E16" s="189"/>
      <c r="F16" s="189"/>
      <c r="G16" s="189"/>
      <c r="H16" s="189"/>
      <c r="I16" s="189"/>
      <c r="J16" s="190"/>
      <c r="K16" s="190"/>
      <c r="L16" s="190"/>
      <c r="M16" s="190"/>
      <c r="N16" s="190"/>
      <c r="O16" s="923"/>
      <c r="P16" s="190"/>
      <c r="Q16" s="190"/>
      <c r="R16" s="190"/>
      <c r="S16" s="190"/>
      <c r="T16" s="190"/>
      <c r="U16" s="923"/>
    </row>
    <row r="17" spans="1:21" s="191" customFormat="1" ht="19.5" customHeight="1">
      <c r="A17" s="185"/>
      <c r="B17" s="186" t="s">
        <v>52</v>
      </c>
      <c r="C17" s="192" t="s">
        <v>106</v>
      </c>
      <c r="D17" s="188" t="s">
        <v>89</v>
      </c>
      <c r="E17" s="189"/>
      <c r="F17" s="189"/>
      <c r="G17" s="189"/>
      <c r="H17" s="189"/>
      <c r="I17" s="189"/>
      <c r="J17" s="190"/>
      <c r="K17" s="190"/>
      <c r="L17" s="190"/>
      <c r="M17" s="190"/>
      <c r="N17" s="190"/>
      <c r="O17" s="923"/>
      <c r="P17" s="190"/>
      <c r="Q17" s="190"/>
      <c r="R17" s="190"/>
      <c r="S17" s="190"/>
      <c r="T17" s="190"/>
      <c r="U17" s="923"/>
    </row>
    <row r="18" spans="1:21" s="191" customFormat="1" ht="19.5" customHeight="1" thickBot="1">
      <c r="A18" s="185"/>
      <c r="B18" s="186" t="s">
        <v>61</v>
      </c>
      <c r="C18" s="192" t="s">
        <v>251</v>
      </c>
      <c r="D18" s="188"/>
      <c r="E18" s="189"/>
      <c r="F18" s="189"/>
      <c r="G18" s="189"/>
      <c r="H18" s="189"/>
      <c r="I18" s="189"/>
      <c r="J18" s="190"/>
      <c r="K18" s="190"/>
      <c r="L18" s="190"/>
      <c r="M18" s="190"/>
      <c r="N18" s="190"/>
      <c r="O18" s="923"/>
      <c r="P18" s="190"/>
      <c r="Q18" s="190"/>
      <c r="R18" s="190"/>
      <c r="S18" s="190"/>
      <c r="T18" s="190"/>
      <c r="U18" s="923"/>
    </row>
    <row r="19" spans="1:21" s="191" customFormat="1" ht="26.25" customHeight="1" thickBot="1">
      <c r="A19" s="169" t="s">
        <v>70</v>
      </c>
      <c r="B19" s="193"/>
      <c r="C19" s="194" t="s">
        <v>252</v>
      </c>
      <c r="D19" s="181"/>
      <c r="E19" s="182"/>
      <c r="F19" s="182"/>
      <c r="G19" s="182"/>
      <c r="H19" s="182"/>
      <c r="I19" s="182"/>
      <c r="J19" s="183"/>
      <c r="K19" s="183"/>
      <c r="L19" s="183"/>
      <c r="M19" s="183"/>
      <c r="N19" s="183"/>
      <c r="O19" s="919"/>
      <c r="P19" s="183"/>
      <c r="Q19" s="183"/>
      <c r="R19" s="183"/>
      <c r="S19" s="183"/>
      <c r="T19" s="183"/>
      <c r="U19" s="919"/>
    </row>
    <row r="20" spans="1:21" s="184" customFormat="1" ht="19.5" customHeight="1">
      <c r="A20" s="195"/>
      <c r="B20" s="196" t="s">
        <v>73</v>
      </c>
      <c r="C20" s="197" t="s">
        <v>253</v>
      </c>
      <c r="D20" s="198" t="s">
        <v>254</v>
      </c>
      <c r="E20" s="199"/>
      <c r="F20" s="199"/>
      <c r="G20" s="199"/>
      <c r="H20" s="199"/>
      <c r="I20" s="199"/>
      <c r="J20" s="200"/>
      <c r="K20" s="200"/>
      <c r="L20" s="200"/>
      <c r="M20" s="200"/>
      <c r="N20" s="200"/>
      <c r="O20" s="924"/>
      <c r="P20" s="200"/>
      <c r="Q20" s="200"/>
      <c r="R20" s="200"/>
      <c r="S20" s="200"/>
      <c r="T20" s="200"/>
      <c r="U20" s="924"/>
    </row>
    <row r="21" spans="1:21" s="184" customFormat="1" ht="21.75" customHeight="1" thickBot="1">
      <c r="A21" s="201"/>
      <c r="B21" s="202" t="s">
        <v>76</v>
      </c>
      <c r="C21" s="203" t="s">
        <v>255</v>
      </c>
      <c r="D21" s="204" t="s">
        <v>256</v>
      </c>
      <c r="E21" s="205"/>
      <c r="F21" s="205"/>
      <c r="G21" s="205"/>
      <c r="H21" s="205"/>
      <c r="I21" s="205"/>
      <c r="J21" s="206"/>
      <c r="K21" s="206"/>
      <c r="L21" s="206"/>
      <c r="M21" s="206"/>
      <c r="N21" s="206"/>
      <c r="O21" s="925"/>
      <c r="P21" s="206"/>
      <c r="Q21" s="206"/>
      <c r="R21" s="206"/>
      <c r="S21" s="206"/>
      <c r="T21" s="206"/>
      <c r="U21" s="925"/>
    </row>
    <row r="22" spans="1:21" s="184" customFormat="1" ht="19.5" customHeight="1" thickBot="1">
      <c r="A22" s="169"/>
      <c r="B22" s="179"/>
      <c r="D22" s="207"/>
      <c r="E22" s="208"/>
      <c r="F22" s="208"/>
      <c r="G22" s="208"/>
      <c r="H22" s="208"/>
      <c r="I22" s="208"/>
      <c r="J22" s="209"/>
      <c r="K22" s="209"/>
      <c r="L22" s="209"/>
      <c r="M22" s="209"/>
      <c r="N22" s="209"/>
      <c r="O22" s="926"/>
      <c r="P22" s="209"/>
      <c r="Q22" s="209"/>
      <c r="R22" s="209"/>
      <c r="S22" s="209"/>
      <c r="T22" s="209"/>
      <c r="U22" s="926"/>
    </row>
    <row r="23" spans="1:21" s="184" customFormat="1" ht="19.5" customHeight="1" thickBot="1">
      <c r="A23" s="169" t="s">
        <v>87</v>
      </c>
      <c r="B23" s="210"/>
      <c r="C23" s="194" t="s">
        <v>257</v>
      </c>
      <c r="D23" s="181"/>
      <c r="E23" s="182"/>
      <c r="F23" s="182"/>
      <c r="G23" s="182"/>
      <c r="H23" s="182"/>
      <c r="I23" s="182"/>
      <c r="J23" s="183">
        <f aca="true" t="shared" si="4" ref="J23:R23">J9+J14</f>
        <v>6047377</v>
      </c>
      <c r="K23" s="183">
        <f t="shared" si="4"/>
        <v>6047397</v>
      </c>
      <c r="L23" s="183">
        <f t="shared" si="4"/>
        <v>6113796</v>
      </c>
      <c r="M23" s="183">
        <f>M9+M14</f>
        <v>6092047</v>
      </c>
      <c r="N23" s="183">
        <f>N9+N14</f>
        <v>6090871</v>
      </c>
      <c r="O23" s="919">
        <f t="shared" si="1"/>
        <v>0.9998069614367716</v>
      </c>
      <c r="P23" s="183">
        <f t="shared" si="4"/>
        <v>6047377</v>
      </c>
      <c r="Q23" s="183">
        <f t="shared" si="4"/>
        <v>6047397</v>
      </c>
      <c r="R23" s="183">
        <f t="shared" si="4"/>
        <v>6113796</v>
      </c>
      <c r="S23" s="183">
        <f>S9+S14</f>
        <v>6092047</v>
      </c>
      <c r="T23" s="183">
        <f>T9+T14</f>
        <v>6090871</v>
      </c>
      <c r="U23" s="919">
        <f t="shared" si="2"/>
        <v>0.9998069614367716</v>
      </c>
    </row>
    <row r="24" spans="1:21" s="191" customFormat="1" ht="19.5" customHeight="1" thickBot="1">
      <c r="A24" s="211" t="s">
        <v>100</v>
      </c>
      <c r="B24" s="184"/>
      <c r="C24" s="212" t="s">
        <v>258</v>
      </c>
      <c r="D24" s="213"/>
      <c r="E24" s="214"/>
      <c r="F24" s="214"/>
      <c r="G24" s="214"/>
      <c r="H24" s="214"/>
      <c r="I24" s="214"/>
      <c r="J24" s="505">
        <f aca="true" t="shared" si="5" ref="J24:R24">SUM(J25:J26)</f>
        <v>20230595</v>
      </c>
      <c r="K24" s="505">
        <f t="shared" si="5"/>
        <v>20230595</v>
      </c>
      <c r="L24" s="505">
        <f t="shared" si="5"/>
        <v>20239195</v>
      </c>
      <c r="M24" s="505">
        <f>SUM(M25:M26)</f>
        <v>19081817</v>
      </c>
      <c r="N24" s="505">
        <f>SUM(N25:N26)</f>
        <v>19081817</v>
      </c>
      <c r="O24" s="927">
        <f t="shared" si="1"/>
        <v>1</v>
      </c>
      <c r="P24" s="505">
        <f t="shared" si="5"/>
        <v>20230595</v>
      </c>
      <c r="Q24" s="505">
        <f t="shared" si="5"/>
        <v>20230595</v>
      </c>
      <c r="R24" s="505">
        <f t="shared" si="5"/>
        <v>20239195</v>
      </c>
      <c r="S24" s="505">
        <f>SUM(S25:S26)</f>
        <v>19081817</v>
      </c>
      <c r="T24" s="505">
        <f>SUM(T25:T26)</f>
        <v>19081817</v>
      </c>
      <c r="U24" s="927">
        <f t="shared" si="2"/>
        <v>1</v>
      </c>
    </row>
    <row r="25" spans="1:21" s="191" customFormat="1" ht="19.5" customHeight="1" thickBot="1">
      <c r="A25" s="195"/>
      <c r="B25" s="215" t="s">
        <v>102</v>
      </c>
      <c r="C25" s="197" t="s">
        <v>259</v>
      </c>
      <c r="D25" s="198" t="s">
        <v>128</v>
      </c>
      <c r="E25" s="199"/>
      <c r="F25" s="199"/>
      <c r="G25" s="199"/>
      <c r="H25" s="199"/>
      <c r="I25" s="199"/>
      <c r="J25" s="200">
        <v>955083</v>
      </c>
      <c r="K25" s="200">
        <v>955083</v>
      </c>
      <c r="L25" s="200">
        <v>955793</v>
      </c>
      <c r="M25" s="200">
        <v>955793</v>
      </c>
      <c r="N25" s="200">
        <v>955793</v>
      </c>
      <c r="O25" s="924">
        <f t="shared" si="1"/>
        <v>1</v>
      </c>
      <c r="P25" s="200">
        <v>955083</v>
      </c>
      <c r="Q25" s="200">
        <v>955083</v>
      </c>
      <c r="R25" s="200">
        <v>955793</v>
      </c>
      <c r="S25" s="200">
        <v>955793</v>
      </c>
      <c r="T25" s="200">
        <v>955793</v>
      </c>
      <c r="U25" s="924">
        <f t="shared" si="2"/>
        <v>1</v>
      </c>
    </row>
    <row r="26" spans="1:21" s="191" customFormat="1" ht="19.5" customHeight="1">
      <c r="A26" s="219"/>
      <c r="B26" s="220" t="s">
        <v>105</v>
      </c>
      <c r="C26" s="197" t="s">
        <v>260</v>
      </c>
      <c r="D26" s="221" t="s">
        <v>261</v>
      </c>
      <c r="E26" s="222"/>
      <c r="F26" s="222"/>
      <c r="G26" s="222"/>
      <c r="H26" s="222"/>
      <c r="I26" s="222"/>
      <c r="J26" s="223">
        <v>19275512</v>
      </c>
      <c r="K26" s="223">
        <v>19275512</v>
      </c>
      <c r="L26" s="223">
        <v>19283402</v>
      </c>
      <c r="M26" s="223">
        <v>18126024</v>
      </c>
      <c r="N26" s="223">
        <v>18126024</v>
      </c>
      <c r="O26" s="928">
        <f t="shared" si="1"/>
        <v>1</v>
      </c>
      <c r="P26" s="223">
        <v>19275512</v>
      </c>
      <c r="Q26" s="223">
        <v>19275512</v>
      </c>
      <c r="R26" s="223">
        <v>19283402</v>
      </c>
      <c r="S26" s="223">
        <v>18126024</v>
      </c>
      <c r="T26" s="223">
        <v>18126024</v>
      </c>
      <c r="U26" s="928">
        <f t="shared" si="2"/>
        <v>1</v>
      </c>
    </row>
    <row r="27" spans="1:21" s="191" customFormat="1" ht="19.5" customHeight="1" thickBot="1">
      <c r="A27" s="224"/>
      <c r="B27" s="225" t="s">
        <v>262</v>
      </c>
      <c r="C27" s="226" t="s">
        <v>263</v>
      </c>
      <c r="D27" s="227" t="s">
        <v>264</v>
      </c>
      <c r="E27" s="228"/>
      <c r="F27" s="228"/>
      <c r="G27" s="228"/>
      <c r="H27" s="228"/>
      <c r="I27" s="228"/>
      <c r="J27" s="229"/>
      <c r="K27" s="229"/>
      <c r="L27" s="229"/>
      <c r="M27" s="229"/>
      <c r="N27" s="229"/>
      <c r="O27" s="929"/>
      <c r="P27" s="229"/>
      <c r="Q27" s="229"/>
      <c r="R27" s="229"/>
      <c r="S27" s="229"/>
      <c r="T27" s="229"/>
      <c r="U27" s="929"/>
    </row>
    <row r="28" spans="1:21" ht="19.5" customHeight="1" thickBot="1">
      <c r="A28" s="230" t="s">
        <v>108</v>
      </c>
      <c r="B28" s="231"/>
      <c r="C28" s="232" t="s">
        <v>265</v>
      </c>
      <c r="D28" s="207"/>
      <c r="E28" s="208"/>
      <c r="F28" s="208"/>
      <c r="G28" s="208"/>
      <c r="H28" s="208"/>
      <c r="I28" s="208"/>
      <c r="J28" s="209"/>
      <c r="K28" s="209"/>
      <c r="L28" s="209"/>
      <c r="M28" s="209"/>
      <c r="N28" s="209"/>
      <c r="O28" s="926"/>
      <c r="P28" s="209"/>
      <c r="Q28" s="209"/>
      <c r="R28" s="209"/>
      <c r="S28" s="209"/>
      <c r="T28" s="209"/>
      <c r="U28" s="926"/>
    </row>
    <row r="29" spans="1:21" s="173" customFormat="1" ht="19.5" customHeight="1" thickBot="1">
      <c r="A29" s="230" t="s">
        <v>108</v>
      </c>
      <c r="B29" s="233"/>
      <c r="C29" s="234" t="s">
        <v>266</v>
      </c>
      <c r="D29" s="181"/>
      <c r="E29" s="182"/>
      <c r="F29" s="182"/>
      <c r="G29" s="182"/>
      <c r="H29" s="182"/>
      <c r="I29" s="182"/>
      <c r="J29" s="183">
        <f aca="true" t="shared" si="6" ref="J29:R29">J23+J24</f>
        <v>26277972</v>
      </c>
      <c r="K29" s="183">
        <f t="shared" si="6"/>
        <v>26277992</v>
      </c>
      <c r="L29" s="183">
        <f t="shared" si="6"/>
        <v>26352991</v>
      </c>
      <c r="M29" s="183">
        <f>M23+M24</f>
        <v>25173864</v>
      </c>
      <c r="N29" s="183">
        <f>N23+N24</f>
        <v>25172688</v>
      </c>
      <c r="O29" s="919">
        <f t="shared" si="1"/>
        <v>0.9999532848830835</v>
      </c>
      <c r="P29" s="183">
        <f t="shared" si="6"/>
        <v>26277972</v>
      </c>
      <c r="Q29" s="183">
        <f t="shared" si="6"/>
        <v>26277992</v>
      </c>
      <c r="R29" s="183">
        <f t="shared" si="6"/>
        <v>26352991</v>
      </c>
      <c r="S29" s="183">
        <f>S23+S24</f>
        <v>25173864</v>
      </c>
      <c r="T29" s="183">
        <f>T23+T24</f>
        <v>25172688</v>
      </c>
      <c r="U29" s="919">
        <f t="shared" si="2"/>
        <v>0.9999532848830835</v>
      </c>
    </row>
    <row r="30" spans="1:19" s="238" customFormat="1" ht="19.5" customHeight="1">
      <c r="A30" s="235"/>
      <c r="B30" s="235"/>
      <c r="C30" s="236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</row>
    <row r="31" spans="1:19" ht="19.5" customHeight="1" thickBot="1">
      <c r="A31" s="239"/>
      <c r="B31" s="240"/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21" ht="19.5" customHeight="1" thickBot="1">
      <c r="A32" s="242"/>
      <c r="B32" s="243"/>
      <c r="C32" s="244" t="s">
        <v>267</v>
      </c>
      <c r="D32" s="181"/>
      <c r="E32" s="182"/>
      <c r="F32" s="182"/>
      <c r="G32" s="182"/>
      <c r="H32" s="182"/>
      <c r="I32" s="183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</row>
    <row r="33" spans="1:21" ht="19.5" customHeight="1" thickBot="1">
      <c r="A33" s="169" t="s">
        <v>10</v>
      </c>
      <c r="B33" s="193"/>
      <c r="C33" s="194" t="s">
        <v>268</v>
      </c>
      <c r="D33" s="181"/>
      <c r="E33" s="182"/>
      <c r="F33" s="182"/>
      <c r="G33" s="182"/>
      <c r="H33" s="182"/>
      <c r="I33" s="183"/>
      <c r="J33" s="183">
        <f aca="true" t="shared" si="7" ref="J33:R33">J34+J35+J36</f>
        <v>26277972</v>
      </c>
      <c r="K33" s="183">
        <f t="shared" si="7"/>
        <v>26277992</v>
      </c>
      <c r="L33" s="183">
        <f t="shared" si="7"/>
        <v>26277992</v>
      </c>
      <c r="M33" s="183">
        <f>M34+M35+M36</f>
        <v>25098865</v>
      </c>
      <c r="N33" s="183">
        <f>N34+N35+N36</f>
        <v>24811719</v>
      </c>
      <c r="O33" s="919">
        <f>+N33/M33</f>
        <v>0.9885594029849557</v>
      </c>
      <c r="P33" s="183">
        <f t="shared" si="7"/>
        <v>26277972</v>
      </c>
      <c r="Q33" s="183">
        <f t="shared" si="7"/>
        <v>26277992</v>
      </c>
      <c r="R33" s="183">
        <f t="shared" si="7"/>
        <v>26277992</v>
      </c>
      <c r="S33" s="183">
        <f>S34+S35+S36</f>
        <v>25098865</v>
      </c>
      <c r="T33" s="183">
        <f>T34+T35+T36</f>
        <v>24811719</v>
      </c>
      <c r="U33" s="919">
        <f>+T33/S33</f>
        <v>0.9885594029849557</v>
      </c>
    </row>
    <row r="34" spans="1:21" ht="19.5" customHeight="1">
      <c r="A34" s="245"/>
      <c r="B34" s="246" t="s">
        <v>269</v>
      </c>
      <c r="C34" s="187" t="s">
        <v>270</v>
      </c>
      <c r="D34" s="216" t="s">
        <v>142</v>
      </c>
      <c r="E34" s="217"/>
      <c r="F34" s="217"/>
      <c r="G34" s="217"/>
      <c r="H34" s="217"/>
      <c r="I34" s="218"/>
      <c r="J34" s="218">
        <v>15432167</v>
      </c>
      <c r="K34" s="218">
        <v>15432167</v>
      </c>
      <c r="L34" s="218">
        <v>15432167</v>
      </c>
      <c r="M34" s="218">
        <v>14838167</v>
      </c>
      <c r="N34" s="218">
        <v>14833059</v>
      </c>
      <c r="O34" s="930">
        <f>+N34/M34</f>
        <v>0.9996557526276663</v>
      </c>
      <c r="P34" s="218">
        <v>15432167</v>
      </c>
      <c r="Q34" s="218">
        <v>15432167</v>
      </c>
      <c r="R34" s="218">
        <v>15432167</v>
      </c>
      <c r="S34" s="218">
        <v>14838167</v>
      </c>
      <c r="T34" s="218">
        <v>14833059</v>
      </c>
      <c r="U34" s="930">
        <f>+T34/S34</f>
        <v>0.9996557526276663</v>
      </c>
    </row>
    <row r="35" spans="1:21" ht="24" customHeight="1">
      <c r="A35" s="185"/>
      <c r="B35" s="247" t="s">
        <v>271</v>
      </c>
      <c r="C35" s="192" t="s">
        <v>272</v>
      </c>
      <c r="D35" s="188" t="s">
        <v>144</v>
      </c>
      <c r="E35" s="189"/>
      <c r="F35" s="189"/>
      <c r="G35" s="189"/>
      <c r="H35" s="189"/>
      <c r="I35" s="190"/>
      <c r="J35" s="190">
        <v>3031860</v>
      </c>
      <c r="K35" s="190">
        <v>3031860</v>
      </c>
      <c r="L35" s="190">
        <v>3031860</v>
      </c>
      <c r="M35" s="190">
        <v>2941860</v>
      </c>
      <c r="N35" s="190">
        <v>2941460</v>
      </c>
      <c r="O35" s="923">
        <f>+N35/M35</f>
        <v>0.9998640315990563</v>
      </c>
      <c r="P35" s="190">
        <v>3031860</v>
      </c>
      <c r="Q35" s="190">
        <v>3031860</v>
      </c>
      <c r="R35" s="190">
        <v>3031860</v>
      </c>
      <c r="S35" s="190">
        <v>2941860</v>
      </c>
      <c r="T35" s="190">
        <v>2941460</v>
      </c>
      <c r="U35" s="923">
        <f>+T35/S35</f>
        <v>0.9998640315990563</v>
      </c>
    </row>
    <row r="36" spans="1:21" ht="19.5" customHeight="1">
      <c r="A36" s="185"/>
      <c r="B36" s="247" t="s">
        <v>30</v>
      </c>
      <c r="C36" s="192" t="s">
        <v>273</v>
      </c>
      <c r="D36" s="188" t="s">
        <v>147</v>
      </c>
      <c r="E36" s="189"/>
      <c r="F36" s="189"/>
      <c r="G36" s="189"/>
      <c r="H36" s="189"/>
      <c r="I36" s="190"/>
      <c r="J36" s="190">
        <f>10000+7803945</f>
        <v>7813945</v>
      </c>
      <c r="K36" s="190">
        <v>7813965</v>
      </c>
      <c r="L36" s="190">
        <v>7813965</v>
      </c>
      <c r="M36" s="190">
        <v>7318838</v>
      </c>
      <c r="N36" s="190">
        <v>7037200</v>
      </c>
      <c r="O36" s="923">
        <f>+N36/M36</f>
        <v>0.9615187547531452</v>
      </c>
      <c r="P36" s="190">
        <f>10000+7803945</f>
        <v>7813945</v>
      </c>
      <c r="Q36" s="190">
        <v>7813965</v>
      </c>
      <c r="R36" s="190">
        <v>7813965</v>
      </c>
      <c r="S36" s="190">
        <v>7318838</v>
      </c>
      <c r="T36" s="190">
        <v>7037200</v>
      </c>
      <c r="U36" s="923">
        <f>+T36/S36</f>
        <v>0.9615187547531452</v>
      </c>
    </row>
    <row r="37" spans="1:21" s="238" customFormat="1" ht="19.5" customHeight="1">
      <c r="A37" s="185"/>
      <c r="B37" s="247" t="s">
        <v>274</v>
      </c>
      <c r="C37" s="192" t="s">
        <v>148</v>
      </c>
      <c r="D37" s="188" t="s">
        <v>149</v>
      </c>
      <c r="E37" s="189"/>
      <c r="F37" s="189"/>
      <c r="G37" s="189"/>
      <c r="H37" s="189"/>
      <c r="I37" s="190"/>
      <c r="J37" s="190"/>
      <c r="K37" s="190"/>
      <c r="L37" s="190"/>
      <c r="M37" s="190"/>
      <c r="N37" s="190"/>
      <c r="O37" s="923"/>
      <c r="P37" s="190"/>
      <c r="Q37" s="190"/>
      <c r="R37" s="190"/>
      <c r="S37" s="190"/>
      <c r="T37" s="190"/>
      <c r="U37" s="923"/>
    </row>
    <row r="38" spans="1:21" ht="19.5" customHeight="1" thickBot="1">
      <c r="A38" s="185"/>
      <c r="B38" s="247" t="s">
        <v>40</v>
      </c>
      <c r="C38" s="192" t="s">
        <v>150</v>
      </c>
      <c r="D38" s="188" t="s">
        <v>151</v>
      </c>
      <c r="E38" s="189"/>
      <c r="F38" s="189"/>
      <c r="G38" s="189"/>
      <c r="H38" s="189"/>
      <c r="I38" s="190"/>
      <c r="J38" s="190"/>
      <c r="K38" s="190"/>
      <c r="L38" s="190"/>
      <c r="M38" s="190"/>
      <c r="N38" s="190"/>
      <c r="O38" s="923"/>
      <c r="P38" s="190"/>
      <c r="Q38" s="190"/>
      <c r="R38" s="190"/>
      <c r="S38" s="190"/>
      <c r="T38" s="190"/>
      <c r="U38" s="923"/>
    </row>
    <row r="39" spans="1:21" ht="19.5" customHeight="1" thickBot="1">
      <c r="A39" s="169" t="s">
        <v>162</v>
      </c>
      <c r="B39" s="193"/>
      <c r="C39" s="194" t="s">
        <v>275</v>
      </c>
      <c r="D39" s="181"/>
      <c r="E39" s="182"/>
      <c r="F39" s="182"/>
      <c r="G39" s="182"/>
      <c r="H39" s="182"/>
      <c r="I39" s="183"/>
      <c r="J39" s="183">
        <f aca="true" t="shared" si="8" ref="J39:R39">SUM(J40:J42)</f>
        <v>0</v>
      </c>
      <c r="K39" s="183">
        <f t="shared" si="8"/>
        <v>0</v>
      </c>
      <c r="L39" s="183">
        <f t="shared" si="8"/>
        <v>74999</v>
      </c>
      <c r="M39" s="183">
        <f>SUM(M40:M42)</f>
        <v>74999</v>
      </c>
      <c r="N39" s="183">
        <f>SUM(N40:N42)</f>
        <v>74999</v>
      </c>
      <c r="O39" s="919">
        <f>+N39/M39</f>
        <v>1</v>
      </c>
      <c r="P39" s="183">
        <f t="shared" si="8"/>
        <v>0</v>
      </c>
      <c r="Q39" s="183">
        <f t="shared" si="8"/>
        <v>0</v>
      </c>
      <c r="R39" s="183">
        <f t="shared" si="8"/>
        <v>74999</v>
      </c>
      <c r="S39" s="183">
        <f>SUM(S40:S42)</f>
        <v>74999</v>
      </c>
      <c r="T39" s="183">
        <f>SUM(T40:T42)</f>
        <v>74999</v>
      </c>
      <c r="U39" s="919">
        <f>+T39/S39</f>
        <v>1</v>
      </c>
    </row>
    <row r="40" spans="1:21" ht="19.5" customHeight="1">
      <c r="A40" s="245"/>
      <c r="B40" s="246" t="s">
        <v>276</v>
      </c>
      <c r="C40" s="187" t="s">
        <v>164</v>
      </c>
      <c r="D40" s="216" t="s">
        <v>165</v>
      </c>
      <c r="E40" s="217"/>
      <c r="F40" s="217"/>
      <c r="G40" s="217"/>
      <c r="H40" s="217"/>
      <c r="I40" s="218"/>
      <c r="J40" s="218"/>
      <c r="K40" s="218"/>
      <c r="L40" s="218">
        <v>74999</v>
      </c>
      <c r="M40" s="218">
        <v>74999</v>
      </c>
      <c r="N40" s="218">
        <v>74999</v>
      </c>
      <c r="O40" s="930">
        <f>+N40/M40</f>
        <v>1</v>
      </c>
      <c r="P40" s="218"/>
      <c r="Q40" s="218"/>
      <c r="R40" s="218">
        <v>74999</v>
      </c>
      <c r="S40" s="218">
        <v>74999</v>
      </c>
      <c r="T40" s="218">
        <v>74999</v>
      </c>
      <c r="U40" s="930">
        <f>+T40/S40</f>
        <v>1</v>
      </c>
    </row>
    <row r="41" spans="1:21" ht="19.5" customHeight="1">
      <c r="A41" s="185"/>
      <c r="B41" s="247" t="s">
        <v>277</v>
      </c>
      <c r="C41" s="192" t="s">
        <v>166</v>
      </c>
      <c r="D41" s="188" t="s">
        <v>167</v>
      </c>
      <c r="E41" s="189"/>
      <c r="F41" s="189"/>
      <c r="G41" s="189"/>
      <c r="H41" s="189"/>
      <c r="I41" s="190"/>
      <c r="J41" s="190"/>
      <c r="K41" s="190"/>
      <c r="L41" s="190"/>
      <c r="M41" s="190"/>
      <c r="N41" s="190"/>
      <c r="O41" s="923"/>
      <c r="P41" s="190"/>
      <c r="Q41" s="190"/>
      <c r="R41" s="190"/>
      <c r="S41" s="190"/>
      <c r="T41" s="190"/>
      <c r="U41" s="923"/>
    </row>
    <row r="42" spans="1:21" ht="19.5" customHeight="1">
      <c r="A42" s="185"/>
      <c r="B42" s="247" t="s">
        <v>52</v>
      </c>
      <c r="C42" s="192" t="s">
        <v>278</v>
      </c>
      <c r="D42" s="188" t="s">
        <v>169</v>
      </c>
      <c r="E42" s="189"/>
      <c r="F42" s="189"/>
      <c r="G42" s="189"/>
      <c r="H42" s="189"/>
      <c r="I42" s="190"/>
      <c r="J42" s="190"/>
      <c r="K42" s="190"/>
      <c r="L42" s="190"/>
      <c r="M42" s="190"/>
      <c r="N42" s="190"/>
      <c r="O42" s="923"/>
      <c r="P42" s="190"/>
      <c r="Q42" s="190"/>
      <c r="R42" s="190"/>
      <c r="S42" s="190"/>
      <c r="T42" s="190"/>
      <c r="U42" s="923"/>
    </row>
    <row r="43" spans="1:21" ht="22.5" customHeight="1" thickBot="1">
      <c r="A43" s="185"/>
      <c r="B43" s="247" t="s">
        <v>61</v>
      </c>
      <c r="C43" s="192" t="s">
        <v>279</v>
      </c>
      <c r="D43" s="188"/>
      <c r="E43" s="189"/>
      <c r="F43" s="189"/>
      <c r="G43" s="189"/>
      <c r="H43" s="189"/>
      <c r="I43" s="190"/>
      <c r="J43" s="190"/>
      <c r="K43" s="190"/>
      <c r="L43" s="190"/>
      <c r="M43" s="190"/>
      <c r="N43" s="190"/>
      <c r="O43" s="923"/>
      <c r="P43" s="190"/>
      <c r="Q43" s="190"/>
      <c r="R43" s="190"/>
      <c r="S43" s="190"/>
      <c r="T43" s="190"/>
      <c r="U43" s="923"/>
    </row>
    <row r="44" spans="1:21" ht="19.5" customHeight="1" thickBot="1">
      <c r="A44" s="169" t="s">
        <v>70</v>
      </c>
      <c r="B44" s="193"/>
      <c r="C44" s="194" t="s">
        <v>280</v>
      </c>
      <c r="D44" s="207"/>
      <c r="E44" s="208"/>
      <c r="F44" s="208"/>
      <c r="G44" s="208"/>
      <c r="H44" s="208"/>
      <c r="I44" s="209"/>
      <c r="J44" s="209"/>
      <c r="K44" s="209"/>
      <c r="L44" s="209"/>
      <c r="M44" s="209"/>
      <c r="N44" s="209"/>
      <c r="O44" s="926"/>
      <c r="P44" s="209"/>
      <c r="Q44" s="209"/>
      <c r="R44" s="209"/>
      <c r="S44" s="209"/>
      <c r="T44" s="209"/>
      <c r="U44" s="926"/>
    </row>
    <row r="45" spans="1:21" ht="19.5" customHeight="1" thickBot="1">
      <c r="A45" s="230" t="s">
        <v>87</v>
      </c>
      <c r="B45" s="231"/>
      <c r="C45" s="232" t="s">
        <v>281</v>
      </c>
      <c r="D45" s="207"/>
      <c r="E45" s="208"/>
      <c r="F45" s="208"/>
      <c r="G45" s="208"/>
      <c r="H45" s="208"/>
      <c r="I45" s="209"/>
      <c r="J45" s="209"/>
      <c r="K45" s="209"/>
      <c r="L45" s="209"/>
      <c r="M45" s="209"/>
      <c r="N45" s="209"/>
      <c r="O45" s="926"/>
      <c r="P45" s="209"/>
      <c r="Q45" s="209"/>
      <c r="R45" s="209"/>
      <c r="S45" s="209"/>
      <c r="T45" s="209"/>
      <c r="U45" s="926"/>
    </row>
    <row r="46" spans="1:21" ht="19.5" customHeight="1" thickBot="1">
      <c r="A46" s="169" t="s">
        <v>70</v>
      </c>
      <c r="B46" s="248"/>
      <c r="C46" s="249" t="s">
        <v>282</v>
      </c>
      <c r="D46" s="181"/>
      <c r="E46" s="182"/>
      <c r="F46" s="182"/>
      <c r="G46" s="182"/>
      <c r="H46" s="182"/>
      <c r="I46" s="183"/>
      <c r="J46" s="183">
        <f aca="true" t="shared" si="9" ref="J46:R46">J33+J39</f>
        <v>26277972</v>
      </c>
      <c r="K46" s="183">
        <f t="shared" si="9"/>
        <v>26277992</v>
      </c>
      <c r="L46" s="183">
        <f t="shared" si="9"/>
        <v>26352991</v>
      </c>
      <c r="M46" s="183">
        <f>M33+M39</f>
        <v>25173864</v>
      </c>
      <c r="N46" s="183">
        <f>N33+N39</f>
        <v>24886718</v>
      </c>
      <c r="O46" s="919">
        <f>+N46/M46</f>
        <v>0.988593487277122</v>
      </c>
      <c r="P46" s="183">
        <f t="shared" si="9"/>
        <v>26277972</v>
      </c>
      <c r="Q46" s="183">
        <f t="shared" si="9"/>
        <v>26277992</v>
      </c>
      <c r="R46" s="183">
        <f t="shared" si="9"/>
        <v>26352991</v>
      </c>
      <c r="S46" s="183">
        <f>S33+S39</f>
        <v>25173864</v>
      </c>
      <c r="T46" s="183">
        <f>T33+T39</f>
        <v>24886718</v>
      </c>
      <c r="U46" s="919">
        <f>+T46/S46</f>
        <v>0.988593487277122</v>
      </c>
    </row>
    <row r="47" spans="4:21" ht="19.5" customHeight="1" thickBot="1">
      <c r="D47" s="250"/>
      <c r="E47" s="251"/>
      <c r="F47" s="251"/>
      <c r="G47" s="251"/>
      <c r="H47" s="251"/>
      <c r="I47" s="252"/>
      <c r="J47" s="252"/>
      <c r="K47" s="252"/>
      <c r="L47" s="252"/>
      <c r="M47" s="252"/>
      <c r="N47" s="252"/>
      <c r="O47" s="931"/>
      <c r="P47" s="252"/>
      <c r="Q47" s="252"/>
      <c r="R47" s="252"/>
      <c r="S47" s="252"/>
      <c r="T47" s="252"/>
      <c r="U47" s="931"/>
    </row>
    <row r="48" spans="1:22" ht="19.5" customHeight="1" thickBot="1">
      <c r="A48" s="253" t="s">
        <v>283</v>
      </c>
      <c r="B48" s="254"/>
      <c r="C48" s="255"/>
      <c r="D48" s="256"/>
      <c r="E48" s="257"/>
      <c r="F48" s="257"/>
      <c r="G48" s="257"/>
      <c r="H48" s="257"/>
      <c r="I48" s="258"/>
      <c r="J48" s="662">
        <v>4.5</v>
      </c>
      <c r="K48" s="662">
        <v>4.5</v>
      </c>
      <c r="L48" s="662">
        <v>4.5</v>
      </c>
      <c r="M48" s="1257">
        <v>4.5</v>
      </c>
      <c r="N48" s="1257">
        <v>4.5</v>
      </c>
      <c r="O48" s="1258">
        <f>+N48/M48</f>
        <v>1</v>
      </c>
      <c r="P48" s="1257">
        <v>4.5</v>
      </c>
      <c r="Q48" s="1257">
        <v>4.5</v>
      </c>
      <c r="R48" s="1257">
        <v>4.5</v>
      </c>
      <c r="S48" s="1257">
        <v>4.5</v>
      </c>
      <c r="T48" s="1257">
        <v>4.5</v>
      </c>
      <c r="U48" s="1258">
        <f>+T48/S48</f>
        <v>1</v>
      </c>
      <c r="V48" s="1259"/>
    </row>
    <row r="49" spans="1:21" ht="19.5" customHeight="1" thickBot="1">
      <c r="A49" s="253" t="s">
        <v>284</v>
      </c>
      <c r="B49" s="254"/>
      <c r="C49" s="255"/>
      <c r="D49" s="256"/>
      <c r="E49" s="257"/>
      <c r="F49" s="257"/>
      <c r="G49" s="257"/>
      <c r="H49" s="257"/>
      <c r="I49" s="258"/>
      <c r="J49" s="258">
        <v>1</v>
      </c>
      <c r="K49" s="258">
        <v>1</v>
      </c>
      <c r="L49" s="258">
        <v>1</v>
      </c>
      <c r="M49" s="258">
        <v>1</v>
      </c>
      <c r="N49" s="258">
        <v>1</v>
      </c>
      <c r="O49" s="932">
        <f>+N49/M49</f>
        <v>1</v>
      </c>
      <c r="P49" s="258">
        <v>1</v>
      </c>
      <c r="Q49" s="258">
        <v>1</v>
      </c>
      <c r="R49" s="258">
        <v>1</v>
      </c>
      <c r="S49" s="258">
        <v>1</v>
      </c>
      <c r="T49" s="258">
        <v>1</v>
      </c>
      <c r="U49" s="932">
        <f>+T49/S49</f>
        <v>1</v>
      </c>
    </row>
    <row r="50" spans="6:9" ht="12.75">
      <c r="F50" s="259"/>
      <c r="G50" s="259"/>
      <c r="H50" s="259"/>
      <c r="I50" s="259"/>
    </row>
    <row r="51" spans="1:10" ht="12.75" customHeight="1">
      <c r="A51" s="1346" t="s">
        <v>285</v>
      </c>
      <c r="B51" s="1346"/>
      <c r="C51" s="1346"/>
      <c r="D51" s="1346"/>
      <c r="E51" s="260"/>
      <c r="F51" s="260"/>
      <c r="G51" s="260"/>
      <c r="H51" s="260"/>
      <c r="I51" s="260"/>
      <c r="J51" s="259"/>
    </row>
    <row r="52" spans="1:10" ht="12.75">
      <c r="A52" s="1346"/>
      <c r="B52" s="1346"/>
      <c r="C52" s="1346"/>
      <c r="J52" s="259">
        <f>+J46-J29</f>
        <v>0</v>
      </c>
    </row>
    <row r="53" spans="4:16" ht="12.75" hidden="1">
      <c r="D53" s="259">
        <v>0</v>
      </c>
      <c r="E53" s="259"/>
      <c r="F53" s="259"/>
      <c r="G53" s="259"/>
      <c r="H53" s="259"/>
      <c r="I53" s="259"/>
      <c r="M53" s="156" t="s">
        <v>488</v>
      </c>
      <c r="P53" s="156">
        <v>8</v>
      </c>
    </row>
    <row r="54" spans="13:16" ht="25.5" hidden="1">
      <c r="M54" s="156" t="s">
        <v>489</v>
      </c>
      <c r="P54" s="156">
        <v>6</v>
      </c>
    </row>
    <row r="55" spans="13:16" ht="25.5" hidden="1">
      <c r="M55" s="156" t="s">
        <v>490</v>
      </c>
      <c r="P55" s="156">
        <v>8</v>
      </c>
    </row>
    <row r="56" spans="13:16" ht="12.75" hidden="1">
      <c r="M56" s="156" t="s">
        <v>491</v>
      </c>
      <c r="P56" s="156">
        <v>8</v>
      </c>
    </row>
    <row r="57" spans="13:16" ht="38.25" hidden="1">
      <c r="M57" s="156" t="s">
        <v>492</v>
      </c>
      <c r="P57" s="156">
        <v>8</v>
      </c>
    </row>
    <row r="58" spans="13:16" ht="12.75" hidden="1">
      <c r="M58" s="156" t="s">
        <v>493</v>
      </c>
      <c r="P58" s="156">
        <v>8</v>
      </c>
    </row>
    <row r="59" ht="12.75" hidden="1">
      <c r="P59" s="156">
        <f>SUM(P53:P58)</f>
        <v>46</v>
      </c>
    </row>
    <row r="60" ht="12.75" hidden="1">
      <c r="P60" s="156">
        <f>+P59/8</f>
        <v>5.75</v>
      </c>
    </row>
    <row r="61" ht="12.75" hidden="1">
      <c r="P61" s="156">
        <f>+P60-P57/8</f>
        <v>4.75</v>
      </c>
    </row>
    <row r="62" ht="12.75" hidden="1"/>
  </sheetData>
  <sheetProtection selectLockedCells="1" selectUnlockedCells="1"/>
  <mergeCells count="8">
    <mergeCell ref="P5:U5"/>
    <mergeCell ref="A51:D51"/>
    <mergeCell ref="A52:C52"/>
    <mergeCell ref="A3:J3"/>
    <mergeCell ref="D5:I5"/>
    <mergeCell ref="A6:B6"/>
    <mergeCell ref="J4:P4"/>
    <mergeCell ref="J5:O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Layout" workbookViewId="0" topLeftCell="I1">
      <selection activeCell="O7" sqref="O7"/>
    </sheetView>
  </sheetViews>
  <sheetFormatPr defaultColWidth="9.140625" defaultRowHeight="12.75"/>
  <cols>
    <col min="1" max="2" width="9.140625" style="147" customWidth="1"/>
    <col min="3" max="3" width="41.421875" style="147" customWidth="1"/>
    <col min="4" max="4" width="5.57421875" style="331" customWidth="1"/>
    <col min="5" max="5" width="14.8515625" style="148" customWidth="1"/>
    <col min="6" max="7" width="14.8515625" style="148" hidden="1" customWidth="1"/>
    <col min="8" max="10" width="14.8515625" style="148" customWidth="1"/>
    <col min="11" max="11" width="16.8515625" style="147" bestFit="1" customWidth="1"/>
    <col min="12" max="13" width="14.28125" style="147" hidden="1" customWidth="1"/>
    <col min="14" max="16" width="14.28125" style="147" customWidth="1"/>
    <col min="17" max="17" width="13.28125" style="147" customWidth="1"/>
    <col min="18" max="18" width="12.57421875" style="147" hidden="1" customWidth="1"/>
    <col min="19" max="19" width="14.57421875" style="147" hidden="1" customWidth="1"/>
    <col min="20" max="20" width="11.7109375" style="147" customWidth="1"/>
    <col min="21" max="21" width="11.421875" style="147" bestFit="1" customWidth="1"/>
    <col min="22" max="22" width="10.140625" style="147" bestFit="1" customWidth="1"/>
    <col min="23" max="16384" width="9.140625" style="147" customWidth="1"/>
  </cols>
  <sheetData>
    <row r="1" spans="1:19" ht="29.25" customHeight="1">
      <c r="A1" s="1352" t="s">
        <v>437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</row>
    <row r="2" ht="12.75">
      <c r="C2" s="7"/>
    </row>
    <row r="3" spans="1:19" ht="14.25">
      <c r="A3" s="1353" t="s">
        <v>348</v>
      </c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</row>
    <row r="4" spans="1:17" ht="16.5" thickBot="1">
      <c r="A4" s="333"/>
      <c r="C4" s="332"/>
      <c r="D4" s="332"/>
      <c r="E4" s="334"/>
      <c r="F4" s="334"/>
      <c r="G4" s="334"/>
      <c r="H4" s="334"/>
      <c r="I4" s="334"/>
      <c r="J4" s="334"/>
      <c r="K4" s="332"/>
      <c r="L4" s="332"/>
      <c r="M4" s="332"/>
      <c r="N4" s="332"/>
      <c r="O4" s="332"/>
      <c r="P4" s="332"/>
      <c r="Q4" s="147" t="s">
        <v>478</v>
      </c>
    </row>
    <row r="5" spans="1:22" s="338" customFormat="1" ht="31.5" customHeight="1" thickBot="1">
      <c r="A5" s="335" t="s">
        <v>1</v>
      </c>
      <c r="B5" s="336" t="s">
        <v>3</v>
      </c>
      <c r="C5" s="446" t="s">
        <v>349</v>
      </c>
      <c r="D5" s="337" t="s">
        <v>350</v>
      </c>
      <c r="E5" s="1354" t="s">
        <v>4</v>
      </c>
      <c r="F5" s="1355"/>
      <c r="G5" s="1355"/>
      <c r="H5" s="1355"/>
      <c r="I5" s="1355"/>
      <c r="J5" s="1356"/>
      <c r="K5" s="1354" t="s">
        <v>351</v>
      </c>
      <c r="L5" s="1355"/>
      <c r="M5" s="1355"/>
      <c r="N5" s="1355"/>
      <c r="O5" s="1355"/>
      <c r="P5" s="1356"/>
      <c r="Q5" s="1354" t="s">
        <v>311</v>
      </c>
      <c r="R5" s="1355"/>
      <c r="S5" s="1355"/>
      <c r="T5" s="1355"/>
      <c r="U5" s="1355"/>
      <c r="V5" s="1356"/>
    </row>
    <row r="6" spans="1:19" s="338" customFormat="1" ht="31.5" customHeight="1" hidden="1" thickBot="1">
      <c r="A6" s="339"/>
      <c r="B6" s="340"/>
      <c r="C6" s="341"/>
      <c r="D6" s="342"/>
      <c r="E6" s="597"/>
      <c r="F6" s="597"/>
      <c r="G6" s="597"/>
      <c r="H6" s="597"/>
      <c r="I6" s="597"/>
      <c r="J6" s="597"/>
      <c r="K6" s="597"/>
      <c r="L6" s="717"/>
      <c r="M6" s="717"/>
      <c r="N6" s="717"/>
      <c r="O6" s="717"/>
      <c r="P6" s="717"/>
      <c r="R6" s="147"/>
      <c r="S6" s="147"/>
    </row>
    <row r="7" spans="1:22" s="338" customFormat="1" ht="24" customHeight="1" thickBot="1">
      <c r="A7" s="339"/>
      <c r="B7" s="340"/>
      <c r="C7" s="341"/>
      <c r="D7" s="342"/>
      <c r="E7" s="517" t="s">
        <v>328</v>
      </c>
      <c r="F7" s="517" t="s">
        <v>7</v>
      </c>
      <c r="G7" s="517" t="s">
        <v>485</v>
      </c>
      <c r="H7" s="517" t="s">
        <v>496</v>
      </c>
      <c r="I7" s="938" t="s">
        <v>649</v>
      </c>
      <c r="J7" s="938" t="s">
        <v>650</v>
      </c>
      <c r="K7" s="643" t="s">
        <v>328</v>
      </c>
      <c r="L7" s="517" t="s">
        <v>7</v>
      </c>
      <c r="M7" s="517" t="s">
        <v>485</v>
      </c>
      <c r="N7" s="517" t="s">
        <v>496</v>
      </c>
      <c r="O7" s="938" t="s">
        <v>649</v>
      </c>
      <c r="P7" s="938" t="s">
        <v>650</v>
      </c>
      <c r="Q7" s="517" t="s">
        <v>328</v>
      </c>
      <c r="R7" s="517" t="s">
        <v>7</v>
      </c>
      <c r="S7" s="517" t="s">
        <v>485</v>
      </c>
      <c r="T7" s="517" t="s">
        <v>496</v>
      </c>
      <c r="U7" s="938" t="s">
        <v>649</v>
      </c>
      <c r="V7" s="938" t="s">
        <v>650</v>
      </c>
    </row>
    <row r="8" spans="1:20" ht="29.25" customHeight="1" hidden="1">
      <c r="A8" s="343"/>
      <c r="B8" s="344"/>
      <c r="C8" s="345"/>
      <c r="D8" s="346" t="s">
        <v>316</v>
      </c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</row>
    <row r="9" spans="1:22" ht="29.25" customHeight="1">
      <c r="A9" s="343">
        <v>1</v>
      </c>
      <c r="B9" s="344" t="s">
        <v>352</v>
      </c>
      <c r="C9" s="345" t="s">
        <v>547</v>
      </c>
      <c r="D9" s="346" t="s">
        <v>312</v>
      </c>
      <c r="E9" s="350">
        <v>1058743</v>
      </c>
      <c r="F9" s="350">
        <v>1058743</v>
      </c>
      <c r="G9" s="350">
        <v>1058743</v>
      </c>
      <c r="H9" s="350">
        <v>1058743</v>
      </c>
      <c r="I9" s="350"/>
      <c r="J9" s="939">
        <f>+I9/H9</f>
        <v>0</v>
      </c>
      <c r="K9" s="350">
        <v>1058743</v>
      </c>
      <c r="L9" s="350">
        <v>1058743</v>
      </c>
      <c r="M9" s="350">
        <v>1058743</v>
      </c>
      <c r="N9" s="350">
        <v>1058743</v>
      </c>
      <c r="O9" s="350"/>
      <c r="P9" s="939">
        <f>+O9/N9</f>
        <v>0</v>
      </c>
      <c r="Q9" s="352">
        <f aca="true" t="shared" si="0" ref="Q9:U15">+E9-K9</f>
        <v>0</v>
      </c>
      <c r="R9" s="352">
        <f t="shared" si="0"/>
        <v>0</v>
      </c>
      <c r="S9" s="352">
        <f t="shared" si="0"/>
        <v>0</v>
      </c>
      <c r="T9" s="352">
        <f t="shared" si="0"/>
        <v>0</v>
      </c>
      <c r="U9" s="352">
        <f t="shared" si="0"/>
        <v>0</v>
      </c>
      <c r="V9" s="939"/>
    </row>
    <row r="10" spans="1:22" ht="29.25" customHeight="1">
      <c r="A10" s="343">
        <v>2</v>
      </c>
      <c r="B10" s="344" t="s">
        <v>352</v>
      </c>
      <c r="C10" s="345" t="s">
        <v>608</v>
      </c>
      <c r="D10" s="351" t="s">
        <v>316</v>
      </c>
      <c r="E10" s="352">
        <v>8915400</v>
      </c>
      <c r="F10" s="352">
        <v>8915400</v>
      </c>
      <c r="G10" s="352">
        <f>8915400+775932</f>
        <v>9691332</v>
      </c>
      <c r="H10" s="352">
        <f>8915400+775932</f>
        <v>9691332</v>
      </c>
      <c r="I10" s="352"/>
      <c r="J10" s="939">
        <f aca="true" t="shared" si="1" ref="J10:J19">+I10/H10</f>
        <v>0</v>
      </c>
      <c r="K10" s="352">
        <v>7578090</v>
      </c>
      <c r="L10" s="352">
        <v>7578090</v>
      </c>
      <c r="M10" s="352">
        <v>8023860</v>
      </c>
      <c r="N10" s="352">
        <v>8023860</v>
      </c>
      <c r="O10" s="352"/>
      <c r="P10" s="939">
        <f aca="true" t="shared" si="2" ref="P10:P19">+O10/N10</f>
        <v>0</v>
      </c>
      <c r="Q10" s="352">
        <f t="shared" si="0"/>
        <v>1337310</v>
      </c>
      <c r="R10" s="352">
        <f t="shared" si="0"/>
        <v>1337310</v>
      </c>
      <c r="S10" s="352">
        <f t="shared" si="0"/>
        <v>1667472</v>
      </c>
      <c r="T10" s="352">
        <f t="shared" si="0"/>
        <v>1667472</v>
      </c>
      <c r="U10" s="352">
        <f t="shared" si="0"/>
        <v>0</v>
      </c>
      <c r="V10" s="939">
        <f>+U10/T10</f>
        <v>0</v>
      </c>
    </row>
    <row r="11" spans="1:22" ht="29.25" customHeight="1">
      <c r="A11" s="343">
        <v>3</v>
      </c>
      <c r="B11" s="344" t="s">
        <v>352</v>
      </c>
      <c r="C11" s="345" t="s">
        <v>633</v>
      </c>
      <c r="D11" s="351" t="s">
        <v>316</v>
      </c>
      <c r="E11" s="352">
        <v>270000</v>
      </c>
      <c r="F11" s="352">
        <v>270000</v>
      </c>
      <c r="G11" s="352">
        <v>270000</v>
      </c>
      <c r="H11" s="352">
        <f>93500*1.27</f>
        <v>118745</v>
      </c>
      <c r="I11" s="352">
        <f>93500*1.27</f>
        <v>118745</v>
      </c>
      <c r="J11" s="939">
        <f t="shared" si="1"/>
        <v>1</v>
      </c>
      <c r="K11" s="352">
        <v>270000</v>
      </c>
      <c r="L11" s="352">
        <v>270000</v>
      </c>
      <c r="M11" s="352">
        <v>270000</v>
      </c>
      <c r="N11" s="352">
        <v>118745</v>
      </c>
      <c r="O11" s="352">
        <f>93500*1.27</f>
        <v>118745</v>
      </c>
      <c r="P11" s="939">
        <f t="shared" si="2"/>
        <v>1</v>
      </c>
      <c r="Q11" s="352">
        <f t="shared" si="0"/>
        <v>0</v>
      </c>
      <c r="R11" s="352">
        <f t="shared" si="0"/>
        <v>0</v>
      </c>
      <c r="S11" s="352">
        <f t="shared" si="0"/>
        <v>0</v>
      </c>
      <c r="T11" s="352">
        <f t="shared" si="0"/>
        <v>0</v>
      </c>
      <c r="U11" s="352">
        <f t="shared" si="0"/>
        <v>0</v>
      </c>
      <c r="V11" s="939"/>
    </row>
    <row r="12" spans="1:22" ht="29.25" customHeight="1">
      <c r="A12" s="343">
        <v>4</v>
      </c>
      <c r="B12" s="344" t="s">
        <v>352</v>
      </c>
      <c r="C12" s="353" t="s">
        <v>353</v>
      </c>
      <c r="D12" s="351" t="s">
        <v>316</v>
      </c>
      <c r="E12" s="347">
        <v>1200000</v>
      </c>
      <c r="F12" s="347">
        <v>1200000</v>
      </c>
      <c r="G12" s="347">
        <v>1200000</v>
      </c>
      <c r="H12" s="347"/>
      <c r="I12" s="347"/>
      <c r="J12" s="940"/>
      <c r="K12" s="347">
        <v>0</v>
      </c>
      <c r="L12" s="347">
        <v>0</v>
      </c>
      <c r="M12" s="347">
        <v>0</v>
      </c>
      <c r="N12" s="347">
        <v>0</v>
      </c>
      <c r="O12" s="347"/>
      <c r="P12" s="940"/>
      <c r="Q12" s="352">
        <f t="shared" si="0"/>
        <v>1200000</v>
      </c>
      <c r="R12" s="352">
        <f t="shared" si="0"/>
        <v>1200000</v>
      </c>
      <c r="S12" s="352">
        <f t="shared" si="0"/>
        <v>1200000</v>
      </c>
      <c r="T12" s="352">
        <f t="shared" si="0"/>
        <v>0</v>
      </c>
      <c r="U12" s="352">
        <f t="shared" si="0"/>
        <v>0</v>
      </c>
      <c r="V12" s="940"/>
    </row>
    <row r="13" spans="1:22" ht="29.25" customHeight="1">
      <c r="A13" s="343">
        <v>5</v>
      </c>
      <c r="B13" s="344" t="s">
        <v>352</v>
      </c>
      <c r="C13" s="345" t="s">
        <v>631</v>
      </c>
      <c r="D13" s="351" t="s">
        <v>316</v>
      </c>
      <c r="E13" s="347"/>
      <c r="F13" s="347"/>
      <c r="G13" s="347"/>
      <c r="H13" s="347">
        <v>99949</v>
      </c>
      <c r="I13" s="347">
        <v>99949</v>
      </c>
      <c r="J13" s="940">
        <f t="shared" si="1"/>
        <v>1</v>
      </c>
      <c r="K13" s="347">
        <v>0</v>
      </c>
      <c r="L13" s="347">
        <v>0</v>
      </c>
      <c r="M13" s="347">
        <v>0</v>
      </c>
      <c r="N13" s="347">
        <v>99949</v>
      </c>
      <c r="O13" s="347">
        <v>99949</v>
      </c>
      <c r="P13" s="940">
        <f t="shared" si="2"/>
        <v>1</v>
      </c>
      <c r="Q13" s="352">
        <f t="shared" si="0"/>
        <v>0</v>
      </c>
      <c r="R13" s="352">
        <f t="shared" si="0"/>
        <v>0</v>
      </c>
      <c r="S13" s="352">
        <f t="shared" si="0"/>
        <v>0</v>
      </c>
      <c r="T13" s="352">
        <f t="shared" si="0"/>
        <v>0</v>
      </c>
      <c r="U13" s="352">
        <f t="shared" si="0"/>
        <v>0</v>
      </c>
      <c r="V13" s="940"/>
    </row>
    <row r="14" spans="1:22" ht="29.25" customHeight="1">
      <c r="A14" s="343">
        <v>6</v>
      </c>
      <c r="B14" s="344" t="s">
        <v>352</v>
      </c>
      <c r="C14" s="774" t="s">
        <v>632</v>
      </c>
      <c r="D14" s="351" t="s">
        <v>316</v>
      </c>
      <c r="E14" s="347"/>
      <c r="F14" s="347"/>
      <c r="G14" s="347"/>
      <c r="H14" s="347">
        <f>195969*1.27</f>
        <v>248880.63</v>
      </c>
      <c r="I14" s="347">
        <f>195969*1.27</f>
        <v>248880.63</v>
      </c>
      <c r="J14" s="940">
        <f t="shared" si="1"/>
        <v>1</v>
      </c>
      <c r="K14" s="347">
        <v>0</v>
      </c>
      <c r="L14" s="347">
        <v>0</v>
      </c>
      <c r="M14" s="347">
        <v>0</v>
      </c>
      <c r="N14" s="347">
        <v>248881</v>
      </c>
      <c r="O14" s="347">
        <v>248881</v>
      </c>
      <c r="P14" s="940">
        <f t="shared" si="2"/>
        <v>1</v>
      </c>
      <c r="Q14" s="352">
        <f t="shared" si="0"/>
        <v>0</v>
      </c>
      <c r="R14" s="352">
        <f t="shared" si="0"/>
        <v>0</v>
      </c>
      <c r="S14" s="352">
        <f t="shared" si="0"/>
        <v>0</v>
      </c>
      <c r="T14" s="352">
        <f t="shared" si="0"/>
        <v>-0.3699999999953434</v>
      </c>
      <c r="U14" s="352">
        <f t="shared" si="0"/>
        <v>-0.3699999999953434</v>
      </c>
      <c r="V14" s="940">
        <f>+U14/T14</f>
        <v>1</v>
      </c>
    </row>
    <row r="15" spans="1:22" ht="29.25" customHeight="1">
      <c r="A15" s="343">
        <v>7</v>
      </c>
      <c r="B15" s="344" t="s">
        <v>352</v>
      </c>
      <c r="C15" s="345" t="s">
        <v>546</v>
      </c>
      <c r="D15" s="351" t="s">
        <v>316</v>
      </c>
      <c r="E15" s="347">
        <v>249000</v>
      </c>
      <c r="F15" s="347">
        <v>249000</v>
      </c>
      <c r="G15" s="347">
        <v>249000</v>
      </c>
      <c r="H15" s="347">
        <v>0</v>
      </c>
      <c r="I15" s="347"/>
      <c r="J15" s="940"/>
      <c r="K15" s="347">
        <v>249000</v>
      </c>
      <c r="L15" s="347">
        <v>249000</v>
      </c>
      <c r="M15" s="347">
        <v>249000</v>
      </c>
      <c r="N15" s="347">
        <v>0</v>
      </c>
      <c r="O15" s="347"/>
      <c r="P15" s="940"/>
      <c r="Q15" s="352">
        <f t="shared" si="0"/>
        <v>0</v>
      </c>
      <c r="R15" s="352">
        <f t="shared" si="0"/>
        <v>0</v>
      </c>
      <c r="S15" s="352">
        <f t="shared" si="0"/>
        <v>0</v>
      </c>
      <c r="T15" s="352">
        <f t="shared" si="0"/>
        <v>0</v>
      </c>
      <c r="U15" s="352">
        <f t="shared" si="0"/>
        <v>0</v>
      </c>
      <c r="V15" s="940"/>
    </row>
    <row r="16" spans="1:22" ht="29.25" customHeight="1">
      <c r="A16" s="343">
        <v>8</v>
      </c>
      <c r="B16" s="344" t="s">
        <v>352</v>
      </c>
      <c r="C16" s="905" t="s">
        <v>637</v>
      </c>
      <c r="D16" s="351" t="s">
        <v>316</v>
      </c>
      <c r="E16" s="347"/>
      <c r="F16" s="347"/>
      <c r="G16" s="347"/>
      <c r="H16" s="347">
        <v>152400</v>
      </c>
      <c r="I16" s="347">
        <v>152400</v>
      </c>
      <c r="J16" s="940">
        <f t="shared" si="1"/>
        <v>1</v>
      </c>
      <c r="K16" s="347"/>
      <c r="L16" s="347"/>
      <c r="M16" s="347"/>
      <c r="N16" s="347">
        <v>152400</v>
      </c>
      <c r="O16" s="347">
        <v>152400</v>
      </c>
      <c r="P16" s="940">
        <f t="shared" si="2"/>
        <v>1</v>
      </c>
      <c r="Q16" s="347"/>
      <c r="R16" s="347"/>
      <c r="S16" s="347"/>
      <c r="T16" s="352">
        <f aca="true" t="shared" si="3" ref="T16:U19">+H16-N16</f>
        <v>0</v>
      </c>
      <c r="U16" s="352">
        <f t="shared" si="3"/>
        <v>0</v>
      </c>
      <c r="V16" s="940"/>
    </row>
    <row r="17" spans="1:22" ht="29.25" customHeight="1">
      <c r="A17" s="343">
        <v>9</v>
      </c>
      <c r="B17" s="344" t="s">
        <v>352</v>
      </c>
      <c r="C17" s="353" t="s">
        <v>634</v>
      </c>
      <c r="D17" s="351" t="s">
        <v>316</v>
      </c>
      <c r="E17" s="347"/>
      <c r="F17" s="347"/>
      <c r="G17" s="347"/>
      <c r="H17" s="347">
        <v>41275</v>
      </c>
      <c r="I17" s="347">
        <v>41275</v>
      </c>
      <c r="J17" s="940">
        <f t="shared" si="1"/>
        <v>1</v>
      </c>
      <c r="K17" s="347"/>
      <c r="L17" s="347"/>
      <c r="M17" s="347"/>
      <c r="N17" s="347">
        <v>41275</v>
      </c>
      <c r="O17" s="347">
        <v>41275</v>
      </c>
      <c r="P17" s="940">
        <f t="shared" si="2"/>
        <v>1</v>
      </c>
      <c r="Q17" s="347"/>
      <c r="R17" s="347"/>
      <c r="S17" s="347"/>
      <c r="T17" s="352">
        <f t="shared" si="3"/>
        <v>0</v>
      </c>
      <c r="U17" s="352">
        <f t="shared" si="3"/>
        <v>0</v>
      </c>
      <c r="V17" s="940"/>
    </row>
    <row r="18" spans="1:22" ht="29.25" customHeight="1">
      <c r="A18" s="343">
        <v>10</v>
      </c>
      <c r="B18" s="344" t="s">
        <v>352</v>
      </c>
      <c r="C18" s="353" t="s">
        <v>636</v>
      </c>
      <c r="D18" s="351"/>
      <c r="E18" s="347"/>
      <c r="F18" s="347"/>
      <c r="G18" s="347"/>
      <c r="H18" s="347">
        <v>223400</v>
      </c>
      <c r="I18" s="347">
        <v>223400</v>
      </c>
      <c r="J18" s="940">
        <f t="shared" si="1"/>
        <v>1</v>
      </c>
      <c r="K18" s="347"/>
      <c r="L18" s="347"/>
      <c r="M18" s="347"/>
      <c r="N18" s="347"/>
      <c r="O18" s="347"/>
      <c r="P18" s="940"/>
      <c r="Q18" s="347"/>
      <c r="R18" s="347"/>
      <c r="S18" s="347"/>
      <c r="T18" s="352">
        <f t="shared" si="3"/>
        <v>223400</v>
      </c>
      <c r="U18" s="352">
        <f t="shared" si="3"/>
        <v>223400</v>
      </c>
      <c r="V18" s="940">
        <f>+U18/T18</f>
        <v>1</v>
      </c>
    </row>
    <row r="19" spans="1:22" ht="29.25" customHeight="1" thickBot="1">
      <c r="A19" s="343">
        <v>11</v>
      </c>
      <c r="B19" s="344" t="s">
        <v>352</v>
      </c>
      <c r="C19" s="353" t="s">
        <v>635</v>
      </c>
      <c r="D19" s="351" t="s">
        <v>316</v>
      </c>
      <c r="E19" s="347"/>
      <c r="F19" s="347"/>
      <c r="G19" s="347"/>
      <c r="H19" s="347">
        <v>58900</v>
      </c>
      <c r="I19" s="347">
        <v>58900</v>
      </c>
      <c r="J19" s="940">
        <f t="shared" si="1"/>
        <v>1</v>
      </c>
      <c r="K19" s="347"/>
      <c r="L19" s="347"/>
      <c r="M19" s="347"/>
      <c r="N19" s="347">
        <v>58900</v>
      </c>
      <c r="O19" s="347">
        <v>58900</v>
      </c>
      <c r="P19" s="940">
        <f t="shared" si="2"/>
        <v>1</v>
      </c>
      <c r="Q19" s="347"/>
      <c r="R19" s="347"/>
      <c r="S19" s="347"/>
      <c r="T19" s="352">
        <f t="shared" si="3"/>
        <v>0</v>
      </c>
      <c r="U19" s="352">
        <f t="shared" si="3"/>
        <v>0</v>
      </c>
      <c r="V19" s="940"/>
    </row>
    <row r="20" spans="1:22" ht="31.5" customHeight="1" thickBot="1">
      <c r="A20" s="1358" t="s">
        <v>290</v>
      </c>
      <c r="B20" s="1358"/>
      <c r="C20" s="1358"/>
      <c r="D20" s="355"/>
      <c r="E20" s="356">
        <f>SUM(E8:E19)</f>
        <v>11693143</v>
      </c>
      <c r="F20" s="356">
        <f>SUM(F8:F19)</f>
        <v>11693143</v>
      </c>
      <c r="G20" s="356">
        <f>SUM(G8:G19)</f>
        <v>12469075</v>
      </c>
      <c r="H20" s="356">
        <f>SUM(H8:H19)</f>
        <v>11693624.63</v>
      </c>
      <c r="I20" s="356">
        <f>SUM(I8:I19)</f>
        <v>943549.63</v>
      </c>
      <c r="J20" s="941">
        <f>+I20/H20</f>
        <v>0.08068923536157667</v>
      </c>
      <c r="K20" s="356">
        <f>SUM(K8:K19)</f>
        <v>9155833</v>
      </c>
      <c r="L20" s="356">
        <f>SUM(L8:L19)</f>
        <v>9155833</v>
      </c>
      <c r="M20" s="356">
        <f>SUM(M8:M19)</f>
        <v>9601603</v>
      </c>
      <c r="N20" s="356">
        <f>SUM(N8:N19)</f>
        <v>9802753</v>
      </c>
      <c r="O20" s="356">
        <f>SUM(O8:O19)</f>
        <v>720150</v>
      </c>
      <c r="P20" s="941">
        <f>+O20/N20</f>
        <v>0.07346405647474745</v>
      </c>
      <c r="Q20" s="356">
        <f>SUM(Q8:Q19)</f>
        <v>2537310</v>
      </c>
      <c r="R20" s="356">
        <f>SUM(R8:R19)</f>
        <v>2537310</v>
      </c>
      <c r="S20" s="356">
        <f>SUM(S8:S19)</f>
        <v>2867472</v>
      </c>
      <c r="T20" s="356">
        <f>SUM(T8:T19)</f>
        <v>1890871.63</v>
      </c>
      <c r="U20" s="356">
        <f>SUM(U8:U19)</f>
        <v>223399.63</v>
      </c>
      <c r="V20" s="941">
        <f>+U20/T20</f>
        <v>0.118146375700819</v>
      </c>
    </row>
    <row r="21" spans="1:20" ht="31.5" customHeight="1">
      <c r="A21" s="332"/>
      <c r="B21" s="332"/>
      <c r="C21" s="332"/>
      <c r="D21" s="357"/>
      <c r="E21" s="598"/>
      <c r="F21" s="598"/>
      <c r="G21" s="598"/>
      <c r="H21" s="598"/>
      <c r="I21" s="598"/>
      <c r="J21" s="598"/>
      <c r="K21" s="358"/>
      <c r="L21" s="358"/>
      <c r="M21" s="358"/>
      <c r="N21" s="358"/>
      <c r="O21" s="358"/>
      <c r="P21" s="358"/>
      <c r="T21" s="148"/>
    </row>
    <row r="22" spans="1:22" ht="15.75">
      <c r="A22" s="332"/>
      <c r="B22" s="332"/>
      <c r="C22" s="332"/>
      <c r="D22" s="357"/>
      <c r="E22" s="598"/>
      <c r="F22" s="598"/>
      <c r="G22" s="598"/>
      <c r="H22" s="598"/>
      <c r="I22" s="598"/>
      <c r="J22" s="598"/>
      <c r="K22" s="359"/>
      <c r="L22" s="359"/>
      <c r="M22" s="359"/>
      <c r="N22" s="359"/>
      <c r="O22" s="359"/>
      <c r="P22" s="359"/>
      <c r="V22" s="148"/>
    </row>
    <row r="23" spans="1:19" ht="14.25">
      <c r="A23" s="1353" t="s">
        <v>354</v>
      </c>
      <c r="B23" s="1353"/>
      <c r="C23" s="1353"/>
      <c r="D23" s="1353"/>
      <c r="E23" s="1353"/>
      <c r="F23" s="1353"/>
      <c r="G23" s="1353"/>
      <c r="H23" s="1353"/>
      <c r="I23" s="1353"/>
      <c r="J23" s="1353"/>
      <c r="K23" s="1353"/>
      <c r="L23" s="1353"/>
      <c r="M23" s="1353"/>
      <c r="N23" s="1353"/>
      <c r="O23" s="1353"/>
      <c r="P23" s="1353"/>
      <c r="Q23" s="1353"/>
      <c r="R23" s="1353"/>
      <c r="S23" s="1353"/>
    </row>
    <row r="24" spans="1:16" ht="13.5" thickBot="1">
      <c r="A24" s="331"/>
      <c r="B24" s="331"/>
      <c r="C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1:22" ht="29.25" customHeight="1" thickBot="1">
      <c r="A25" s="335" t="s">
        <v>1</v>
      </c>
      <c r="B25" s="336"/>
      <c r="C25" s="446" t="s">
        <v>355</v>
      </c>
      <c r="D25" s="337" t="s">
        <v>350</v>
      </c>
      <c r="E25" s="1354" t="s">
        <v>4</v>
      </c>
      <c r="F25" s="1355"/>
      <c r="G25" s="1355"/>
      <c r="H25" s="1355"/>
      <c r="I25" s="1355"/>
      <c r="J25" s="1356"/>
      <c r="K25" s="1354" t="s">
        <v>351</v>
      </c>
      <c r="L25" s="1355"/>
      <c r="M25" s="1355"/>
      <c r="N25" s="1355"/>
      <c r="O25" s="1355"/>
      <c r="P25" s="1356"/>
      <c r="Q25" s="1354" t="s">
        <v>311</v>
      </c>
      <c r="R25" s="1355"/>
      <c r="S25" s="1355"/>
      <c r="T25" s="1355"/>
      <c r="U25" s="1355"/>
      <c r="V25" s="1356"/>
    </row>
    <row r="26" spans="1:17" ht="28.5" customHeight="1" hidden="1">
      <c r="A26" s="360"/>
      <c r="B26" s="361"/>
      <c r="C26" s="341"/>
      <c r="D26" s="362"/>
      <c r="E26" s="597"/>
      <c r="F26" s="597"/>
      <c r="G26" s="597"/>
      <c r="H26" s="597"/>
      <c r="I26" s="597"/>
      <c r="J26" s="597"/>
      <c r="K26" s="597"/>
      <c r="L26" s="717"/>
      <c r="M26" s="717"/>
      <c r="N26" s="717"/>
      <c r="O26" s="717"/>
      <c r="P26" s="717"/>
      <c r="Q26" s="338"/>
    </row>
    <row r="27" spans="1:22" ht="28.5" customHeight="1" thickBot="1">
      <c r="A27" s="360"/>
      <c r="B27" s="361"/>
      <c r="C27" s="341"/>
      <c r="D27" s="362"/>
      <c r="E27" s="517" t="s">
        <v>328</v>
      </c>
      <c r="F27" s="517" t="s">
        <v>7</v>
      </c>
      <c r="G27" s="517" t="s">
        <v>485</v>
      </c>
      <c r="H27" s="517" t="s">
        <v>496</v>
      </c>
      <c r="I27" s="643" t="s">
        <v>649</v>
      </c>
      <c r="J27" s="643" t="s">
        <v>650</v>
      </c>
      <c r="K27" s="643" t="s">
        <v>328</v>
      </c>
      <c r="L27" s="517" t="s">
        <v>7</v>
      </c>
      <c r="M27" s="517" t="s">
        <v>485</v>
      </c>
      <c r="N27" s="517" t="s">
        <v>496</v>
      </c>
      <c r="O27" s="643" t="s">
        <v>649</v>
      </c>
      <c r="P27" s="643" t="s">
        <v>650</v>
      </c>
      <c r="Q27" s="517" t="s">
        <v>328</v>
      </c>
      <c r="R27" s="517" t="s">
        <v>7</v>
      </c>
      <c r="S27" s="517" t="s">
        <v>485</v>
      </c>
      <c r="T27" s="517" t="s">
        <v>496</v>
      </c>
      <c r="U27" s="643" t="s">
        <v>649</v>
      </c>
      <c r="V27" s="643" t="s">
        <v>650</v>
      </c>
    </row>
    <row r="28" spans="1:22" ht="29.25" customHeight="1">
      <c r="A28" s="363">
        <v>1</v>
      </c>
      <c r="B28" s="364" t="s">
        <v>356</v>
      </c>
      <c r="C28" s="345" t="s">
        <v>545</v>
      </c>
      <c r="D28" s="351" t="s">
        <v>316</v>
      </c>
      <c r="E28" s="347">
        <f>400000*1.27</f>
        <v>508000</v>
      </c>
      <c r="F28" s="347">
        <f>400000*1.27</f>
        <v>508000</v>
      </c>
      <c r="G28" s="347">
        <f>400000*1.27</f>
        <v>508000</v>
      </c>
      <c r="H28" s="478">
        <v>0</v>
      </c>
      <c r="I28" s="516"/>
      <c r="J28" s="516"/>
      <c r="K28" s="347">
        <v>0</v>
      </c>
      <c r="L28" s="347">
        <v>0</v>
      </c>
      <c r="M28" s="347">
        <v>0</v>
      </c>
      <c r="N28" s="347">
        <v>0</v>
      </c>
      <c r="O28" s="347">
        <v>0</v>
      </c>
      <c r="P28" s="516"/>
      <c r="Q28" s="352">
        <f aca="true" t="shared" si="4" ref="Q28:U32">+E28-K28</f>
        <v>508000</v>
      </c>
      <c r="R28" s="352">
        <f t="shared" si="4"/>
        <v>508000</v>
      </c>
      <c r="S28" s="352">
        <f t="shared" si="4"/>
        <v>508000</v>
      </c>
      <c r="T28" s="352">
        <f t="shared" si="4"/>
        <v>0</v>
      </c>
      <c r="U28" s="352">
        <f t="shared" si="4"/>
        <v>0</v>
      </c>
      <c r="V28" s="516"/>
    </row>
    <row r="29" spans="1:22" ht="29.25" customHeight="1">
      <c r="A29" s="365">
        <v>2</v>
      </c>
      <c r="B29" s="366" t="s">
        <v>356</v>
      </c>
      <c r="C29" s="345" t="s">
        <v>479</v>
      </c>
      <c r="D29" s="367" t="s">
        <v>316</v>
      </c>
      <c r="E29" s="516">
        <v>33138445</v>
      </c>
      <c r="F29" s="516">
        <f>33138445+378000</f>
        <v>33516445</v>
      </c>
      <c r="G29" s="516">
        <f>33138445+378000</f>
        <v>33516445</v>
      </c>
      <c r="H29" s="516">
        <f>33138445+378000-55000</f>
        <v>33461445</v>
      </c>
      <c r="I29" s="516">
        <f>25935902+6747544</f>
        <v>32683446</v>
      </c>
      <c r="J29" s="940">
        <f>+I29/H29</f>
        <v>0.9767493902310554</v>
      </c>
      <c r="K29" s="347">
        <v>27505550</v>
      </c>
      <c r="L29" s="347">
        <v>29123524</v>
      </c>
      <c r="M29" s="347">
        <v>29123524</v>
      </c>
      <c r="N29" s="347">
        <f>29123524-(55000*0.9)</f>
        <v>29074024</v>
      </c>
      <c r="O29" s="1260">
        <f>29123524-(55000*0.9)</f>
        <v>29074024</v>
      </c>
      <c r="P29" s="940">
        <f>+O29/N29</f>
        <v>1</v>
      </c>
      <c r="Q29" s="352">
        <f t="shared" si="4"/>
        <v>5632895</v>
      </c>
      <c r="R29" s="352">
        <f t="shared" si="4"/>
        <v>4392921</v>
      </c>
      <c r="S29" s="352">
        <f t="shared" si="4"/>
        <v>4392921</v>
      </c>
      <c r="T29" s="352">
        <f t="shared" si="4"/>
        <v>4387421</v>
      </c>
      <c r="U29" s="352">
        <f t="shared" si="4"/>
        <v>3609422</v>
      </c>
      <c r="V29" s="940">
        <f>+U29/T29</f>
        <v>0.8226750977396516</v>
      </c>
    </row>
    <row r="30" spans="1:22" ht="29.25" customHeight="1">
      <c r="A30" s="365">
        <v>3</v>
      </c>
      <c r="B30" s="366" t="s">
        <v>356</v>
      </c>
      <c r="C30" s="345" t="s">
        <v>544</v>
      </c>
      <c r="D30" s="351" t="s">
        <v>316</v>
      </c>
      <c r="E30" s="347">
        <f>516060*1.27</f>
        <v>655396.2</v>
      </c>
      <c r="F30" s="347">
        <f>516060*1.27</f>
        <v>655396.2</v>
      </c>
      <c r="G30" s="347">
        <f>516060*1.27</f>
        <v>655396.2</v>
      </c>
      <c r="H30" s="516">
        <v>0</v>
      </c>
      <c r="I30" s="516"/>
      <c r="J30" s="940"/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940"/>
      <c r="Q30" s="352">
        <f t="shared" si="4"/>
        <v>655396.2</v>
      </c>
      <c r="R30" s="352">
        <f t="shared" si="4"/>
        <v>655396.2</v>
      </c>
      <c r="S30" s="352">
        <f t="shared" si="4"/>
        <v>655396.2</v>
      </c>
      <c r="T30" s="352">
        <f t="shared" si="4"/>
        <v>0</v>
      </c>
      <c r="U30" s="352">
        <f t="shared" si="4"/>
        <v>0</v>
      </c>
      <c r="V30" s="940"/>
    </row>
    <row r="31" spans="1:22" ht="29.25" customHeight="1">
      <c r="A31" s="365">
        <v>4</v>
      </c>
      <c r="B31" s="366" t="s">
        <v>356</v>
      </c>
      <c r="C31" s="642" t="s">
        <v>548</v>
      </c>
      <c r="D31" s="367" t="s">
        <v>316</v>
      </c>
      <c r="E31" s="350">
        <v>1058743</v>
      </c>
      <c r="F31" s="350">
        <v>1058743</v>
      </c>
      <c r="G31" s="350">
        <v>1058743</v>
      </c>
      <c r="H31" s="350">
        <v>1058743</v>
      </c>
      <c r="I31" s="350">
        <v>1058743</v>
      </c>
      <c r="J31" s="940">
        <f>+I31/H31</f>
        <v>1</v>
      </c>
      <c r="K31" s="350">
        <v>1058743</v>
      </c>
      <c r="L31" s="350">
        <v>1058743</v>
      </c>
      <c r="M31" s="350">
        <v>1058743</v>
      </c>
      <c r="N31" s="350">
        <v>1058743</v>
      </c>
      <c r="O31" s="350">
        <v>1058743</v>
      </c>
      <c r="P31" s="940">
        <f>+O31/N31</f>
        <v>1</v>
      </c>
      <c r="Q31" s="352">
        <f t="shared" si="4"/>
        <v>0</v>
      </c>
      <c r="R31" s="352">
        <f t="shared" si="4"/>
        <v>0</v>
      </c>
      <c r="S31" s="352">
        <f t="shared" si="4"/>
        <v>0</v>
      </c>
      <c r="T31" s="352">
        <f t="shared" si="4"/>
        <v>0</v>
      </c>
      <c r="U31" s="352">
        <f t="shared" si="4"/>
        <v>0</v>
      </c>
      <c r="V31" s="940"/>
    </row>
    <row r="32" spans="1:22" ht="29.25" customHeight="1" thickBot="1">
      <c r="A32" s="365">
        <v>5</v>
      </c>
      <c r="B32" s="366" t="s">
        <v>356</v>
      </c>
      <c r="C32" s="345" t="s">
        <v>549</v>
      </c>
      <c r="D32" s="367" t="s">
        <v>316</v>
      </c>
      <c r="E32" s="350">
        <v>21900727</v>
      </c>
      <c r="F32" s="350">
        <v>21900727</v>
      </c>
      <c r="G32" s="350">
        <v>21900727</v>
      </c>
      <c r="H32" s="350">
        <v>21900727</v>
      </c>
      <c r="I32" s="350">
        <f>17352667+4548060</f>
        <v>21900727</v>
      </c>
      <c r="J32" s="940">
        <f>+I32/H32</f>
        <v>1</v>
      </c>
      <c r="K32" s="350">
        <v>18615617</v>
      </c>
      <c r="L32" s="350">
        <v>18615617</v>
      </c>
      <c r="M32" s="350">
        <v>18615617</v>
      </c>
      <c r="N32" s="350">
        <v>18615617</v>
      </c>
      <c r="O32" s="350">
        <v>18615617</v>
      </c>
      <c r="P32" s="940">
        <f>+O32/N32</f>
        <v>1</v>
      </c>
      <c r="Q32" s="352">
        <f t="shared" si="4"/>
        <v>3285110</v>
      </c>
      <c r="R32" s="352">
        <f t="shared" si="4"/>
        <v>3285110</v>
      </c>
      <c r="S32" s="352">
        <f t="shared" si="4"/>
        <v>3285110</v>
      </c>
      <c r="T32" s="352">
        <f t="shared" si="4"/>
        <v>3285110</v>
      </c>
      <c r="U32" s="352">
        <f t="shared" si="4"/>
        <v>3285110</v>
      </c>
      <c r="V32" s="940">
        <f>+U32/T32</f>
        <v>1</v>
      </c>
    </row>
    <row r="33" spans="1:22" ht="29.25" customHeight="1" hidden="1">
      <c r="A33" s="365"/>
      <c r="B33" s="366"/>
      <c r="C33" s="345"/>
      <c r="D33" s="36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8"/>
      <c r="R33" s="348"/>
      <c r="S33" s="348"/>
      <c r="T33" s="348"/>
      <c r="U33" s="348"/>
      <c r="V33" s="349"/>
    </row>
    <row r="34" spans="1:22" ht="29.25" customHeight="1" hidden="1" thickBot="1">
      <c r="A34" s="365"/>
      <c r="B34" s="354"/>
      <c r="C34" s="369"/>
      <c r="D34" s="346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8"/>
      <c r="R34" s="348"/>
      <c r="S34" s="348"/>
      <c r="T34" s="348"/>
      <c r="U34" s="348"/>
      <c r="V34" s="349"/>
    </row>
    <row r="35" spans="1:22" ht="29.25" customHeight="1" thickBot="1">
      <c r="A35" s="1357" t="s">
        <v>290</v>
      </c>
      <c r="B35" s="1357"/>
      <c r="C35" s="1357"/>
      <c r="D35" s="355"/>
      <c r="E35" s="356">
        <f aca="true" t="shared" si="5" ref="E35:R35">SUM(E28:E34)</f>
        <v>57261311.2</v>
      </c>
      <c r="F35" s="356">
        <f t="shared" si="5"/>
        <v>57639311.2</v>
      </c>
      <c r="G35" s="356">
        <f>SUM(G28:G34)</f>
        <v>57639311.2</v>
      </c>
      <c r="H35" s="356">
        <f t="shared" si="5"/>
        <v>56420915</v>
      </c>
      <c r="I35" s="356">
        <f t="shared" si="5"/>
        <v>55642916</v>
      </c>
      <c r="J35" s="941">
        <f>+I35/H35</f>
        <v>0.986210804982514</v>
      </c>
      <c r="K35" s="356">
        <f t="shared" si="5"/>
        <v>47179910</v>
      </c>
      <c r="L35" s="356">
        <f t="shared" si="5"/>
        <v>48797884</v>
      </c>
      <c r="M35" s="356">
        <f>SUM(M28:M34)</f>
        <v>48797884</v>
      </c>
      <c r="N35" s="356">
        <f>SUM(N28:N34)</f>
        <v>48748384</v>
      </c>
      <c r="O35" s="356">
        <f>SUM(O28:O34)</f>
        <v>48748384</v>
      </c>
      <c r="P35" s="941">
        <f>+O35/N35</f>
        <v>1</v>
      </c>
      <c r="Q35" s="644">
        <f t="shared" si="5"/>
        <v>10081401.2</v>
      </c>
      <c r="R35" s="644">
        <f t="shared" si="5"/>
        <v>8841427.2</v>
      </c>
      <c r="S35" s="644">
        <f>SUM(S28:S34)</f>
        <v>8841427.2</v>
      </c>
      <c r="T35" s="644">
        <f>SUM(T28:T34)</f>
        <v>7672531</v>
      </c>
      <c r="U35" s="644">
        <f>SUM(U28:U34)</f>
        <v>6894532</v>
      </c>
      <c r="V35" s="941">
        <f>+U35/T35</f>
        <v>0.8985994321821573</v>
      </c>
    </row>
    <row r="37" ht="12.75">
      <c r="K37" s="148"/>
    </row>
    <row r="38" spans="11:16" ht="12.75">
      <c r="K38" s="148"/>
      <c r="L38" s="148"/>
      <c r="M38" s="148"/>
      <c r="N38" s="148"/>
      <c r="O38" s="148"/>
      <c r="P38" s="148"/>
    </row>
  </sheetData>
  <sheetProtection selectLockedCells="1" selectUnlockedCells="1"/>
  <mergeCells count="11">
    <mergeCell ref="K25:P25"/>
    <mergeCell ref="A1:S1"/>
    <mergeCell ref="A3:S3"/>
    <mergeCell ref="A23:S23"/>
    <mergeCell ref="Q5:V5"/>
    <mergeCell ref="Q25:V25"/>
    <mergeCell ref="A35:C35"/>
    <mergeCell ref="A20:C20"/>
    <mergeCell ref="E5:J5"/>
    <mergeCell ref="E25:J25"/>
    <mergeCell ref="K5:P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59" r:id="rId1"/>
  <headerFooter alignWithMargins="0">
    <oddHeader>&amp;R6/a.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D2" sqref="D2:I2"/>
    </sheetView>
  </sheetViews>
  <sheetFormatPr defaultColWidth="9.140625" defaultRowHeight="12.75"/>
  <cols>
    <col min="1" max="1" width="6.57421875" style="864" customWidth="1"/>
    <col min="2" max="2" width="26.7109375" style="865" customWidth="1"/>
    <col min="3" max="3" width="28.28125" style="865" customWidth="1"/>
    <col min="4" max="4" width="5.00390625" style="864" customWidth="1"/>
    <col min="5" max="5" width="14.57421875" style="864" customWidth="1"/>
    <col min="6" max="6" width="14.57421875" style="864" hidden="1" customWidth="1"/>
    <col min="7" max="7" width="12.8515625" style="864" hidden="1" customWidth="1"/>
    <col min="8" max="8" width="13.57421875" style="864" customWidth="1"/>
    <col min="9" max="9" width="12.57421875" style="864" customWidth="1"/>
    <col min="10" max="10" width="13.8515625" style="864" customWidth="1"/>
    <col min="11" max="16384" width="9.140625" style="864" customWidth="1"/>
  </cols>
  <sheetData>
    <row r="1" spans="4:9" ht="12.75">
      <c r="D1" s="1361" t="s">
        <v>958</v>
      </c>
      <c r="E1" s="1361"/>
      <c r="F1" s="1361"/>
      <c r="G1" s="1361"/>
      <c r="H1" s="1361"/>
      <c r="I1" s="1361"/>
    </row>
    <row r="2" spans="2:9" ht="12.75">
      <c r="B2" s="866"/>
      <c r="D2" s="1362"/>
      <c r="E2" s="1362"/>
      <c r="F2" s="1362"/>
      <c r="G2" s="1362"/>
      <c r="H2" s="1362"/>
      <c r="I2" s="1362"/>
    </row>
    <row r="3" ht="12.75">
      <c r="B3" s="866"/>
    </row>
    <row r="4" spans="1:6" ht="18">
      <c r="A4" s="1363" t="s">
        <v>609</v>
      </c>
      <c r="B4" s="1363"/>
      <c r="C4" s="1363"/>
      <c r="D4" s="1363"/>
      <c r="E4" s="1363"/>
      <c r="F4" s="867"/>
    </row>
    <row r="5" spans="1:6" ht="18">
      <c r="A5" s="1363" t="s">
        <v>610</v>
      </c>
      <c r="B5" s="1363"/>
      <c r="C5" s="1363"/>
      <c r="D5" s="1363"/>
      <c r="E5" s="1363"/>
      <c r="F5" s="867"/>
    </row>
    <row r="6" spans="1:6" ht="18">
      <c r="A6" s="867"/>
      <c r="B6" s="868"/>
      <c r="C6" s="868"/>
      <c r="D6" s="867"/>
      <c r="E6" s="867"/>
      <c r="F6" s="867"/>
    </row>
    <row r="7" spans="1:6" ht="15.75">
      <c r="A7" s="1364" t="s">
        <v>956</v>
      </c>
      <c r="B7" s="1364"/>
      <c r="C7" s="1364"/>
      <c r="D7" s="1364"/>
      <c r="E7" s="1364"/>
      <c r="F7" s="869"/>
    </row>
    <row r="8" spans="1:10" ht="16.5" thickBot="1">
      <c r="A8" s="870"/>
      <c r="B8" s="866"/>
      <c r="C8" s="871"/>
      <c r="D8" s="869"/>
      <c r="E8" s="872" t="s">
        <v>478</v>
      </c>
      <c r="F8" s="873"/>
      <c r="G8" s="1365" t="s">
        <v>611</v>
      </c>
      <c r="H8" s="1365"/>
      <c r="I8" s="1365"/>
      <c r="J8" s="1365"/>
    </row>
    <row r="9" spans="1:11" ht="45.75" customHeight="1" thickBot="1">
      <c r="A9" s="874" t="s">
        <v>612</v>
      </c>
      <c r="B9" s="875" t="s">
        <v>613</v>
      </c>
      <c r="C9" s="875" t="s">
        <v>614</v>
      </c>
      <c r="D9" s="876" t="s">
        <v>615</v>
      </c>
      <c r="E9" s="877" t="s">
        <v>616</v>
      </c>
      <c r="F9" s="875" t="s">
        <v>135</v>
      </c>
      <c r="G9" s="875" t="s">
        <v>136</v>
      </c>
      <c r="H9" s="875" t="s">
        <v>137</v>
      </c>
      <c r="I9" s="875" t="s">
        <v>286</v>
      </c>
      <c r="J9" s="875" t="s">
        <v>291</v>
      </c>
      <c r="K9" s="878"/>
    </row>
    <row r="10" spans="1:10" ht="30" customHeight="1" thickBot="1">
      <c r="A10" s="879">
        <v>1</v>
      </c>
      <c r="B10" s="899" t="s">
        <v>623</v>
      </c>
      <c r="C10" s="899" t="s">
        <v>624</v>
      </c>
      <c r="D10" s="900" t="s">
        <v>567</v>
      </c>
      <c r="E10" s="881"/>
      <c r="F10" s="881"/>
      <c r="G10" s="881">
        <v>74999</v>
      </c>
      <c r="H10" s="881">
        <v>74999</v>
      </c>
      <c r="I10" s="881">
        <v>74999</v>
      </c>
      <c r="J10" s="942">
        <f>+I10/H10</f>
        <v>1</v>
      </c>
    </row>
    <row r="11" spans="1:10" ht="30" customHeight="1" hidden="1" thickBot="1">
      <c r="A11" s="882">
        <v>2</v>
      </c>
      <c r="B11" s="880"/>
      <c r="C11" s="883"/>
      <c r="D11" s="884"/>
      <c r="E11" s="885"/>
      <c r="F11" s="885"/>
      <c r="G11" s="885"/>
      <c r="H11" s="885"/>
      <c r="I11" s="885"/>
      <c r="J11" s="885"/>
    </row>
    <row r="12" spans="1:10" ht="30" customHeight="1" hidden="1">
      <c r="A12" s="882">
        <v>3</v>
      </c>
      <c r="B12" s="880"/>
      <c r="C12" s="883"/>
      <c r="D12" s="884"/>
      <c r="E12" s="885"/>
      <c r="F12" s="885"/>
      <c r="G12" s="885"/>
      <c r="H12" s="885"/>
      <c r="I12" s="885"/>
      <c r="J12" s="885"/>
    </row>
    <row r="13" spans="1:14" ht="30" customHeight="1" hidden="1">
      <c r="A13" s="882">
        <v>2</v>
      </c>
      <c r="B13" s="883"/>
      <c r="C13" s="886"/>
      <c r="D13" s="887"/>
      <c r="E13" s="885"/>
      <c r="F13" s="885"/>
      <c r="G13" s="885"/>
      <c r="H13" s="885"/>
      <c r="I13" s="885"/>
      <c r="J13" s="885"/>
      <c r="K13" s="878"/>
      <c r="N13" s="878"/>
    </row>
    <row r="14" spans="1:10" ht="30" customHeight="1" hidden="1" thickBot="1">
      <c r="A14" s="882">
        <v>3</v>
      </c>
      <c r="B14" s="883"/>
      <c r="C14" s="888"/>
      <c r="D14" s="887"/>
      <c r="E14" s="885"/>
      <c r="F14" s="885"/>
      <c r="G14" s="885"/>
      <c r="H14" s="885"/>
      <c r="I14" s="885"/>
      <c r="J14" s="885"/>
    </row>
    <row r="15" spans="1:10" ht="30" customHeight="1" hidden="1">
      <c r="A15" s="889">
        <v>4</v>
      </c>
      <c r="B15" s="883" t="s">
        <v>617</v>
      </c>
      <c r="C15" s="888" t="s">
        <v>618</v>
      </c>
      <c r="D15" s="890" t="s">
        <v>567</v>
      </c>
      <c r="E15" s="891"/>
      <c r="F15" s="891"/>
      <c r="G15" s="891"/>
      <c r="H15" s="891"/>
      <c r="I15" s="891"/>
      <c r="J15" s="891"/>
    </row>
    <row r="16" spans="1:10" ht="30" customHeight="1" hidden="1">
      <c r="A16" s="882">
        <v>6</v>
      </c>
      <c r="B16" s="883" t="s">
        <v>617</v>
      </c>
      <c r="C16" s="888" t="s">
        <v>619</v>
      </c>
      <c r="D16" s="890" t="s">
        <v>567</v>
      </c>
      <c r="E16" s="891"/>
      <c r="F16" s="891"/>
      <c r="G16" s="891"/>
      <c r="H16" s="891"/>
      <c r="I16" s="891"/>
      <c r="J16" s="891"/>
    </row>
    <row r="17" spans="1:10" ht="30" customHeight="1" hidden="1">
      <c r="A17" s="889">
        <v>6</v>
      </c>
      <c r="B17" s="883" t="s">
        <v>617</v>
      </c>
      <c r="C17" s="888" t="s">
        <v>620</v>
      </c>
      <c r="D17" s="892" t="s">
        <v>567</v>
      </c>
      <c r="E17" s="891"/>
      <c r="F17" s="891"/>
      <c r="G17" s="891"/>
      <c r="H17" s="891"/>
      <c r="I17" s="891"/>
      <c r="J17" s="891"/>
    </row>
    <row r="18" spans="1:10" ht="36.75" customHeight="1" hidden="1">
      <c r="A18" s="882">
        <v>7</v>
      </c>
      <c r="B18" s="883" t="s">
        <v>617</v>
      </c>
      <c r="C18" s="888" t="s">
        <v>621</v>
      </c>
      <c r="D18" s="892" t="s">
        <v>567</v>
      </c>
      <c r="E18" s="891"/>
      <c r="F18" s="891"/>
      <c r="G18" s="891"/>
      <c r="H18" s="891"/>
      <c r="I18" s="891"/>
      <c r="J18" s="891"/>
    </row>
    <row r="19" spans="1:10" ht="36.75" customHeight="1" hidden="1">
      <c r="A19" s="893">
        <v>8</v>
      </c>
      <c r="B19" s="883" t="s">
        <v>617</v>
      </c>
      <c r="C19" s="888" t="s">
        <v>622</v>
      </c>
      <c r="D19" s="892" t="s">
        <v>567</v>
      </c>
      <c r="E19" s="891"/>
      <c r="F19" s="891"/>
      <c r="G19" s="891"/>
      <c r="H19" s="891"/>
      <c r="I19" s="891"/>
      <c r="J19" s="891"/>
    </row>
    <row r="20" spans="1:10" ht="36.75" customHeight="1" hidden="1" thickBot="1">
      <c r="A20" s="893"/>
      <c r="B20" s="888"/>
      <c r="C20" s="888"/>
      <c r="D20" s="892" t="s">
        <v>571</v>
      </c>
      <c r="E20" s="891"/>
      <c r="F20" s="891"/>
      <c r="G20" s="891"/>
      <c r="H20" s="891"/>
      <c r="I20" s="891"/>
      <c r="J20" s="891"/>
    </row>
    <row r="21" spans="1:10" s="897" customFormat="1" ht="30" customHeight="1" thickBot="1">
      <c r="A21" s="1359" t="s">
        <v>290</v>
      </c>
      <c r="B21" s="1360"/>
      <c r="C21" s="894"/>
      <c r="D21" s="895"/>
      <c r="E21" s="896">
        <f aca="true" t="shared" si="0" ref="E21:J21">SUM(E10:E20)</f>
        <v>0</v>
      </c>
      <c r="F21" s="896">
        <f t="shared" si="0"/>
        <v>0</v>
      </c>
      <c r="G21" s="896">
        <f t="shared" si="0"/>
        <v>74999</v>
      </c>
      <c r="H21" s="896">
        <f>SUM(H10:H20)</f>
        <v>74999</v>
      </c>
      <c r="I21" s="896">
        <f>SUM(I10:I20)</f>
        <v>74999</v>
      </c>
      <c r="J21" s="943">
        <f t="shared" si="0"/>
        <v>1</v>
      </c>
    </row>
    <row r="23" spans="5:6" ht="12.75">
      <c r="E23" s="898"/>
      <c r="F23" s="898"/>
    </row>
  </sheetData>
  <sheetProtection/>
  <mergeCells count="7">
    <mergeCell ref="A21:B21"/>
    <mergeCell ref="D1:I1"/>
    <mergeCell ref="D2:I2"/>
    <mergeCell ref="A4:E4"/>
    <mergeCell ref="A5:E5"/>
    <mergeCell ref="A7:E7"/>
    <mergeCell ref="G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7">
      <selection activeCell="A2" sqref="A2:J2"/>
    </sheetView>
  </sheetViews>
  <sheetFormatPr defaultColWidth="9.140625" defaultRowHeight="12.75"/>
  <cols>
    <col min="1" max="1" width="9.140625" style="947" customWidth="1"/>
    <col min="2" max="2" width="12.00390625" style="947" customWidth="1"/>
    <col min="3" max="3" width="41.7109375" style="947" customWidth="1"/>
    <col min="4" max="4" width="12.7109375" style="947" customWidth="1"/>
    <col min="5" max="6" width="12.7109375" style="947" hidden="1" customWidth="1"/>
    <col min="7" max="9" width="12.7109375" style="947" customWidth="1"/>
    <col min="10" max="10" width="14.57421875" style="951" customWidth="1"/>
    <col min="11" max="12" width="14.57421875" style="951" hidden="1" customWidth="1"/>
    <col min="13" max="15" width="14.57421875" style="951" customWidth="1"/>
    <col min="16" max="16" width="11.57421875" style="947" customWidth="1"/>
    <col min="17" max="17" width="12.00390625" style="947" hidden="1" customWidth="1"/>
    <col min="18" max="18" width="11.57421875" style="947" hidden="1" customWidth="1"/>
    <col min="19" max="19" width="13.7109375" style="947" customWidth="1"/>
    <col min="20" max="20" width="10.28125" style="947" bestFit="1" customWidth="1"/>
    <col min="21" max="16384" width="9.140625" style="947" customWidth="1"/>
  </cols>
  <sheetData>
    <row r="1" spans="3:15" ht="15">
      <c r="C1" s="952"/>
      <c r="D1" s="946"/>
      <c r="E1" s="946"/>
      <c r="F1" s="946"/>
      <c r="G1" s="946"/>
      <c r="H1" s="946"/>
      <c r="I1" s="946"/>
      <c r="J1" s="953"/>
      <c r="K1" s="953"/>
      <c r="L1" s="953"/>
      <c r="M1" s="953"/>
      <c r="N1" s="953"/>
      <c r="O1" s="953"/>
    </row>
    <row r="2" spans="1:15" ht="31.5" customHeight="1">
      <c r="A2" s="1375" t="s">
        <v>440</v>
      </c>
      <c r="B2" s="1375"/>
      <c r="C2" s="1375"/>
      <c r="D2" s="1375"/>
      <c r="E2" s="1375"/>
      <c r="F2" s="1375"/>
      <c r="G2" s="1375"/>
      <c r="H2" s="1375"/>
      <c r="I2" s="1375"/>
      <c r="J2" s="1375"/>
      <c r="K2" s="954"/>
      <c r="L2" s="954"/>
      <c r="M2" s="954"/>
      <c r="N2" s="954"/>
      <c r="O2" s="954"/>
    </row>
    <row r="3" spans="1:15" ht="15" customHeight="1">
      <c r="A3" s="1375" t="s">
        <v>513</v>
      </c>
      <c r="B3" s="1375"/>
      <c r="C3" s="1375"/>
      <c r="D3" s="1375"/>
      <c r="E3" s="1375"/>
      <c r="F3" s="1375"/>
      <c r="G3" s="1375"/>
      <c r="H3" s="1375"/>
      <c r="I3" s="1375"/>
      <c r="J3" s="1375"/>
      <c r="K3" s="954"/>
      <c r="L3" s="954"/>
      <c r="M3" s="954"/>
      <c r="N3" s="954"/>
      <c r="O3" s="954"/>
    </row>
    <row r="4" spans="1:15" ht="15" customHeight="1">
      <c r="A4" s="1375" t="s">
        <v>295</v>
      </c>
      <c r="B4" s="1375"/>
      <c r="C4" s="1375"/>
      <c r="D4" s="1375"/>
      <c r="E4" s="1375"/>
      <c r="F4" s="1375"/>
      <c r="G4" s="1375"/>
      <c r="H4" s="1375"/>
      <c r="I4" s="1375"/>
      <c r="J4" s="1375"/>
      <c r="K4" s="954"/>
      <c r="L4" s="954"/>
      <c r="M4" s="954"/>
      <c r="N4" s="954"/>
      <c r="O4" s="954"/>
    </row>
    <row r="5" spans="2:21" ht="15.75" thickBot="1">
      <c r="B5" s="955"/>
      <c r="C5" s="955"/>
      <c r="P5" s="1369" t="s">
        <v>478</v>
      </c>
      <c r="Q5" s="1369"/>
      <c r="R5" s="1369"/>
      <c r="S5" s="1369"/>
      <c r="T5" s="1369"/>
      <c r="U5" s="1369"/>
    </row>
    <row r="6" spans="1:21" s="957" customFormat="1" ht="41.25" customHeight="1" thickBot="1">
      <c r="A6" s="956" t="s">
        <v>1</v>
      </c>
      <c r="B6" s="1370" t="s">
        <v>133</v>
      </c>
      <c r="C6" s="1370"/>
      <c r="D6" s="1366" t="s">
        <v>4</v>
      </c>
      <c r="E6" s="1367"/>
      <c r="F6" s="1367"/>
      <c r="G6" s="1367"/>
      <c r="H6" s="1367"/>
      <c r="I6" s="1368"/>
      <c r="J6" s="1366" t="s">
        <v>243</v>
      </c>
      <c r="K6" s="1367"/>
      <c r="L6" s="1367"/>
      <c r="M6" s="1367"/>
      <c r="N6" s="1367"/>
      <c r="O6" s="1368"/>
      <c r="P6" s="1366" t="s">
        <v>296</v>
      </c>
      <c r="Q6" s="1367"/>
      <c r="R6" s="1367"/>
      <c r="S6" s="1367"/>
      <c r="T6" s="1367"/>
      <c r="U6" s="1368"/>
    </row>
    <row r="7" spans="1:21" s="957" customFormat="1" ht="27" customHeight="1" thickBot="1">
      <c r="A7" s="958"/>
      <c r="B7" s="289"/>
      <c r="C7" s="289"/>
      <c r="D7" s="507" t="s">
        <v>6</v>
      </c>
      <c r="E7" s="507" t="s">
        <v>135</v>
      </c>
      <c r="F7" s="507" t="s">
        <v>136</v>
      </c>
      <c r="G7" s="507" t="s">
        <v>137</v>
      </c>
      <c r="H7" s="507" t="s">
        <v>286</v>
      </c>
      <c r="I7" s="507" t="s">
        <v>291</v>
      </c>
      <c r="J7" s="507" t="s">
        <v>6</v>
      </c>
      <c r="K7" s="507" t="s">
        <v>135</v>
      </c>
      <c r="L7" s="507" t="s">
        <v>136</v>
      </c>
      <c r="M7" s="507" t="s">
        <v>137</v>
      </c>
      <c r="N7" s="507" t="s">
        <v>286</v>
      </c>
      <c r="O7" s="507" t="s">
        <v>291</v>
      </c>
      <c r="P7" s="507" t="s">
        <v>6</v>
      </c>
      <c r="Q7" s="507" t="s">
        <v>135</v>
      </c>
      <c r="R7" s="507" t="s">
        <v>136</v>
      </c>
      <c r="S7" s="507" t="s">
        <v>137</v>
      </c>
      <c r="T7" s="507" t="s">
        <v>286</v>
      </c>
      <c r="U7" s="507" t="s">
        <v>291</v>
      </c>
    </row>
    <row r="8" spans="1:21" s="957" customFormat="1" ht="36" customHeight="1" thickBot="1">
      <c r="A8" s="956">
        <v>1</v>
      </c>
      <c r="B8" s="1378" t="s">
        <v>472</v>
      </c>
      <c r="C8" s="1379"/>
      <c r="D8" s="639">
        <v>127000</v>
      </c>
      <c r="E8" s="639">
        <v>127000</v>
      </c>
      <c r="F8" s="639">
        <v>127000</v>
      </c>
      <c r="G8" s="639">
        <v>127000</v>
      </c>
      <c r="H8" s="639">
        <v>109039</v>
      </c>
      <c r="I8" s="944">
        <f>+H8/G8</f>
        <v>0.8585748031496063</v>
      </c>
      <c r="J8" s="639">
        <v>127000</v>
      </c>
      <c r="K8" s="639">
        <v>127000</v>
      </c>
      <c r="L8" s="639">
        <v>127000</v>
      </c>
      <c r="M8" s="639">
        <v>127000</v>
      </c>
      <c r="N8" s="639">
        <v>109039</v>
      </c>
      <c r="O8" s="944">
        <f>+N8/M8</f>
        <v>0.8585748031496063</v>
      </c>
      <c r="P8" s="959"/>
      <c r="Q8" s="959"/>
      <c r="R8" s="959"/>
      <c r="S8" s="959"/>
      <c r="T8" s="959"/>
      <c r="U8" s="944"/>
    </row>
    <row r="9" spans="1:21" s="957" customFormat="1" ht="19.5" customHeight="1" thickBot="1">
      <c r="A9" s="960">
        <v>2</v>
      </c>
      <c r="B9" s="1381" t="s">
        <v>297</v>
      </c>
      <c r="C9" s="1382"/>
      <c r="D9" s="290">
        <v>482600</v>
      </c>
      <c r="E9" s="290">
        <v>482600</v>
      </c>
      <c r="F9" s="290">
        <v>482600</v>
      </c>
      <c r="G9" s="290">
        <v>482600</v>
      </c>
      <c r="H9" s="290">
        <v>381649</v>
      </c>
      <c r="I9" s="945">
        <f aca="true" t="shared" si="0" ref="I9:I29">+H9/G9</f>
        <v>0.7908184832159137</v>
      </c>
      <c r="J9" s="290">
        <v>482600</v>
      </c>
      <c r="K9" s="290">
        <v>482600</v>
      </c>
      <c r="L9" s="290">
        <v>482600</v>
      </c>
      <c r="M9" s="290">
        <v>482600</v>
      </c>
      <c r="N9" s="290">
        <v>381649</v>
      </c>
      <c r="O9" s="945">
        <f>+N9/M9</f>
        <v>0.7908184832159137</v>
      </c>
      <c r="P9" s="959"/>
      <c r="Q9" s="959"/>
      <c r="R9" s="959"/>
      <c r="S9" s="959"/>
      <c r="T9" s="959"/>
      <c r="U9" s="945"/>
    </row>
    <row r="10" spans="1:21" s="957" customFormat="1" ht="19.5" customHeight="1" thickBot="1">
      <c r="A10" s="956">
        <v>3</v>
      </c>
      <c r="B10" s="291" t="s">
        <v>298</v>
      </c>
      <c r="C10" s="638"/>
      <c r="D10" s="290">
        <v>578612</v>
      </c>
      <c r="E10" s="290">
        <v>578612</v>
      </c>
      <c r="F10" s="290">
        <v>578612</v>
      </c>
      <c r="G10" s="290">
        <v>0</v>
      </c>
      <c r="H10" s="290">
        <v>0</v>
      </c>
      <c r="I10" s="945"/>
      <c r="J10" s="290">
        <v>578612</v>
      </c>
      <c r="K10" s="290">
        <v>578612</v>
      </c>
      <c r="L10" s="290">
        <v>578612</v>
      </c>
      <c r="M10" s="290">
        <v>0</v>
      </c>
      <c r="N10" s="290">
        <v>0</v>
      </c>
      <c r="O10" s="945"/>
      <c r="P10" s="959"/>
      <c r="Q10" s="959"/>
      <c r="R10" s="959"/>
      <c r="S10" s="959"/>
      <c r="T10" s="959"/>
      <c r="U10" s="945"/>
    </row>
    <row r="11" spans="1:21" s="957" customFormat="1" ht="19.5" customHeight="1" thickBot="1">
      <c r="A11" s="960">
        <v>4</v>
      </c>
      <c r="B11" s="1371" t="s">
        <v>473</v>
      </c>
      <c r="C11" s="1372"/>
      <c r="D11" s="290">
        <v>2930406</v>
      </c>
      <c r="E11" s="290">
        <v>2930406</v>
      </c>
      <c r="F11" s="290">
        <v>2930406</v>
      </c>
      <c r="G11" s="290">
        <v>2648123</v>
      </c>
      <c r="H11" s="290">
        <v>2564239</v>
      </c>
      <c r="I11" s="945">
        <f t="shared" si="0"/>
        <v>0.9683232236569072</v>
      </c>
      <c r="J11" s="290">
        <v>2930406</v>
      </c>
      <c r="K11" s="290">
        <v>2930406</v>
      </c>
      <c r="L11" s="290">
        <v>2930406</v>
      </c>
      <c r="M11" s="290">
        <v>2648123</v>
      </c>
      <c r="N11" s="290">
        <v>2564239</v>
      </c>
      <c r="O11" s="945">
        <f aca="true" t="shared" si="1" ref="O11:O22">+N11/M11</f>
        <v>0.9683232236569072</v>
      </c>
      <c r="P11" s="959"/>
      <c r="Q11" s="959"/>
      <c r="R11" s="959"/>
      <c r="S11" s="959"/>
      <c r="T11" s="959"/>
      <c r="U11" s="945"/>
    </row>
    <row r="12" spans="1:21" s="957" customFormat="1" ht="19.5" customHeight="1" thickBot="1">
      <c r="A12" s="956">
        <v>5</v>
      </c>
      <c r="B12" s="1371" t="s">
        <v>299</v>
      </c>
      <c r="C12" s="1372"/>
      <c r="D12" s="290">
        <v>1092000</v>
      </c>
      <c r="E12" s="290">
        <v>1092000</v>
      </c>
      <c r="F12" s="290">
        <v>1092000</v>
      </c>
      <c r="G12" s="290">
        <v>892000</v>
      </c>
      <c r="H12" s="290">
        <v>651446</v>
      </c>
      <c r="I12" s="945">
        <f t="shared" si="0"/>
        <v>0.7303206278026906</v>
      </c>
      <c r="J12" s="290"/>
      <c r="K12" s="290"/>
      <c r="L12" s="290"/>
      <c r="M12" s="290"/>
      <c r="N12" s="290"/>
      <c r="O12" s="945"/>
      <c r="P12" s="290">
        <v>1092000</v>
      </c>
      <c r="Q12" s="290">
        <v>1092000</v>
      </c>
      <c r="R12" s="290">
        <v>1092000</v>
      </c>
      <c r="S12" s="290">
        <v>892000</v>
      </c>
      <c r="T12" s="290">
        <v>651446</v>
      </c>
      <c r="U12" s="945">
        <f>+T12/S12</f>
        <v>0.7303206278026906</v>
      </c>
    </row>
    <row r="13" spans="1:21" s="957" customFormat="1" ht="19.5" customHeight="1" thickBot="1">
      <c r="A13" s="960">
        <v>6</v>
      </c>
      <c r="B13" s="1371" t="s">
        <v>300</v>
      </c>
      <c r="C13" s="1372"/>
      <c r="D13" s="290">
        <v>1940738</v>
      </c>
      <c r="E13" s="290">
        <v>1940738</v>
      </c>
      <c r="F13" s="290">
        <v>1940738</v>
      </c>
      <c r="G13" s="290">
        <v>1940738</v>
      </c>
      <c r="H13" s="290">
        <v>106680</v>
      </c>
      <c r="I13" s="945">
        <f t="shared" si="0"/>
        <v>0.054968779917742634</v>
      </c>
      <c r="J13" s="290">
        <v>1940738</v>
      </c>
      <c r="K13" s="290">
        <v>1940738</v>
      </c>
      <c r="L13" s="290">
        <v>1940738</v>
      </c>
      <c r="M13" s="290">
        <v>1940738</v>
      </c>
      <c r="N13" s="290">
        <v>106680</v>
      </c>
      <c r="O13" s="945">
        <f t="shared" si="1"/>
        <v>0.054968779917742634</v>
      </c>
      <c r="P13" s="959"/>
      <c r="Q13" s="959"/>
      <c r="R13" s="959"/>
      <c r="S13" s="959"/>
      <c r="T13" s="959"/>
      <c r="U13" s="945"/>
    </row>
    <row r="14" spans="1:21" s="957" customFormat="1" ht="19.5" customHeight="1" thickBot="1">
      <c r="A14" s="956">
        <v>7</v>
      </c>
      <c r="B14" s="1371" t="s">
        <v>301</v>
      </c>
      <c r="C14" s="1372"/>
      <c r="D14" s="948">
        <v>1544320</v>
      </c>
      <c r="E14" s="948">
        <v>1544320</v>
      </c>
      <c r="F14" s="948">
        <v>1544320</v>
      </c>
      <c r="G14" s="948">
        <v>1244320</v>
      </c>
      <c r="H14" s="948">
        <v>1194865</v>
      </c>
      <c r="I14" s="961">
        <f t="shared" si="0"/>
        <v>0.960255400540054</v>
      </c>
      <c r="J14" s="948">
        <v>1544320</v>
      </c>
      <c r="K14" s="948">
        <v>1544320</v>
      </c>
      <c r="L14" s="948">
        <v>1544320</v>
      </c>
      <c r="M14" s="948">
        <v>1244320</v>
      </c>
      <c r="N14" s="948">
        <v>1194865</v>
      </c>
      <c r="O14" s="961">
        <f t="shared" si="1"/>
        <v>0.960255400540054</v>
      </c>
      <c r="P14" s="959"/>
      <c r="Q14" s="959"/>
      <c r="R14" s="959"/>
      <c r="S14" s="959"/>
      <c r="T14" s="959"/>
      <c r="U14" s="961"/>
    </row>
    <row r="15" spans="1:21" ht="19.5" customHeight="1" thickBot="1">
      <c r="A15" s="960">
        <v>8</v>
      </c>
      <c r="B15" s="962" t="s">
        <v>302</v>
      </c>
      <c r="C15" s="963"/>
      <c r="D15" s="948">
        <v>635000</v>
      </c>
      <c r="E15" s="948">
        <v>635000</v>
      </c>
      <c r="F15" s="948">
        <v>635000</v>
      </c>
      <c r="G15" s="948">
        <v>967063</v>
      </c>
      <c r="H15" s="948">
        <v>747679</v>
      </c>
      <c r="I15" s="961">
        <f t="shared" si="0"/>
        <v>0.7731440454241347</v>
      </c>
      <c r="J15" s="948">
        <v>635000</v>
      </c>
      <c r="K15" s="948">
        <v>635000</v>
      </c>
      <c r="L15" s="948">
        <v>635000</v>
      </c>
      <c r="M15" s="948">
        <v>967063</v>
      </c>
      <c r="N15" s="948">
        <v>747679</v>
      </c>
      <c r="O15" s="961">
        <f t="shared" si="1"/>
        <v>0.7731440454241347</v>
      </c>
      <c r="P15" s="964"/>
      <c r="Q15" s="964"/>
      <c r="R15" s="964"/>
      <c r="S15" s="964"/>
      <c r="T15" s="964"/>
      <c r="U15" s="961"/>
    </row>
    <row r="16" spans="1:21" ht="19.5" customHeight="1" thickBot="1">
      <c r="A16" s="956">
        <v>9</v>
      </c>
      <c r="B16" s="1371" t="s">
        <v>303</v>
      </c>
      <c r="C16" s="1372"/>
      <c r="D16" s="948">
        <v>2732509</v>
      </c>
      <c r="E16" s="948">
        <v>2909829</v>
      </c>
      <c r="F16" s="948">
        <v>3201285</v>
      </c>
      <c r="G16" s="948">
        <v>3851285</v>
      </c>
      <c r="H16" s="948">
        <v>3532561</v>
      </c>
      <c r="I16" s="961">
        <f t="shared" si="0"/>
        <v>0.9172421672247055</v>
      </c>
      <c r="J16" s="948">
        <v>2732509</v>
      </c>
      <c r="K16" s="948">
        <v>2909829</v>
      </c>
      <c r="L16" s="948">
        <v>3201285</v>
      </c>
      <c r="M16" s="948">
        <v>3851285</v>
      </c>
      <c r="N16" s="948">
        <v>3532561</v>
      </c>
      <c r="O16" s="961">
        <f t="shared" si="1"/>
        <v>0.9172421672247055</v>
      </c>
      <c r="P16" s="964"/>
      <c r="Q16" s="964"/>
      <c r="R16" s="964"/>
      <c r="S16" s="964"/>
      <c r="T16" s="964"/>
      <c r="U16" s="961"/>
    </row>
    <row r="17" spans="1:21" ht="19.5" customHeight="1" thickBot="1">
      <c r="A17" s="960">
        <v>10</v>
      </c>
      <c r="B17" s="1371" t="s">
        <v>304</v>
      </c>
      <c r="C17" s="1372"/>
      <c r="D17" s="948">
        <v>5002928</v>
      </c>
      <c r="E17" s="948">
        <v>5002928</v>
      </c>
      <c r="F17" s="948">
        <v>5002928</v>
      </c>
      <c r="G17" s="948">
        <v>7813202</v>
      </c>
      <c r="H17" s="948">
        <v>7380238</v>
      </c>
      <c r="I17" s="961">
        <f t="shared" si="0"/>
        <v>0.944585587317466</v>
      </c>
      <c r="J17" s="948">
        <v>5002928</v>
      </c>
      <c r="K17" s="948">
        <v>5002928</v>
      </c>
      <c r="L17" s="948">
        <v>5002928</v>
      </c>
      <c r="M17" s="948">
        <v>7813202</v>
      </c>
      <c r="N17" s="948">
        <v>7380238</v>
      </c>
      <c r="O17" s="961">
        <f t="shared" si="1"/>
        <v>0.944585587317466</v>
      </c>
      <c r="P17" s="964"/>
      <c r="Q17" s="964"/>
      <c r="R17" s="964"/>
      <c r="S17" s="964"/>
      <c r="T17" s="964"/>
      <c r="U17" s="961"/>
    </row>
    <row r="18" spans="1:21" ht="19.5" customHeight="1" thickBot="1">
      <c r="A18" s="956">
        <v>11</v>
      </c>
      <c r="B18" s="1371" t="s">
        <v>305</v>
      </c>
      <c r="C18" s="1372"/>
      <c r="D18" s="948">
        <v>4800</v>
      </c>
      <c r="E18" s="948">
        <v>4800</v>
      </c>
      <c r="F18" s="948">
        <v>4800</v>
      </c>
      <c r="G18" s="948">
        <v>4800</v>
      </c>
      <c r="H18" s="948">
        <v>4800</v>
      </c>
      <c r="I18" s="961">
        <f t="shared" si="0"/>
        <v>1</v>
      </c>
      <c r="J18" s="948">
        <v>4800</v>
      </c>
      <c r="K18" s="948">
        <v>4800</v>
      </c>
      <c r="L18" s="948">
        <v>4800</v>
      </c>
      <c r="M18" s="948">
        <v>4800</v>
      </c>
      <c r="N18" s="948">
        <v>4800</v>
      </c>
      <c r="O18" s="961">
        <f t="shared" si="1"/>
        <v>1</v>
      </c>
      <c r="P18" s="964"/>
      <c r="Q18" s="964"/>
      <c r="R18" s="964"/>
      <c r="S18" s="964"/>
      <c r="T18" s="964"/>
      <c r="U18" s="961"/>
    </row>
    <row r="19" spans="1:21" ht="19.5" customHeight="1" thickBot="1">
      <c r="A19" s="960">
        <v>12</v>
      </c>
      <c r="B19" s="1376" t="s">
        <v>306</v>
      </c>
      <c r="C19" s="1377"/>
      <c r="D19" s="948">
        <v>355150</v>
      </c>
      <c r="E19" s="948">
        <v>355150</v>
      </c>
      <c r="F19" s="948">
        <v>355150</v>
      </c>
      <c r="G19" s="948">
        <v>355150</v>
      </c>
      <c r="H19" s="948">
        <v>251095</v>
      </c>
      <c r="I19" s="961">
        <f t="shared" si="0"/>
        <v>0.707011122061101</v>
      </c>
      <c r="J19" s="948">
        <v>355150</v>
      </c>
      <c r="K19" s="948">
        <v>355150</v>
      </c>
      <c r="L19" s="948">
        <v>355150</v>
      </c>
      <c r="M19" s="948">
        <v>355150</v>
      </c>
      <c r="N19" s="948">
        <v>251095</v>
      </c>
      <c r="O19" s="961">
        <f t="shared" si="1"/>
        <v>0.707011122061101</v>
      </c>
      <c r="P19" s="964"/>
      <c r="Q19" s="964"/>
      <c r="R19" s="964"/>
      <c r="S19" s="964"/>
      <c r="T19" s="964"/>
      <c r="U19" s="961"/>
    </row>
    <row r="20" spans="1:21" ht="19.5" customHeight="1" thickBot="1">
      <c r="A20" s="956">
        <v>13</v>
      </c>
      <c r="B20" s="1376" t="s">
        <v>307</v>
      </c>
      <c r="C20" s="1377"/>
      <c r="D20" s="964">
        <v>1224102</v>
      </c>
      <c r="E20" s="964">
        <v>1224102</v>
      </c>
      <c r="F20" s="964">
        <v>1224102</v>
      </c>
      <c r="G20" s="948">
        <v>1224102</v>
      </c>
      <c r="H20" s="948">
        <v>943892</v>
      </c>
      <c r="I20" s="961">
        <f t="shared" si="0"/>
        <v>0.7710893373264647</v>
      </c>
      <c r="J20" s="964">
        <v>1224102</v>
      </c>
      <c r="K20" s="964">
        <v>1224102</v>
      </c>
      <c r="L20" s="964">
        <v>1224102</v>
      </c>
      <c r="M20" s="948">
        <v>1224102</v>
      </c>
      <c r="N20" s="948">
        <v>943892</v>
      </c>
      <c r="O20" s="961">
        <f t="shared" si="1"/>
        <v>0.7710893373264647</v>
      </c>
      <c r="P20" s="964"/>
      <c r="Q20" s="964"/>
      <c r="R20" s="964"/>
      <c r="S20" s="964"/>
      <c r="T20" s="964"/>
      <c r="U20" s="961"/>
    </row>
    <row r="21" spans="1:21" ht="19.5" customHeight="1" thickBot="1">
      <c r="A21" s="960">
        <v>14</v>
      </c>
      <c r="B21" s="1383" t="s">
        <v>397</v>
      </c>
      <c r="C21" s="1384"/>
      <c r="D21" s="964">
        <v>180000</v>
      </c>
      <c r="E21" s="964">
        <v>180000</v>
      </c>
      <c r="F21" s="964">
        <v>180000</v>
      </c>
      <c r="G21" s="964">
        <v>184000</v>
      </c>
      <c r="H21" s="964">
        <v>183400</v>
      </c>
      <c r="I21" s="961">
        <f t="shared" si="0"/>
        <v>0.9967391304347826</v>
      </c>
      <c r="J21" s="964">
        <v>180000</v>
      </c>
      <c r="K21" s="964">
        <v>180000</v>
      </c>
      <c r="L21" s="964">
        <v>180000</v>
      </c>
      <c r="M21" s="964">
        <v>184000</v>
      </c>
      <c r="N21" s="964">
        <v>183400</v>
      </c>
      <c r="O21" s="961">
        <f t="shared" si="1"/>
        <v>0.9967391304347826</v>
      </c>
      <c r="P21" s="964"/>
      <c r="Q21" s="964"/>
      <c r="R21" s="964"/>
      <c r="S21" s="964"/>
      <c r="T21" s="964"/>
      <c r="U21" s="961"/>
    </row>
    <row r="22" spans="1:21" ht="19.5" customHeight="1" thickBot="1">
      <c r="A22" s="956">
        <v>15</v>
      </c>
      <c r="B22" s="963" t="s">
        <v>466</v>
      </c>
      <c r="C22" s="965"/>
      <c r="D22" s="964">
        <v>127000</v>
      </c>
      <c r="E22" s="964">
        <v>127000</v>
      </c>
      <c r="F22" s="964">
        <v>127000</v>
      </c>
      <c r="G22" s="964">
        <v>444866</v>
      </c>
      <c r="H22" s="964">
        <v>388700</v>
      </c>
      <c r="I22" s="961">
        <f t="shared" si="0"/>
        <v>0.8737462516802813</v>
      </c>
      <c r="J22" s="964">
        <v>127000</v>
      </c>
      <c r="K22" s="964">
        <v>127000</v>
      </c>
      <c r="L22" s="964">
        <v>127000</v>
      </c>
      <c r="M22" s="964">
        <v>444866</v>
      </c>
      <c r="N22" s="964">
        <v>388700</v>
      </c>
      <c r="O22" s="961">
        <f t="shared" si="1"/>
        <v>0.8737462516802813</v>
      </c>
      <c r="P22" s="964"/>
      <c r="Q22" s="964"/>
      <c r="R22" s="964"/>
      <c r="S22" s="964"/>
      <c r="T22" s="964"/>
      <c r="U22" s="961"/>
    </row>
    <row r="23" spans="1:21" ht="19.5" customHeight="1" thickBot="1">
      <c r="A23" s="966">
        <v>16</v>
      </c>
      <c r="B23" s="963" t="s">
        <v>550</v>
      </c>
      <c r="C23" s="965"/>
      <c r="D23" s="964">
        <v>12589949</v>
      </c>
      <c r="E23" s="964">
        <v>12589949</v>
      </c>
      <c r="F23" s="964">
        <v>12589949</v>
      </c>
      <c r="G23" s="964">
        <v>12589949</v>
      </c>
      <c r="H23" s="964">
        <v>28805</v>
      </c>
      <c r="I23" s="961">
        <f t="shared" si="0"/>
        <v>0.002287936194181565</v>
      </c>
      <c r="J23" s="964">
        <v>12589949</v>
      </c>
      <c r="K23" s="964">
        <v>12589949</v>
      </c>
      <c r="L23" s="964">
        <v>12589949</v>
      </c>
      <c r="M23" s="964">
        <v>0</v>
      </c>
      <c r="N23" s="964"/>
      <c r="O23" s="961"/>
      <c r="P23" s="964"/>
      <c r="Q23" s="964"/>
      <c r="R23" s="964"/>
      <c r="S23" s="964">
        <v>12589949</v>
      </c>
      <c r="T23" s="964">
        <v>28805</v>
      </c>
      <c r="U23" s="961">
        <f>+T23/S23</f>
        <v>0.002287936194181565</v>
      </c>
    </row>
    <row r="24" spans="1:21" ht="19.5" customHeight="1" thickBot="1">
      <c r="A24" s="960">
        <v>17</v>
      </c>
      <c r="B24" s="1383" t="s">
        <v>474</v>
      </c>
      <c r="C24" s="1384"/>
      <c r="D24" s="964">
        <v>404629</v>
      </c>
      <c r="E24" s="964">
        <v>404629</v>
      </c>
      <c r="F24" s="964">
        <v>404629</v>
      </c>
      <c r="G24" s="964">
        <v>0</v>
      </c>
      <c r="H24" s="964">
        <v>0</v>
      </c>
      <c r="I24" s="961"/>
      <c r="J24" s="964">
        <v>404629</v>
      </c>
      <c r="K24" s="964">
        <v>404629</v>
      </c>
      <c r="L24" s="964">
        <v>404629</v>
      </c>
      <c r="M24" s="964">
        <v>0</v>
      </c>
      <c r="N24" s="964">
        <v>0</v>
      </c>
      <c r="O24" s="961"/>
      <c r="P24" s="964"/>
      <c r="Q24" s="964"/>
      <c r="R24" s="964"/>
      <c r="S24" s="964"/>
      <c r="T24" s="964"/>
      <c r="U24" s="961"/>
    </row>
    <row r="25" spans="1:21" ht="31.5" customHeight="1" hidden="1" thickBot="1">
      <c r="A25" s="956">
        <v>18</v>
      </c>
      <c r="B25" s="1373" t="s">
        <v>497</v>
      </c>
      <c r="C25" s="1374"/>
      <c r="D25" s="967"/>
      <c r="E25" s="967"/>
      <c r="F25" s="967">
        <v>1524000</v>
      </c>
      <c r="G25" s="967">
        <v>0</v>
      </c>
      <c r="H25" s="967">
        <v>0</v>
      </c>
      <c r="I25" s="968" t="e">
        <f t="shared" si="0"/>
        <v>#DIV/0!</v>
      </c>
      <c r="J25" s="967"/>
      <c r="K25" s="967"/>
      <c r="L25" s="967">
        <v>1524000</v>
      </c>
      <c r="M25" s="967">
        <v>0</v>
      </c>
      <c r="N25" s="967">
        <v>0</v>
      </c>
      <c r="O25" s="968" t="e">
        <f>+N25/M25</f>
        <v>#DIV/0!</v>
      </c>
      <c r="P25" s="967"/>
      <c r="Q25" s="967"/>
      <c r="R25" s="967"/>
      <c r="S25" s="967"/>
      <c r="T25" s="967"/>
      <c r="U25" s="968" t="e">
        <f>+T25/S25</f>
        <v>#DIV/0!</v>
      </c>
    </row>
    <row r="26" spans="1:21" ht="31.5" customHeight="1" thickBot="1">
      <c r="A26" s="966">
        <v>18</v>
      </c>
      <c r="B26" s="1373" t="s">
        <v>638</v>
      </c>
      <c r="C26" s="1374"/>
      <c r="D26" s="967"/>
      <c r="E26" s="967"/>
      <c r="F26" s="967"/>
      <c r="G26" s="967">
        <v>55000</v>
      </c>
      <c r="H26" s="967">
        <v>55000</v>
      </c>
      <c r="I26" s="968">
        <f t="shared" si="0"/>
        <v>1</v>
      </c>
      <c r="J26" s="967"/>
      <c r="K26" s="967"/>
      <c r="L26" s="967"/>
      <c r="M26" s="967">
        <v>55000</v>
      </c>
      <c r="N26" s="967">
        <v>55000</v>
      </c>
      <c r="O26" s="968">
        <f>+N26/M26</f>
        <v>1</v>
      </c>
      <c r="P26" s="967"/>
      <c r="Q26" s="967"/>
      <c r="R26" s="967"/>
      <c r="S26" s="967"/>
      <c r="T26" s="967"/>
      <c r="U26" s="968"/>
    </row>
    <row r="27" spans="1:21" ht="27" customHeight="1" thickBot="1">
      <c r="A27" s="960">
        <v>19</v>
      </c>
      <c r="B27" s="1373" t="s">
        <v>639</v>
      </c>
      <c r="C27" s="1374"/>
      <c r="D27" s="967"/>
      <c r="E27" s="967"/>
      <c r="F27" s="967"/>
      <c r="G27" s="967">
        <v>1716000</v>
      </c>
      <c r="H27" s="967">
        <v>1524000</v>
      </c>
      <c r="I27" s="968">
        <f t="shared" si="0"/>
        <v>0.8881118881118881</v>
      </c>
      <c r="J27" s="967"/>
      <c r="K27" s="967"/>
      <c r="L27" s="967"/>
      <c r="M27" s="967">
        <v>1716000</v>
      </c>
      <c r="N27" s="967">
        <v>1524000</v>
      </c>
      <c r="O27" s="968">
        <f>+N27/M27</f>
        <v>0.8881118881118881</v>
      </c>
      <c r="P27" s="967"/>
      <c r="Q27" s="967"/>
      <c r="R27" s="967"/>
      <c r="S27" s="967"/>
      <c r="T27" s="967"/>
      <c r="U27" s="968"/>
    </row>
    <row r="28" spans="1:21" ht="27" customHeight="1" thickBot="1">
      <c r="A28" s="966">
        <v>20</v>
      </c>
      <c r="B28" s="1385" t="s">
        <v>651</v>
      </c>
      <c r="C28" s="1374"/>
      <c r="D28" s="967"/>
      <c r="E28" s="967"/>
      <c r="F28" s="967"/>
      <c r="G28" s="967"/>
      <c r="H28" s="967">
        <v>50000</v>
      </c>
      <c r="I28" s="968"/>
      <c r="J28" s="967"/>
      <c r="K28" s="967"/>
      <c r="L28" s="967"/>
      <c r="M28" s="967"/>
      <c r="N28" s="967">
        <v>50000</v>
      </c>
      <c r="O28" s="968"/>
      <c r="P28" s="967"/>
      <c r="Q28" s="967"/>
      <c r="R28" s="967"/>
      <c r="S28" s="967"/>
      <c r="T28" s="967"/>
      <c r="U28" s="968"/>
    </row>
    <row r="29" spans="1:21" ht="27" customHeight="1" thickBot="1">
      <c r="A29" s="969"/>
      <c r="B29" s="1380" t="s">
        <v>290</v>
      </c>
      <c r="C29" s="1380"/>
      <c r="D29" s="949">
        <f>SUM(D8:D24)</f>
        <v>31951743</v>
      </c>
      <c r="E29" s="949">
        <f>SUM(E8:E24)</f>
        <v>32129063</v>
      </c>
      <c r="F29" s="949">
        <f>SUM(F8:F25)</f>
        <v>33944519</v>
      </c>
      <c r="G29" s="949">
        <f>SUM(G8:G27)</f>
        <v>36540198</v>
      </c>
      <c r="H29" s="949">
        <f>SUM(H8:H28)</f>
        <v>20098088</v>
      </c>
      <c r="I29" s="950">
        <f t="shared" si="0"/>
        <v>0.5500267951476344</v>
      </c>
      <c r="J29" s="949">
        <f>SUM(J8:J24)</f>
        <v>30859743</v>
      </c>
      <c r="K29" s="949">
        <f>SUM(K8:K24)</f>
        <v>31037063</v>
      </c>
      <c r="L29" s="949">
        <f>SUM(L8:L25)</f>
        <v>32852519</v>
      </c>
      <c r="M29" s="949">
        <f>SUM(M8:M27)</f>
        <v>23058249</v>
      </c>
      <c r="N29" s="949">
        <f>SUM(N8:N28)</f>
        <v>19417837</v>
      </c>
      <c r="O29" s="950">
        <f>+N29/M29</f>
        <v>0.8421210561131507</v>
      </c>
      <c r="P29" s="949">
        <f>SUM(P8:P24)</f>
        <v>1092000</v>
      </c>
      <c r="Q29" s="949">
        <f>SUM(Q8:Q21)</f>
        <v>1092000</v>
      </c>
      <c r="R29" s="949">
        <f>SUM(R8:R21)</f>
        <v>1092000</v>
      </c>
      <c r="S29" s="949">
        <f>SUM(S8:S27)</f>
        <v>13481949</v>
      </c>
      <c r="T29" s="949">
        <f>SUM(T8:T27)</f>
        <v>680251</v>
      </c>
      <c r="U29" s="950">
        <f>+T29/S29</f>
        <v>0.0504564288145579</v>
      </c>
    </row>
    <row r="30" spans="7:9" ht="15">
      <c r="G30" s="951"/>
      <c r="H30" s="951"/>
      <c r="I30" s="951"/>
    </row>
    <row r="31" spans="4:9" ht="15">
      <c r="D31" s="951"/>
      <c r="E31" s="951"/>
      <c r="F31" s="951"/>
      <c r="G31" s="951"/>
      <c r="H31" s="951"/>
      <c r="I31" s="951"/>
    </row>
    <row r="32" spans="4:9" ht="15">
      <c r="D32" s="951"/>
      <c r="E32" s="951"/>
      <c r="F32" s="951"/>
      <c r="G32" s="951"/>
      <c r="H32" s="951"/>
      <c r="I32" s="951"/>
    </row>
  </sheetData>
  <sheetProtection selectLockedCells="1" selectUnlockedCells="1"/>
  <mergeCells count="26">
    <mergeCell ref="B29:C29"/>
    <mergeCell ref="B9:C9"/>
    <mergeCell ref="B11:C11"/>
    <mergeCell ref="B12:C12"/>
    <mergeCell ref="B13:C13"/>
    <mergeCell ref="B25:C25"/>
    <mergeCell ref="B24:C24"/>
    <mergeCell ref="B21:C21"/>
    <mergeCell ref="B28:C28"/>
    <mergeCell ref="B27:C27"/>
    <mergeCell ref="A2:J2"/>
    <mergeCell ref="A3:J3"/>
    <mergeCell ref="A4:J4"/>
    <mergeCell ref="D6:I6"/>
    <mergeCell ref="B20:C20"/>
    <mergeCell ref="B19:C19"/>
    <mergeCell ref="B18:C18"/>
    <mergeCell ref="B17:C17"/>
    <mergeCell ref="B16:C16"/>
    <mergeCell ref="B8:C8"/>
    <mergeCell ref="J6:O6"/>
    <mergeCell ref="P6:U6"/>
    <mergeCell ref="P5:U5"/>
    <mergeCell ref="B6:C6"/>
    <mergeCell ref="B14:C14"/>
    <mergeCell ref="B26:C26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49" r:id="rId1"/>
  <headerFooter alignWithMargins="0">
    <oddHeader>&amp;R7.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2019-05-29T16:32:00Z</dcterms:modified>
  <cp:category/>
  <cp:version/>
  <cp:contentType/>
  <cp:contentStatus/>
</cp:coreProperties>
</file>