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kiadás" sheetId="1" r:id="rId1"/>
    <sheet name="bevétel" sheetId="2" r:id="rId2"/>
  </sheets>
  <definedNames>
    <definedName name="_xlnm.Print_Area" localSheetId="1">'bevétel'!$A$1:$P$36</definedName>
    <definedName name="_xlnm.Print_Area" localSheetId="0">'kiadás'!$A$7:$P$50</definedName>
  </definedNames>
  <calcPr fullCalcOnLoad="1"/>
</workbook>
</file>

<file path=xl/sharedStrings.xml><?xml version="1.0" encoding="utf-8"?>
<sst xmlns="http://schemas.openxmlformats.org/spreadsheetml/2006/main" count="123" uniqueCount="101">
  <si>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</si>
  <si>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</si>
  <si>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</si>
  <si>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</si>
  <si>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</si>
  <si>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</si>
  <si>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</si>
  <si>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</si>
  <si>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</si>
  <si>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</si>
  <si>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</si>
  <si>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</si>
  <si>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</si>
  <si>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</si>
  <si>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</si>
  <si>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</si>
  <si>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</si>
  <si>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</si>
  <si>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</si>
  <si>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</si>
  <si>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</si>
  <si>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</si>
  <si>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</si>
  <si>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</si>
  <si>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</si>
  <si>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</si>
  <si>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</si>
  <si>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</si>
  <si>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</si>
  <si>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</si>
  <si>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</si>
  <si>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</si>
  <si>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</si>
  <si>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</si>
  <si>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</si>
  <si>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</si>
  <si>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</si>
  <si>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</si>
  <si>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</si>
  <si>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</si>
  <si>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</si>
  <si>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</si>
  <si>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</si>
  <si>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</si>
  <si>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</si>
  <si>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</si>
  <si>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</si>
  <si>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</si>
  <si>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</si>
  <si>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</si>
  <si>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</si>
  <si>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</si>
  <si>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</si>
  <si>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</si>
  <si>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</si>
  <si>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</si>
  <si>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</si>
  <si>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</si>
  <si>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</si>
  <si>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</si>
  <si>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</si>
  <si>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</si>
  <si>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</si>
  <si>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</si>
  <si>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</si>
  <si>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</si>
  <si>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</si>
  <si>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</si>
  <si>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</si>
  <si>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</si>
  <si>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</si>
  <si>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</si>
  <si>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</si>
  <si>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</si>
  <si>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</si>
  <si>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</si>
  <si>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</si>
  <si>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</si>
  <si>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</si>
  <si>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</si>
  <si>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</si>
  <si>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</si>
  <si>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</si>
  <si>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</si>
  <si>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</si>
  <si>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</si>
  <si>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</si>
  <si>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</si>
  <si>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</si>
  <si>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</si>
  <si>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</si>
  <si>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</si>
  <si>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Betétlekötés megszüntetése</t>
  </si>
  <si>
    <t>Finanszírozási bevételek összesen</t>
  </si>
  <si>
    <t>Belváros-Lipótváros Önkormányzata 2015.évi kiadásainak előirányzat-felhasználási ütemterve</t>
  </si>
  <si>
    <t>2015. évi eredeti.ei.</t>
  </si>
  <si>
    <t>10.sz melléklet</t>
  </si>
  <si>
    <r>
      <t xml:space="preserve"> </t>
    </r>
    <r>
      <rPr>
        <b/>
        <sz val="12"/>
        <rFont val="Arial CE"/>
        <family val="2"/>
      </rPr>
      <t>Belváros-Lipótváros Önkormányzata 2015.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</si>
  <si>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2015.évi</t>
  </si>
  <si>
    <t>eredeti</t>
  </si>
  <si>
    <t>10.számú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</si>
</sst>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8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3" fontId="7" fillId="0" borderId="32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34" xfId="0" applyNumberFormat="1" applyFont="1" applyFill="1" applyBorder="1" applyAlignment="1">
      <alignment vertical="center" shrinkToFit="1"/>
    </xf>
    <xf numFmtId="3" fontId="5" fillId="0" borderId="35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>
      <alignment horizontal="center" vertical="center" shrinkToFit="1"/>
    </xf>
    <xf numFmtId="49" fontId="7" fillId="0" borderId="37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7" fillId="0" borderId="38" xfId="0" applyNumberFormat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50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2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7" fillId="0" borderId="52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7" fillId="0" borderId="53" xfId="0" applyNumberFormat="1" applyFont="1" applyFill="1" applyBorder="1" applyAlignment="1">
      <alignment vertical="center" shrinkToFit="1"/>
    </xf>
    <xf numFmtId="3" fontId="7" fillId="0" borderId="42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7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7" fillId="0" borderId="54" xfId="0" applyNumberFormat="1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3" fontId="5" fillId="0" borderId="54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horizontal="center"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0" fontId="1" fillId="0" borderId="6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vertical="center" shrinkToFit="1"/>
    </xf>
    <xf numFmtId="0" fontId="7" fillId="0" borderId="6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/>
    </xf>
    <xf numFmtId="0" fontId="5" fillId="0" borderId="64" xfId="0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67" xfId="0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5" fillId="0" borderId="68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53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3" fontId="5" fillId="0" borderId="76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79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R7" sqref="R1:R16384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1.1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7" width="11.375" style="159" customWidth="1"/>
    <col min="18" max="18" width="9.125" style="18" customWidth="1"/>
    <col min="19" max="19" width="9.125" style="152" customWidth="1"/>
    <col min="20" max="20" width="12.875" style="152" customWidth="1"/>
    <col min="21" max="21" width="9.125" style="152" customWidth="1"/>
    <col min="22" max="22" width="9.125" style="22" customWidth="1"/>
    <col min="23" max="23" width="12.875" style="22" customWidth="1"/>
    <col min="24" max="16384" width="9.125" style="22" customWidth="1"/>
  </cols>
  <sheetData>
    <row r="1" spans="1:16" ht="12.7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91" t="s">
        <v>40</v>
      </c>
      <c r="P2" s="191"/>
    </row>
    <row r="3" spans="1:16" ht="12.7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92" t="s">
        <v>96</v>
      </c>
      <c r="P7" s="192"/>
    </row>
    <row r="8" spans="1:16" ht="21" customHeight="1">
      <c r="A8" s="183" t="s">
        <v>94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ht="12.7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78">
        <f>SUM(C18/12)</f>
        <v>231057.58333333334</v>
      </c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9.5" customHeight="1" thickBot="1">
      <c r="A14" s="184" t="s">
        <v>1</v>
      </c>
      <c r="B14" s="184"/>
      <c r="C14" s="185" t="s">
        <v>95</v>
      </c>
      <c r="D14" s="179" t="s">
        <v>2</v>
      </c>
      <c r="E14" s="179" t="s">
        <v>3</v>
      </c>
      <c r="F14" s="179" t="s">
        <v>4</v>
      </c>
      <c r="G14" s="179" t="s">
        <v>5</v>
      </c>
      <c r="H14" s="179" t="s">
        <v>6</v>
      </c>
      <c r="I14" s="179" t="s">
        <v>7</v>
      </c>
      <c r="J14" s="179" t="s">
        <v>8</v>
      </c>
      <c r="K14" s="179" t="s">
        <v>9</v>
      </c>
      <c r="L14" s="179" t="s">
        <v>10</v>
      </c>
      <c r="M14" s="179" t="s">
        <v>11</v>
      </c>
      <c r="N14" s="179" t="s">
        <v>12</v>
      </c>
      <c r="O14" s="179" t="s">
        <v>13</v>
      </c>
      <c r="P14" s="179" t="s">
        <v>14</v>
      </c>
    </row>
    <row r="15" spans="1:16" ht="13.5" thickBot="1">
      <c r="A15" s="184"/>
      <c r="B15" s="184"/>
      <c r="C15" s="186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6" ht="15" customHeight="1" thickBot="1">
      <c r="A16" s="187">
        <v>1</v>
      </c>
      <c r="B16" s="188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8" ht="15" customHeight="1">
      <c r="A17" s="25" t="s">
        <v>15</v>
      </c>
      <c r="B17" s="26" t="s">
        <v>78</v>
      </c>
      <c r="C17" s="27">
        <f>SUM(C18:C22)</f>
        <v>14716301</v>
      </c>
      <c r="D17" s="27">
        <f aca="true" t="shared" si="0" ref="D17:N17">SUM(D18:D22)</f>
        <v>1194815.21</v>
      </c>
      <c r="E17" s="27">
        <f t="shared" si="0"/>
        <v>1149566.5</v>
      </c>
      <c r="F17" s="27">
        <f t="shared" si="0"/>
        <v>1165853.5</v>
      </c>
      <c r="G17" s="27">
        <f t="shared" si="0"/>
        <v>1176662.76</v>
      </c>
      <c r="H17" s="27">
        <f t="shared" si="0"/>
        <v>1126034.79</v>
      </c>
      <c r="I17" s="27">
        <f t="shared" si="0"/>
        <v>1081685.5</v>
      </c>
      <c r="J17" s="27">
        <f t="shared" si="0"/>
        <v>1124888.5</v>
      </c>
      <c r="K17" s="27">
        <f t="shared" si="0"/>
        <v>1096756.5</v>
      </c>
      <c r="L17" s="27">
        <f t="shared" si="0"/>
        <v>1130859.5</v>
      </c>
      <c r="M17" s="27">
        <f t="shared" si="0"/>
        <v>1233460.37</v>
      </c>
      <c r="N17" s="27">
        <f t="shared" si="0"/>
        <v>1394705.4</v>
      </c>
      <c r="O17" s="27">
        <f>SUM(O18:O22)+1</f>
        <v>1841012.79</v>
      </c>
      <c r="P17" s="123">
        <f>SUM(D17:O17)</f>
        <v>14716301.32</v>
      </c>
      <c r="R17" s="127"/>
    </row>
    <row r="18" spans="1:20" ht="15" customHeight="1">
      <c r="A18" s="29"/>
      <c r="B18" s="45" t="s">
        <v>16</v>
      </c>
      <c r="C18" s="19">
        <v>2772691</v>
      </c>
      <c r="D18" s="30">
        <f>48653+48300+12148+155897</f>
        <v>264998</v>
      </c>
      <c r="E18" s="30">
        <f>48653+155897</f>
        <v>204550</v>
      </c>
      <c r="F18" s="30">
        <f>48653+155897</f>
        <v>204550</v>
      </c>
      <c r="G18" s="30">
        <f>48653+48458+29780+155897</f>
        <v>282788</v>
      </c>
      <c r="H18" s="30">
        <f>48653+155897+31727</f>
        <v>236277</v>
      </c>
      <c r="I18" s="30">
        <f>48653+155897</f>
        <v>204550</v>
      </c>
      <c r="J18" s="30">
        <f>48653+12500+155897</f>
        <v>217050</v>
      </c>
      <c r="K18" s="30">
        <f>48653+155897+3500</f>
        <v>208050</v>
      </c>
      <c r="L18" s="30">
        <f>48653+155897-4000+3200</f>
        <v>203750</v>
      </c>
      <c r="M18" s="30">
        <f>48653+7891+155987+2900</f>
        <v>215431</v>
      </c>
      <c r="N18" s="30">
        <f>48653+29780+155987+2200</f>
        <v>236620</v>
      </c>
      <c r="O18" s="30">
        <f>48653+20000+155717+984+14572+45000+35000-25849</f>
        <v>294077</v>
      </c>
      <c r="P18" s="19">
        <f aca="true" t="shared" si="1" ref="P18:P48">SUM(D18:O18)</f>
        <v>2772691</v>
      </c>
      <c r="R18" s="127"/>
      <c r="T18" s="150"/>
    </row>
    <row r="19" spans="1:20" ht="15" customHeight="1">
      <c r="A19" s="29"/>
      <c r="B19" s="45" t="s">
        <v>68</v>
      </c>
      <c r="C19" s="19">
        <v>787683</v>
      </c>
      <c r="D19" s="30">
        <f>SUM(D18*0.27)</f>
        <v>71549.46</v>
      </c>
      <c r="E19" s="30">
        <f>SUM(E18*0.27)+5000</f>
        <v>60228.5</v>
      </c>
      <c r="F19" s="30">
        <f>SUM(F18*0.27)+5000</f>
        <v>60228.5</v>
      </c>
      <c r="G19" s="30">
        <f>SUM(G18*0.27)</f>
        <v>76352.76000000001</v>
      </c>
      <c r="H19" s="30">
        <f>SUM(H18*0.27)</f>
        <v>63794.79</v>
      </c>
      <c r="I19" s="30">
        <f>SUM(I18*0.27)+5000</f>
        <v>60228.5</v>
      </c>
      <c r="J19" s="30">
        <f>SUM(J18*0.27)+5000</f>
        <v>63603.50000000001</v>
      </c>
      <c r="K19" s="30">
        <f>SUM(K18*0.27)+5000</f>
        <v>61173.50000000001</v>
      </c>
      <c r="L19" s="30">
        <f>SUM(L18*0.27)+5000+4056</f>
        <v>64068.5</v>
      </c>
      <c r="M19" s="30">
        <f>SUM(M18*0.27)+5000</f>
        <v>63166.37</v>
      </c>
      <c r="N19" s="30">
        <f>SUM(N18*0.27)</f>
        <v>63887.4</v>
      </c>
      <c r="O19" s="30">
        <f>SUM(O18*0.27)</f>
        <v>79400.79000000001</v>
      </c>
      <c r="P19" s="19">
        <f t="shared" si="1"/>
        <v>787682.5700000001</v>
      </c>
      <c r="R19" s="127"/>
      <c r="T19" s="150"/>
    </row>
    <row r="20" spans="1:20" ht="15" customHeight="1">
      <c r="A20" s="29"/>
      <c r="B20" s="45" t="s">
        <v>38</v>
      </c>
      <c r="C20" s="19">
        <v>8758916</v>
      </c>
      <c r="D20" s="30">
        <f>673522-14344-10000+60000</f>
        <v>709178</v>
      </c>
      <c r="E20" s="30">
        <f>673522-11000+60000</f>
        <v>722522</v>
      </c>
      <c r="F20" s="30">
        <f>673522+60490</f>
        <v>734012</v>
      </c>
      <c r="G20" s="30">
        <f>673522+32270</f>
        <v>705792</v>
      </c>
      <c r="H20" s="30">
        <f>673522+32280</f>
        <v>705802</v>
      </c>
      <c r="I20" s="30">
        <f>673522+35000</f>
        <v>708522</v>
      </c>
      <c r="J20" s="30">
        <f>673522+22325+19487</f>
        <v>715334</v>
      </c>
      <c r="K20" s="30">
        <f>673522+26332</f>
        <v>699854</v>
      </c>
      <c r="L20" s="30">
        <f>673522+54231</f>
        <v>727753</v>
      </c>
      <c r="M20" s="30">
        <f>673522+21323+25000</f>
        <v>719845</v>
      </c>
      <c r="N20" s="30">
        <f>673522+23541+123547</f>
        <v>820610</v>
      </c>
      <c r="O20" s="30">
        <f>673522-5+34005+11717+70453</f>
        <v>789692</v>
      </c>
      <c r="P20" s="19">
        <f t="shared" si="1"/>
        <v>8758916</v>
      </c>
      <c r="R20" s="127"/>
      <c r="T20" s="150"/>
    </row>
    <row r="21" spans="1:20" ht="15" customHeight="1">
      <c r="A21" s="29"/>
      <c r="B21" s="45" t="s">
        <v>39</v>
      </c>
      <c r="C21" s="19">
        <v>700961</v>
      </c>
      <c r="D21" s="30">
        <f>50000+30515+3000</f>
        <v>83515</v>
      </c>
      <c r="E21" s="30">
        <f>50000+30515+3500</f>
        <v>84015</v>
      </c>
      <c r="F21" s="30">
        <f>50000+30515+3516</f>
        <v>84031</v>
      </c>
      <c r="G21" s="30">
        <f>30515+2300</f>
        <v>32815</v>
      </c>
      <c r="H21" s="30">
        <f>30515+2300</f>
        <v>32815</v>
      </c>
      <c r="I21" s="30">
        <f>30515+2217</f>
        <v>32732</v>
      </c>
      <c r="J21" s="30">
        <f>30515+15467</f>
        <v>45982</v>
      </c>
      <c r="K21" s="30">
        <f>30515+13545</f>
        <v>44060</v>
      </c>
      <c r="L21" s="30">
        <f>30515+15326</f>
        <v>45841</v>
      </c>
      <c r="M21" s="30">
        <f>30515+15325</f>
        <v>45840</v>
      </c>
      <c r="N21" s="30">
        <f>50000+30515</f>
        <v>80515</v>
      </c>
      <c r="O21" s="30">
        <f>50000+30515+24205-15920</f>
        <v>88800</v>
      </c>
      <c r="P21" s="19">
        <f t="shared" si="1"/>
        <v>700961</v>
      </c>
      <c r="R21" s="127"/>
      <c r="T21" s="150"/>
    </row>
    <row r="22" spans="1:20" ht="15" customHeight="1">
      <c r="A22" s="29"/>
      <c r="B22" s="45" t="s">
        <v>52</v>
      </c>
      <c r="C22" s="19">
        <f>SUM(C24:C29)</f>
        <v>1696050</v>
      </c>
      <c r="D22" s="19">
        <f aca="true" t="shared" si="2" ref="D22:O22">SUM(D25:D29)</f>
        <v>65574.75</v>
      </c>
      <c r="E22" s="19">
        <f t="shared" si="2"/>
        <v>78251</v>
      </c>
      <c r="F22" s="19">
        <f t="shared" si="2"/>
        <v>83032</v>
      </c>
      <c r="G22" s="19">
        <f>SUM(G24:G29)</f>
        <v>78915</v>
      </c>
      <c r="H22" s="19">
        <f t="shared" si="2"/>
        <v>87346</v>
      </c>
      <c r="I22" s="19">
        <f t="shared" si="2"/>
        <v>75653</v>
      </c>
      <c r="J22" s="19">
        <f t="shared" si="2"/>
        <v>82919</v>
      </c>
      <c r="K22" s="19">
        <f t="shared" si="2"/>
        <v>83619</v>
      </c>
      <c r="L22" s="19">
        <f t="shared" si="2"/>
        <v>89447</v>
      </c>
      <c r="M22" s="19">
        <f t="shared" si="2"/>
        <v>189178</v>
      </c>
      <c r="N22" s="19">
        <f t="shared" si="2"/>
        <v>193073</v>
      </c>
      <c r="O22" s="19">
        <f t="shared" si="2"/>
        <v>589042</v>
      </c>
      <c r="P22" s="19">
        <f t="shared" si="1"/>
        <v>1696049.75</v>
      </c>
      <c r="R22" s="127"/>
      <c r="T22" s="150"/>
    </row>
    <row r="23" spans="1:20" ht="12.75" customHeight="1" hidden="1">
      <c r="A23" s="145"/>
      <c r="B23" s="146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R23" s="127"/>
      <c r="T23" s="150"/>
    </row>
    <row r="24" spans="1:20" ht="12.75" customHeight="1">
      <c r="A24" s="119"/>
      <c r="B24" s="146" t="s">
        <v>86</v>
      </c>
      <c r="C24" s="31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19">
        <f t="shared" si="1"/>
        <v>0</v>
      </c>
      <c r="Q24" s="163"/>
      <c r="R24" s="127"/>
      <c r="T24" s="150"/>
    </row>
    <row r="25" spans="1:20" ht="12.75" customHeight="1">
      <c r="A25" s="119"/>
      <c r="B25" s="146" t="s">
        <v>71</v>
      </c>
      <c r="C25" s="31">
        <v>365781</v>
      </c>
      <c r="D25" s="32">
        <f>SUM(C25/12)</f>
        <v>30481.75</v>
      </c>
      <c r="E25" s="32">
        <f>36941+23-6000</f>
        <v>30964</v>
      </c>
      <c r="F25" s="32">
        <f>36941+23</f>
        <v>36964</v>
      </c>
      <c r="G25" s="32">
        <v>36941</v>
      </c>
      <c r="H25" s="32">
        <f>36941-3029</f>
        <v>33912</v>
      </c>
      <c r="I25" s="32">
        <f>36941-3000</f>
        <v>33941</v>
      </c>
      <c r="J25" s="32">
        <v>36941</v>
      </c>
      <c r="K25" s="32">
        <v>36941</v>
      </c>
      <c r="L25" s="32">
        <v>36941</v>
      </c>
      <c r="M25" s="32">
        <f>36941-19000</f>
        <v>17941</v>
      </c>
      <c r="N25" s="32">
        <f>36941-19000</f>
        <v>17941</v>
      </c>
      <c r="O25" s="121">
        <f>36941-5-21064</f>
        <v>15872</v>
      </c>
      <c r="P25" s="19">
        <f t="shared" si="1"/>
        <v>365780.75</v>
      </c>
      <c r="Q25" s="163"/>
      <c r="R25" s="127"/>
      <c r="T25" s="150"/>
    </row>
    <row r="26" spans="1:20" ht="12.75" customHeight="1">
      <c r="A26" s="119"/>
      <c r="B26" s="146" t="s">
        <v>87</v>
      </c>
      <c r="C26" s="31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21"/>
      <c r="P26" s="19">
        <f t="shared" si="1"/>
        <v>0</v>
      </c>
      <c r="Q26" s="163"/>
      <c r="R26" s="127"/>
      <c r="T26" s="150"/>
    </row>
    <row r="27" spans="1:20" ht="12.75" customHeight="1">
      <c r="A27" s="119"/>
      <c r="B27" s="146" t="s">
        <v>72</v>
      </c>
      <c r="C27" s="31">
        <v>481121</v>
      </c>
      <c r="D27" s="32">
        <f>40093-5000</f>
        <v>35093</v>
      </c>
      <c r="E27" s="32">
        <f>40093-5000</f>
        <v>35093</v>
      </c>
      <c r="F27" s="32">
        <v>40093</v>
      </c>
      <c r="G27" s="32">
        <v>40093</v>
      </c>
      <c r="H27" s="32">
        <f>40093+3400</f>
        <v>43493</v>
      </c>
      <c r="I27" s="32">
        <v>40093</v>
      </c>
      <c r="J27" s="32">
        <v>40093</v>
      </c>
      <c r="K27" s="32">
        <v>40093</v>
      </c>
      <c r="L27" s="32">
        <v>40093</v>
      </c>
      <c r="M27" s="32">
        <f>40093-3395</f>
        <v>36698</v>
      </c>
      <c r="N27" s="32">
        <v>40093</v>
      </c>
      <c r="O27" s="32">
        <f>40093+10000</f>
        <v>50093</v>
      </c>
      <c r="P27" s="19">
        <f t="shared" si="1"/>
        <v>481121</v>
      </c>
      <c r="Q27" s="163"/>
      <c r="R27" s="127"/>
      <c r="T27" s="150"/>
    </row>
    <row r="28" spans="1:20" ht="12.75" customHeight="1">
      <c r="A28" s="119"/>
      <c r="B28" s="146" t="s">
        <v>73</v>
      </c>
      <c r="C28" s="31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21">
        <v>100000</v>
      </c>
      <c r="P28" s="19">
        <f t="shared" si="1"/>
        <v>100000</v>
      </c>
      <c r="Q28" s="163"/>
      <c r="R28" s="127"/>
      <c r="T28" s="150"/>
    </row>
    <row r="29" spans="1:20" ht="12.75" customHeight="1">
      <c r="A29" s="119"/>
      <c r="B29" s="146" t="s">
        <v>74</v>
      </c>
      <c r="C29" s="31">
        <v>749148</v>
      </c>
      <c r="D29" s="32"/>
      <c r="E29" s="32">
        <f>34539-22345</f>
        <v>12194</v>
      </c>
      <c r="F29" s="32">
        <f>34539+20000-48564</f>
        <v>5975</v>
      </c>
      <c r="G29" s="32">
        <f>34539+15000-47658</f>
        <v>1881</v>
      </c>
      <c r="H29" s="32">
        <f>34539-24598</f>
        <v>9941</v>
      </c>
      <c r="I29" s="32">
        <f>50000+34539+10000-50356-42564</f>
        <v>1619</v>
      </c>
      <c r="J29" s="32">
        <f>34539-28654</f>
        <v>5885</v>
      </c>
      <c r="K29" s="32">
        <f>34539-27954</f>
        <v>6585</v>
      </c>
      <c r="L29" s="32">
        <f>34539-22126</f>
        <v>12413</v>
      </c>
      <c r="M29" s="32">
        <f>34539+100000</f>
        <v>134539</v>
      </c>
      <c r="N29" s="32">
        <f>34539+100500</f>
        <v>135039</v>
      </c>
      <c r="O29" s="121">
        <v>423077</v>
      </c>
      <c r="P29" s="19">
        <f t="shared" si="1"/>
        <v>749148</v>
      </c>
      <c r="Q29" s="163"/>
      <c r="R29" s="127"/>
      <c r="T29" s="150"/>
    </row>
    <row r="30" spans="1:20" ht="15" customHeight="1">
      <c r="A30" s="33" t="s">
        <v>17</v>
      </c>
      <c r="B30" s="34" t="s">
        <v>79</v>
      </c>
      <c r="C30" s="19">
        <f aca="true" t="shared" si="3" ref="C30:O30">SUM(C31:C33)</f>
        <v>1689860</v>
      </c>
      <c r="D30" s="19">
        <f>SUM(D31:D33)</f>
        <v>206281.25</v>
      </c>
      <c r="E30" s="19">
        <f t="shared" si="3"/>
        <v>121522.25</v>
      </c>
      <c r="F30" s="19">
        <f t="shared" si="3"/>
        <v>146494.25</v>
      </c>
      <c r="G30" s="19">
        <f t="shared" si="3"/>
        <v>127972.25</v>
      </c>
      <c r="H30" s="19">
        <f t="shared" si="3"/>
        <v>59218</v>
      </c>
      <c r="I30" s="19">
        <f t="shared" si="3"/>
        <v>129818</v>
      </c>
      <c r="J30" s="19">
        <f t="shared" si="3"/>
        <v>74438</v>
      </c>
      <c r="K30" s="19">
        <f t="shared" si="3"/>
        <v>57196</v>
      </c>
      <c r="L30" s="19">
        <f t="shared" si="3"/>
        <v>43269</v>
      </c>
      <c r="M30" s="19">
        <f t="shared" si="3"/>
        <v>43991</v>
      </c>
      <c r="N30" s="19">
        <f t="shared" si="3"/>
        <v>31404</v>
      </c>
      <c r="O30" s="19">
        <f t="shared" si="3"/>
        <v>648256</v>
      </c>
      <c r="P30" s="19">
        <f>SUM(D30:O30)</f>
        <v>1689860</v>
      </c>
      <c r="R30" s="127"/>
      <c r="T30" s="150"/>
    </row>
    <row r="31" spans="1:20" ht="15" customHeight="1">
      <c r="A31" s="29"/>
      <c r="B31" s="45" t="s">
        <v>69</v>
      </c>
      <c r="C31" s="19">
        <v>660009</v>
      </c>
      <c r="D31" s="30">
        <f>314961/4+1092+120000+1000</f>
        <v>200832.25</v>
      </c>
      <c r="E31" s="30">
        <f>314961/4+1092+11276+1000</f>
        <v>92108.25</v>
      </c>
      <c r="F31" s="30">
        <f>314961/4+1092+11000+1000</f>
        <v>91832.25</v>
      </c>
      <c r="G31" s="30">
        <f>314961/4+1092+12000+1000</f>
        <v>92832.25</v>
      </c>
      <c r="H31" s="30">
        <f>1092+12000+1000</f>
        <v>14092</v>
      </c>
      <c r="I31" s="30">
        <f>1092+1000+3000+75121</f>
        <v>80213</v>
      </c>
      <c r="J31" s="30">
        <f>1092+1000+2000+25256</f>
        <v>29348</v>
      </c>
      <c r="K31" s="30">
        <f>1092+1000+5000+15032</f>
        <v>22124</v>
      </c>
      <c r="L31" s="30">
        <f>1092+1000+3000+124</f>
        <v>5216</v>
      </c>
      <c r="M31" s="30">
        <f>1092+1000+7000+147</f>
        <v>9239</v>
      </c>
      <c r="N31" s="30">
        <f>1092+1000+1000+1896</f>
        <v>4988</v>
      </c>
      <c r="O31" s="30">
        <f>1092+1000+15092</f>
        <v>17184</v>
      </c>
      <c r="P31" s="19">
        <f t="shared" si="1"/>
        <v>660009</v>
      </c>
      <c r="R31" s="127"/>
      <c r="T31" s="150"/>
    </row>
    <row r="32" spans="1:20" ht="15" customHeight="1">
      <c r="A32" s="29"/>
      <c r="B32" s="45" t="s">
        <v>70</v>
      </c>
      <c r="C32" s="19">
        <v>62445</v>
      </c>
      <c r="D32" s="30">
        <f>3782+1667</f>
        <v>5449</v>
      </c>
      <c r="E32" s="30">
        <f>3497+8000+1667</f>
        <v>13164</v>
      </c>
      <c r="F32" s="30">
        <f>3495+1667</f>
        <v>5162</v>
      </c>
      <c r="G32" s="30">
        <f>3473+1667</f>
        <v>5140</v>
      </c>
      <c r="H32" s="30">
        <f>3459+1667</f>
        <v>5126</v>
      </c>
      <c r="I32" s="30">
        <f>3438+1667</f>
        <v>5105</v>
      </c>
      <c r="J32" s="30">
        <f>3423+1667</f>
        <v>5090</v>
      </c>
      <c r="K32" s="30">
        <f>3405+1667</f>
        <v>5072</v>
      </c>
      <c r="L32" s="30">
        <f>3387+1667-1</f>
        <v>5053</v>
      </c>
      <c r="M32" s="30">
        <f>3086+1667-1</f>
        <v>4752</v>
      </c>
      <c r="N32" s="30">
        <v>1666</v>
      </c>
      <c r="O32" s="30">
        <v>1666</v>
      </c>
      <c r="P32" s="19">
        <f t="shared" si="1"/>
        <v>62445</v>
      </c>
      <c r="R32" s="127"/>
      <c r="T32" s="150"/>
    </row>
    <row r="33" spans="1:20" ht="15" customHeight="1">
      <c r="A33" s="29"/>
      <c r="B33" s="45" t="s">
        <v>53</v>
      </c>
      <c r="C33" s="19">
        <f>SUM(C34:C37)</f>
        <v>967406</v>
      </c>
      <c r="D33" s="19">
        <f aca="true" t="shared" si="4" ref="D33:N33">SUM(D34:D37)</f>
        <v>0</v>
      </c>
      <c r="E33" s="19">
        <f t="shared" si="4"/>
        <v>16250</v>
      </c>
      <c r="F33" s="19">
        <f t="shared" si="4"/>
        <v>49500</v>
      </c>
      <c r="G33" s="19">
        <f t="shared" si="4"/>
        <v>30000</v>
      </c>
      <c r="H33" s="19">
        <f t="shared" si="4"/>
        <v>40000</v>
      </c>
      <c r="I33" s="19">
        <f t="shared" si="4"/>
        <v>44500</v>
      </c>
      <c r="J33" s="19">
        <f t="shared" si="4"/>
        <v>40000</v>
      </c>
      <c r="K33" s="19">
        <f t="shared" si="4"/>
        <v>30000</v>
      </c>
      <c r="L33" s="19">
        <f t="shared" si="4"/>
        <v>33000</v>
      </c>
      <c r="M33" s="19">
        <f t="shared" si="4"/>
        <v>30000</v>
      </c>
      <c r="N33" s="19">
        <f t="shared" si="4"/>
        <v>24750</v>
      </c>
      <c r="O33" s="19">
        <f>SUM(O34:O37)</f>
        <v>629406</v>
      </c>
      <c r="P33" s="19">
        <f t="shared" si="1"/>
        <v>967406</v>
      </c>
      <c r="R33" s="127"/>
      <c r="T33" s="150"/>
    </row>
    <row r="34" spans="1:20" ht="15" customHeight="1">
      <c r="A34" s="33"/>
      <c r="B34" s="34" t="s">
        <v>75</v>
      </c>
      <c r="C34" s="19">
        <v>18000</v>
      </c>
      <c r="D34" s="19"/>
      <c r="E34" s="19">
        <v>1250</v>
      </c>
      <c r="F34" s="122">
        <v>4500</v>
      </c>
      <c r="G34" s="122"/>
      <c r="H34" s="122"/>
      <c r="I34" s="122">
        <v>4500</v>
      </c>
      <c r="J34" s="122"/>
      <c r="K34" s="122"/>
      <c r="L34" s="122">
        <v>3000</v>
      </c>
      <c r="M34" s="122"/>
      <c r="N34" s="122">
        <v>4750</v>
      </c>
      <c r="O34" s="122"/>
      <c r="P34" s="19">
        <f t="shared" si="1"/>
        <v>18000</v>
      </c>
      <c r="Q34" s="163"/>
      <c r="R34" s="127"/>
      <c r="T34" s="150"/>
    </row>
    <row r="35" spans="1:20" ht="15" customHeight="1">
      <c r="A35" s="29"/>
      <c r="B35" s="45" t="s">
        <v>76</v>
      </c>
      <c r="C35" s="19">
        <v>341750</v>
      </c>
      <c r="D35" s="30"/>
      <c r="E35" s="30">
        <v>15000</v>
      </c>
      <c r="F35" s="30">
        <f>20000+29750-4750</f>
        <v>45000</v>
      </c>
      <c r="G35" s="30">
        <v>30000</v>
      </c>
      <c r="H35" s="30">
        <f>40000</f>
        <v>40000</v>
      </c>
      <c r="I35" s="30">
        <f>40000</f>
        <v>40000</v>
      </c>
      <c r="J35" s="30">
        <f>40000</f>
        <v>40000</v>
      </c>
      <c r="K35" s="30">
        <v>30000</v>
      </c>
      <c r="L35" s="30">
        <v>30000</v>
      </c>
      <c r="M35" s="30">
        <v>30000</v>
      </c>
      <c r="N35" s="30">
        <f>20000</f>
        <v>20000</v>
      </c>
      <c r="O35" s="30">
        <f>24750-3000</f>
        <v>21750</v>
      </c>
      <c r="P35" s="19">
        <f t="shared" si="1"/>
        <v>341750</v>
      </c>
      <c r="Q35" s="163"/>
      <c r="R35" s="127"/>
      <c r="T35" s="150"/>
    </row>
    <row r="36" spans="1:20" ht="15" customHeight="1">
      <c r="A36" s="29"/>
      <c r="B36" s="45" t="s">
        <v>88</v>
      </c>
      <c r="C36" s="19"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9">
        <f t="shared" si="1"/>
        <v>0</v>
      </c>
      <c r="Q36" s="163"/>
      <c r="R36" s="127"/>
      <c r="T36" s="150"/>
    </row>
    <row r="37" spans="1:20" ht="15" customHeight="1">
      <c r="A37" s="29"/>
      <c r="B37" s="45" t="s">
        <v>77</v>
      </c>
      <c r="C37" s="19">
        <v>607656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607656</v>
      </c>
      <c r="P37" s="19">
        <f>SUM(D37:O37)</f>
        <v>607656</v>
      </c>
      <c r="Q37" s="163"/>
      <c r="R37" s="127"/>
      <c r="T37" s="150"/>
    </row>
    <row r="38" spans="1:20" ht="15" customHeight="1">
      <c r="A38" s="119"/>
      <c r="B38" s="120" t="s">
        <v>80</v>
      </c>
      <c r="C38" s="31">
        <f>SUM(C17,C30)</f>
        <v>16406161</v>
      </c>
      <c r="D38" s="31">
        <f>SUM(D17,D30)</f>
        <v>1401096.46</v>
      </c>
      <c r="E38" s="31">
        <f aca="true" t="shared" si="5" ref="E38:N38">SUM(E17,E30)</f>
        <v>1271088.75</v>
      </c>
      <c r="F38" s="31">
        <f t="shared" si="5"/>
        <v>1312347.75</v>
      </c>
      <c r="G38" s="31">
        <f t="shared" si="5"/>
        <v>1304635.01</v>
      </c>
      <c r="H38" s="31">
        <f t="shared" si="5"/>
        <v>1185252.79</v>
      </c>
      <c r="I38" s="31">
        <f t="shared" si="5"/>
        <v>1211503.5</v>
      </c>
      <c r="J38" s="31">
        <f t="shared" si="5"/>
        <v>1199326.5</v>
      </c>
      <c r="K38" s="31">
        <f t="shared" si="5"/>
        <v>1153952.5</v>
      </c>
      <c r="L38" s="31">
        <f t="shared" si="5"/>
        <v>1174128.5</v>
      </c>
      <c r="M38" s="31">
        <f t="shared" si="5"/>
        <v>1277451.37</v>
      </c>
      <c r="N38" s="31">
        <f t="shared" si="5"/>
        <v>1426109.4</v>
      </c>
      <c r="O38" s="31">
        <f>SUM(O17,O30)</f>
        <v>2489268.79</v>
      </c>
      <c r="P38" s="19">
        <f t="shared" si="1"/>
        <v>16406161.32</v>
      </c>
      <c r="R38" s="127"/>
      <c r="T38" s="150"/>
    </row>
    <row r="39" spans="1:20" ht="15" customHeight="1">
      <c r="A39" s="33"/>
      <c r="B39" s="34" t="s">
        <v>81</v>
      </c>
      <c r="C39" s="19">
        <v>4577182</v>
      </c>
      <c r="D39" s="104">
        <f>381628-15000</f>
        <v>366628</v>
      </c>
      <c r="E39" s="104">
        <v>383470</v>
      </c>
      <c r="F39" s="104">
        <v>381628</v>
      </c>
      <c r="G39" s="104">
        <f>381628-15000</f>
        <v>366628</v>
      </c>
      <c r="H39" s="104">
        <f>381628+4000</f>
        <v>385628</v>
      </c>
      <c r="I39" s="104">
        <f>381628+4000</f>
        <v>385628</v>
      </c>
      <c r="J39" s="104">
        <f>381628+4000+12553</f>
        <v>398181</v>
      </c>
      <c r="K39" s="104">
        <f>381628-15000+12000+4249</f>
        <v>382877</v>
      </c>
      <c r="L39" s="104">
        <v>381628</v>
      </c>
      <c r="M39" s="104">
        <f>381628</f>
        <v>381628</v>
      </c>
      <c r="N39" s="104">
        <f>381628</f>
        <v>381628</v>
      </c>
      <c r="O39" s="104">
        <v>381630</v>
      </c>
      <c r="P39" s="19">
        <f t="shared" si="1"/>
        <v>4577182</v>
      </c>
      <c r="R39" s="127"/>
      <c r="T39" s="150"/>
    </row>
    <row r="40" spans="1:23" ht="15" customHeight="1">
      <c r="A40" s="33" t="s">
        <v>18</v>
      </c>
      <c r="B40" s="34" t="s">
        <v>82</v>
      </c>
      <c r="C40" s="19">
        <f>SUM(C39)</f>
        <v>4577182</v>
      </c>
      <c r="D40" s="19">
        <f aca="true" t="shared" si="6" ref="D40:N40">SUM(D39)</f>
        <v>366628</v>
      </c>
      <c r="E40" s="19">
        <f t="shared" si="6"/>
        <v>383470</v>
      </c>
      <c r="F40" s="19">
        <f t="shared" si="6"/>
        <v>381628</v>
      </c>
      <c r="G40" s="19">
        <f t="shared" si="6"/>
        <v>366628</v>
      </c>
      <c r="H40" s="19">
        <f t="shared" si="6"/>
        <v>385628</v>
      </c>
      <c r="I40" s="19">
        <f t="shared" si="6"/>
        <v>385628</v>
      </c>
      <c r="J40" s="19">
        <f t="shared" si="6"/>
        <v>398181</v>
      </c>
      <c r="K40" s="19">
        <f t="shared" si="6"/>
        <v>382877</v>
      </c>
      <c r="L40" s="19">
        <f t="shared" si="6"/>
        <v>381628</v>
      </c>
      <c r="M40" s="19">
        <f t="shared" si="6"/>
        <v>381628</v>
      </c>
      <c r="N40" s="19">
        <f t="shared" si="6"/>
        <v>381628</v>
      </c>
      <c r="O40" s="19">
        <f>SUM(O39)</f>
        <v>381630</v>
      </c>
      <c r="P40" s="19">
        <f t="shared" si="1"/>
        <v>4577182</v>
      </c>
      <c r="R40" s="127"/>
      <c r="T40" s="150"/>
      <c r="W40" s="150"/>
    </row>
    <row r="41" spans="1:20" ht="15" customHeight="1">
      <c r="A41" s="33"/>
      <c r="B41" s="154" t="s">
        <v>83</v>
      </c>
      <c r="C41" s="19">
        <v>0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9">
        <f t="shared" si="1"/>
        <v>0</v>
      </c>
      <c r="R41" s="127"/>
      <c r="T41" s="150"/>
    </row>
    <row r="42" spans="1:20" ht="15" customHeight="1">
      <c r="A42" s="36"/>
      <c r="B42" s="162" t="s">
        <v>84</v>
      </c>
      <c r="C42" s="31">
        <v>97943</v>
      </c>
      <c r="D42" s="111"/>
      <c r="E42" s="111"/>
      <c r="F42" s="111"/>
      <c r="G42" s="111">
        <v>15000</v>
      </c>
      <c r="H42" s="111">
        <v>9288</v>
      </c>
      <c r="I42" s="111">
        <f>15000+474</f>
        <v>15474</v>
      </c>
      <c r="J42" s="111"/>
      <c r="K42" s="111"/>
      <c r="L42" s="111">
        <v>6900</v>
      </c>
      <c r="M42" s="111">
        <v>20000</v>
      </c>
      <c r="N42" s="111">
        <v>12201</v>
      </c>
      <c r="O42" s="111">
        <v>19080</v>
      </c>
      <c r="P42" s="19">
        <f t="shared" si="1"/>
        <v>97943</v>
      </c>
      <c r="R42" s="127"/>
      <c r="T42" s="150"/>
    </row>
    <row r="43" spans="1:20" ht="15" customHeight="1">
      <c r="A43" s="36" t="s">
        <v>19</v>
      </c>
      <c r="B43" s="41" t="s">
        <v>85</v>
      </c>
      <c r="C43" s="31">
        <f>SUM(C41:C42)</f>
        <v>97943</v>
      </c>
      <c r="D43" s="31">
        <f aca="true" t="shared" si="7" ref="D43:O43">SUM(D41:D42)</f>
        <v>0</v>
      </c>
      <c r="E43" s="31">
        <f t="shared" si="7"/>
        <v>0</v>
      </c>
      <c r="F43" s="31">
        <f t="shared" si="7"/>
        <v>0</v>
      </c>
      <c r="G43" s="31">
        <f t="shared" si="7"/>
        <v>15000</v>
      </c>
      <c r="H43" s="31">
        <f t="shared" si="7"/>
        <v>9288</v>
      </c>
      <c r="I43" s="31">
        <f t="shared" si="7"/>
        <v>15474</v>
      </c>
      <c r="J43" s="31">
        <f t="shared" si="7"/>
        <v>0</v>
      </c>
      <c r="K43" s="31">
        <f t="shared" si="7"/>
        <v>0</v>
      </c>
      <c r="L43" s="31">
        <f t="shared" si="7"/>
        <v>6900</v>
      </c>
      <c r="M43" s="31">
        <f t="shared" si="7"/>
        <v>20000</v>
      </c>
      <c r="N43" s="31">
        <f t="shared" si="7"/>
        <v>12201</v>
      </c>
      <c r="O43" s="31">
        <f t="shared" si="7"/>
        <v>19080</v>
      </c>
      <c r="P43" s="19">
        <f>SUM(D43:O43)</f>
        <v>97943</v>
      </c>
      <c r="R43" s="127"/>
      <c r="T43" s="150"/>
    </row>
    <row r="44" spans="1:21" s="158" customFormat="1" ht="15" customHeight="1">
      <c r="A44" s="153"/>
      <c r="B44" s="154" t="s">
        <v>91</v>
      </c>
      <c r="C44" s="161">
        <v>0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9">
        <f>SUM(D44:O44)</f>
        <v>0</v>
      </c>
      <c r="Q44" s="160"/>
      <c r="R44" s="127"/>
      <c r="S44" s="157"/>
      <c r="T44" s="156"/>
      <c r="U44" s="157"/>
    </row>
    <row r="45" spans="1:20" ht="15" customHeight="1" thickBot="1">
      <c r="A45" s="46" t="s">
        <v>89</v>
      </c>
      <c r="B45" s="53" t="s">
        <v>90</v>
      </c>
      <c r="C45" s="47">
        <f>+C40+C43+C44</f>
        <v>4675125</v>
      </c>
      <c r="D45" s="47">
        <f>+D39+D42+D44</f>
        <v>366628</v>
      </c>
      <c r="E45" s="47">
        <f aca="true" t="shared" si="8" ref="E45:O45">+E39+E42+E44</f>
        <v>383470</v>
      </c>
      <c r="F45" s="47">
        <f t="shared" si="8"/>
        <v>381628</v>
      </c>
      <c r="G45" s="47">
        <f t="shared" si="8"/>
        <v>381628</v>
      </c>
      <c r="H45" s="47">
        <f t="shared" si="8"/>
        <v>394916</v>
      </c>
      <c r="I45" s="47">
        <f t="shared" si="8"/>
        <v>401102</v>
      </c>
      <c r="J45" s="47">
        <f t="shared" si="8"/>
        <v>398181</v>
      </c>
      <c r="K45" s="47">
        <f t="shared" si="8"/>
        <v>382877</v>
      </c>
      <c r="L45" s="47">
        <f t="shared" si="8"/>
        <v>388528</v>
      </c>
      <c r="M45" s="47">
        <f t="shared" si="8"/>
        <v>401628</v>
      </c>
      <c r="N45" s="47">
        <f t="shared" si="8"/>
        <v>393829</v>
      </c>
      <c r="O45" s="47">
        <f t="shared" si="8"/>
        <v>400710</v>
      </c>
      <c r="P45" s="47">
        <f>SUM(D45:O45)</f>
        <v>4675125</v>
      </c>
      <c r="R45" s="127"/>
      <c r="T45" s="150"/>
    </row>
    <row r="46" spans="1:20" ht="15" customHeight="1" thickBot="1">
      <c r="A46" s="189" t="s">
        <v>20</v>
      </c>
      <c r="B46" s="190"/>
      <c r="C46" s="35">
        <f>SUM(C38,C40,C43)+C44</f>
        <v>21081286</v>
      </c>
      <c r="D46" s="35">
        <f>SUM(D38,D40,D43)+1+D44</f>
        <v>1767725.46</v>
      </c>
      <c r="E46" s="35">
        <f aca="true" t="shared" si="9" ref="E46:N46">SUM(E38,E40,E43)+1+E44</f>
        <v>1654559.75</v>
      </c>
      <c r="F46" s="35">
        <f t="shared" si="9"/>
        <v>1693976.75</v>
      </c>
      <c r="G46" s="35">
        <f t="shared" si="9"/>
        <v>1686264.01</v>
      </c>
      <c r="H46" s="35">
        <f t="shared" si="9"/>
        <v>1580169.79</v>
      </c>
      <c r="I46" s="35">
        <f t="shared" si="9"/>
        <v>1612606.5</v>
      </c>
      <c r="J46" s="35">
        <f t="shared" si="9"/>
        <v>1597508.5</v>
      </c>
      <c r="K46" s="35">
        <f t="shared" si="9"/>
        <v>1536830.5</v>
      </c>
      <c r="L46" s="35">
        <f t="shared" si="9"/>
        <v>1562657.5</v>
      </c>
      <c r="M46" s="35">
        <f t="shared" si="9"/>
        <v>1679080.37</v>
      </c>
      <c r="N46" s="35">
        <f t="shared" si="9"/>
        <v>1819939.4</v>
      </c>
      <c r="O46" s="35">
        <f>SUM(O38,O40,O43)+O44</f>
        <v>2889978.79</v>
      </c>
      <c r="P46" s="35">
        <f>SUM(P38,P40,P43)+P44</f>
        <v>21081286.32</v>
      </c>
      <c r="R46" s="127"/>
      <c r="T46" s="150"/>
    </row>
    <row r="47" spans="1:21" s="16" customFormat="1" ht="15" customHeight="1">
      <c r="A47" s="81"/>
      <c r="B47" s="147" t="s">
        <v>50</v>
      </c>
      <c r="C47" s="55">
        <v>-4577182</v>
      </c>
      <c r="D47" s="55">
        <f aca="true" t="shared" si="10" ref="D47:O47">-SUM(D39)</f>
        <v>-366628</v>
      </c>
      <c r="E47" s="55">
        <f t="shared" si="10"/>
        <v>-383470</v>
      </c>
      <c r="F47" s="55">
        <f t="shared" si="10"/>
        <v>-381628</v>
      </c>
      <c r="G47" s="55">
        <f t="shared" si="10"/>
        <v>-366628</v>
      </c>
      <c r="H47" s="55">
        <f t="shared" si="10"/>
        <v>-385628</v>
      </c>
      <c r="I47" s="55">
        <f t="shared" si="10"/>
        <v>-385628</v>
      </c>
      <c r="J47" s="55">
        <f t="shared" si="10"/>
        <v>-398181</v>
      </c>
      <c r="K47" s="55">
        <f t="shared" si="10"/>
        <v>-382877</v>
      </c>
      <c r="L47" s="55">
        <f t="shared" si="10"/>
        <v>-381628</v>
      </c>
      <c r="M47" s="55">
        <f t="shared" si="10"/>
        <v>-381628</v>
      </c>
      <c r="N47" s="55">
        <f t="shared" si="10"/>
        <v>-381628</v>
      </c>
      <c r="O47" s="55">
        <f t="shared" si="10"/>
        <v>-381630</v>
      </c>
      <c r="P47" s="124">
        <f t="shared" si="1"/>
        <v>-4577182</v>
      </c>
      <c r="Q47" s="151"/>
      <c r="R47" s="127"/>
      <c r="S47" s="58"/>
      <c r="T47" s="150"/>
      <c r="U47" s="58"/>
    </row>
    <row r="48" spans="1:21" s="16" customFormat="1" ht="15" customHeight="1">
      <c r="A48" s="82"/>
      <c r="B48" s="148" t="s">
        <v>51</v>
      </c>
      <c r="C48" s="56">
        <v>-97943</v>
      </c>
      <c r="D48" s="56">
        <f aca="true" t="shared" si="11" ref="D48:O48">-SUM(D42)</f>
        <v>0</v>
      </c>
      <c r="E48" s="56">
        <f t="shared" si="11"/>
        <v>0</v>
      </c>
      <c r="F48" s="56">
        <f t="shared" si="11"/>
        <v>0</v>
      </c>
      <c r="G48" s="56">
        <f t="shared" si="11"/>
        <v>-15000</v>
      </c>
      <c r="H48" s="56">
        <f t="shared" si="11"/>
        <v>-9288</v>
      </c>
      <c r="I48" s="56">
        <f t="shared" si="11"/>
        <v>-15474</v>
      </c>
      <c r="J48" s="56">
        <f t="shared" si="11"/>
        <v>0</v>
      </c>
      <c r="K48" s="56">
        <f t="shared" si="11"/>
        <v>0</v>
      </c>
      <c r="L48" s="56">
        <f t="shared" si="11"/>
        <v>-6900</v>
      </c>
      <c r="M48" s="56">
        <f t="shared" si="11"/>
        <v>-20000</v>
      </c>
      <c r="N48" s="56">
        <f>-SUM(N42)</f>
        <v>-12201</v>
      </c>
      <c r="O48" s="56">
        <f t="shared" si="11"/>
        <v>-19080</v>
      </c>
      <c r="P48" s="126">
        <f t="shared" si="1"/>
        <v>-97943</v>
      </c>
      <c r="Q48" s="151"/>
      <c r="R48" s="127"/>
      <c r="S48" s="58"/>
      <c r="T48" s="150"/>
      <c r="U48" s="58"/>
    </row>
    <row r="49" spans="1:21" s="16" customFormat="1" ht="15" customHeight="1" thickBot="1">
      <c r="A49" s="54"/>
      <c r="B49" s="149" t="s">
        <v>54</v>
      </c>
      <c r="C49" s="57">
        <v>-355000</v>
      </c>
      <c r="D49" s="117">
        <v>-29583</v>
      </c>
      <c r="E49" s="118">
        <v>-29583</v>
      </c>
      <c r="F49" s="118">
        <v>-29583</v>
      </c>
      <c r="G49" s="118">
        <v>-29583</v>
      </c>
      <c r="H49" s="118">
        <v>-29583</v>
      </c>
      <c r="I49" s="118">
        <v>-29583</v>
      </c>
      <c r="J49" s="118">
        <v>-29583</v>
      </c>
      <c r="K49" s="118">
        <v>-29583</v>
      </c>
      <c r="L49" s="118">
        <v>-29583</v>
      </c>
      <c r="M49" s="118">
        <v>-29583</v>
      </c>
      <c r="N49" s="118">
        <v>-29583</v>
      </c>
      <c r="O49" s="118">
        <v>-29587</v>
      </c>
      <c r="P49" s="125">
        <f>SUM(D49:O49)</f>
        <v>-355000</v>
      </c>
      <c r="Q49" s="151"/>
      <c r="R49" s="127"/>
      <c r="S49" s="58"/>
      <c r="T49" s="150"/>
      <c r="U49" s="58"/>
    </row>
    <row r="50" spans="1:20" ht="15" customHeight="1" thickBot="1">
      <c r="A50" s="181" t="s">
        <v>21</v>
      </c>
      <c r="B50" s="182"/>
      <c r="C50" s="35">
        <f>SUM(C46:C49)</f>
        <v>16051161</v>
      </c>
      <c r="D50" s="35">
        <f aca="true" t="shared" si="12" ref="D50:N50">SUM(D46:D49)-1</f>
        <v>1371513.46</v>
      </c>
      <c r="E50" s="35">
        <f t="shared" si="12"/>
        <v>1241505.75</v>
      </c>
      <c r="F50" s="35">
        <f t="shared" si="12"/>
        <v>1282764.75</v>
      </c>
      <c r="G50" s="35">
        <f t="shared" si="12"/>
        <v>1275052.01</v>
      </c>
      <c r="H50" s="35">
        <f t="shared" si="12"/>
        <v>1155669.79</v>
      </c>
      <c r="I50" s="35">
        <f t="shared" si="12"/>
        <v>1181920.5</v>
      </c>
      <c r="J50" s="35">
        <f t="shared" si="12"/>
        <v>1169743.5</v>
      </c>
      <c r="K50" s="35">
        <f t="shared" si="12"/>
        <v>1124369.5</v>
      </c>
      <c r="L50" s="35">
        <f t="shared" si="12"/>
        <v>1144545.5</v>
      </c>
      <c r="M50" s="35">
        <f t="shared" si="12"/>
        <v>1247868.37</v>
      </c>
      <c r="N50" s="35">
        <f t="shared" si="12"/>
        <v>1396526.4</v>
      </c>
      <c r="O50" s="35">
        <f>SUM(O46:O49)</f>
        <v>2459681.79</v>
      </c>
      <c r="P50" s="35">
        <f>SUM(D50:O50)</f>
        <v>16051161.32</v>
      </c>
      <c r="R50" s="127"/>
      <c r="T50" s="150"/>
    </row>
    <row r="51" ht="12.75">
      <c r="L51" s="28"/>
    </row>
    <row r="53" spans="3:15" ht="12.75">
      <c r="C53" s="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</sheetData>
  <sheetProtection/>
  <mergeCells count="21">
    <mergeCell ref="L14:L15"/>
    <mergeCell ref="A46:B46"/>
    <mergeCell ref="E14:E15"/>
    <mergeCell ref="O2:P2"/>
    <mergeCell ref="H14:H15"/>
    <mergeCell ref="M14:M15"/>
    <mergeCell ref="O14:O15"/>
    <mergeCell ref="P14:P15"/>
    <mergeCell ref="N14:N15"/>
    <mergeCell ref="J14:J15"/>
    <mergeCell ref="O7:P7"/>
    <mergeCell ref="G14:G15"/>
    <mergeCell ref="I14:I15"/>
    <mergeCell ref="A50:B50"/>
    <mergeCell ref="A8:P8"/>
    <mergeCell ref="A14:B15"/>
    <mergeCell ref="C14:C15"/>
    <mergeCell ref="D14:D15"/>
    <mergeCell ref="A16:B16"/>
    <mergeCell ref="K14:K15"/>
    <mergeCell ref="F14:F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G38" sqref="G38:S42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6384" width="9.125" style="2" customWidth="1"/>
  </cols>
  <sheetData>
    <row r="1" spans="1:16" ht="14.25" customHeight="1">
      <c r="A1" s="203" t="s">
        <v>97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4" t="s">
        <v>100</v>
      </c>
      <c r="O2" s="204"/>
      <c r="P2" s="204"/>
    </row>
    <row r="3" spans="14:16" ht="12.75" customHeight="1" thickBot="1">
      <c r="N3" s="205" t="s">
        <v>22</v>
      </c>
      <c r="O3" s="205"/>
      <c r="P3" s="205"/>
    </row>
    <row r="4" spans="2:16" ht="10.5" customHeight="1" thickBot="1">
      <c r="B4" s="2"/>
      <c r="D4" s="206" t="s">
        <v>23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7"/>
    </row>
    <row r="5" spans="1:16" s="8" customFormat="1" ht="8.25" customHeight="1" thickBot="1">
      <c r="A5" s="207" t="s">
        <v>1</v>
      </c>
      <c r="B5" s="208"/>
      <c r="C5" s="100" t="s">
        <v>98</v>
      </c>
      <c r="D5" s="211" t="s">
        <v>24</v>
      </c>
      <c r="E5" s="199" t="s">
        <v>25</v>
      </c>
      <c r="F5" s="199" t="s">
        <v>26</v>
      </c>
      <c r="G5" s="199" t="s">
        <v>27</v>
      </c>
      <c r="H5" s="199" t="s">
        <v>28</v>
      </c>
      <c r="I5" s="199" t="s">
        <v>29</v>
      </c>
      <c r="J5" s="199" t="s">
        <v>30</v>
      </c>
      <c r="K5" s="199" t="s">
        <v>67</v>
      </c>
      <c r="L5" s="199" t="s">
        <v>31</v>
      </c>
      <c r="M5" s="199" t="s">
        <v>32</v>
      </c>
      <c r="N5" s="199" t="s">
        <v>33</v>
      </c>
      <c r="O5" s="193" t="s">
        <v>34</v>
      </c>
      <c r="P5" s="195" t="s">
        <v>35</v>
      </c>
    </row>
    <row r="6" spans="1:16" s="8" customFormat="1" ht="8.25" customHeight="1">
      <c r="A6" s="209"/>
      <c r="B6" s="210"/>
      <c r="C6" s="101" t="s">
        <v>99</v>
      </c>
      <c r="D6" s="212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94"/>
      <c r="P6" s="196"/>
    </row>
    <row r="7" spans="1:16" s="12" customFormat="1" ht="12" thickBot="1">
      <c r="A7" s="197">
        <v>1</v>
      </c>
      <c r="B7" s="198"/>
      <c r="C7" s="102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43">
        <v>15</v>
      </c>
    </row>
    <row r="8" spans="1:16" s="14" customFormat="1" ht="12.75" customHeight="1">
      <c r="A8" s="68" t="s">
        <v>15</v>
      </c>
      <c r="B8" s="84" t="s">
        <v>43</v>
      </c>
      <c r="C8" s="104">
        <v>2220571</v>
      </c>
      <c r="D8" s="38">
        <v>185048</v>
      </c>
      <c r="E8" s="38">
        <v>185048</v>
      </c>
      <c r="F8" s="38">
        <v>185048</v>
      </c>
      <c r="G8" s="38">
        <v>185048</v>
      </c>
      <c r="H8" s="38">
        <v>185048</v>
      </c>
      <c r="I8" s="38">
        <v>185048</v>
      </c>
      <c r="J8" s="38">
        <v>185048</v>
      </c>
      <c r="K8" s="38">
        <v>185048</v>
      </c>
      <c r="L8" s="38">
        <v>185048</v>
      </c>
      <c r="M8" s="38">
        <v>185048</v>
      </c>
      <c r="N8" s="38">
        <v>185048</v>
      </c>
      <c r="O8" s="129">
        <v>185043</v>
      </c>
      <c r="P8" s="103">
        <f>SUM(D8:O8)</f>
        <v>2220571</v>
      </c>
    </row>
    <row r="9" spans="1:16" s="39" customFormat="1" ht="12.75" customHeight="1">
      <c r="A9" s="69" t="s">
        <v>17</v>
      </c>
      <c r="B9" s="85" t="s">
        <v>44</v>
      </c>
      <c r="C9" s="104">
        <v>1398939</v>
      </c>
      <c r="D9" s="38">
        <v>116578</v>
      </c>
      <c r="E9" s="38">
        <v>116578</v>
      </c>
      <c r="F9" s="38">
        <v>116578</v>
      </c>
      <c r="G9" s="38">
        <v>116578</v>
      </c>
      <c r="H9" s="38">
        <v>116578</v>
      </c>
      <c r="I9" s="38">
        <v>116578</v>
      </c>
      <c r="J9" s="38">
        <v>116578</v>
      </c>
      <c r="K9" s="38">
        <v>116578</v>
      </c>
      <c r="L9" s="38">
        <v>116578</v>
      </c>
      <c r="M9" s="38">
        <v>116578</v>
      </c>
      <c r="N9" s="38">
        <v>116578</v>
      </c>
      <c r="O9" s="38">
        <v>116581</v>
      </c>
      <c r="P9" s="104">
        <f>SUM(D9:O9)</f>
        <v>1398939</v>
      </c>
    </row>
    <row r="10" spans="1:16" s="39" customFormat="1" ht="12.75" customHeight="1">
      <c r="A10" s="70" t="s">
        <v>24</v>
      </c>
      <c r="B10" s="86" t="s">
        <v>55</v>
      </c>
      <c r="C10" s="105">
        <f>SUM(C8:C9)</f>
        <v>3619510</v>
      </c>
      <c r="D10" s="61">
        <f aca="true" t="shared" si="0" ref="D10:P10">SUM(D8:D9)</f>
        <v>301626</v>
      </c>
      <c r="E10" s="61">
        <f t="shared" si="0"/>
        <v>301626</v>
      </c>
      <c r="F10" s="61">
        <f t="shared" si="0"/>
        <v>301626</v>
      </c>
      <c r="G10" s="61">
        <f t="shared" si="0"/>
        <v>301626</v>
      </c>
      <c r="H10" s="61">
        <f t="shared" si="0"/>
        <v>301626</v>
      </c>
      <c r="I10" s="61">
        <f t="shared" si="0"/>
        <v>301626</v>
      </c>
      <c r="J10" s="61">
        <f t="shared" si="0"/>
        <v>301626</v>
      </c>
      <c r="K10" s="61">
        <f t="shared" si="0"/>
        <v>301626</v>
      </c>
      <c r="L10" s="61">
        <f t="shared" si="0"/>
        <v>301626</v>
      </c>
      <c r="M10" s="61">
        <f t="shared" si="0"/>
        <v>301626</v>
      </c>
      <c r="N10" s="61">
        <f t="shared" si="0"/>
        <v>301626</v>
      </c>
      <c r="O10" s="130">
        <f t="shared" si="0"/>
        <v>301624</v>
      </c>
      <c r="P10" s="105">
        <f t="shared" si="0"/>
        <v>3619510</v>
      </c>
    </row>
    <row r="11" spans="1:16" s="16" customFormat="1" ht="12.75" customHeight="1">
      <c r="A11" s="69" t="s">
        <v>15</v>
      </c>
      <c r="B11" s="85" t="s">
        <v>36</v>
      </c>
      <c r="C11" s="104">
        <v>5037848</v>
      </c>
      <c r="D11" s="97">
        <v>18676</v>
      </c>
      <c r="E11" s="15">
        <v>192134</v>
      </c>
      <c r="F11" s="15">
        <v>990100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v>1025799</v>
      </c>
      <c r="M11" s="15">
        <v>788654</v>
      </c>
      <c r="N11" s="15">
        <v>229399</v>
      </c>
      <c r="O11" s="131">
        <v>288602</v>
      </c>
      <c r="P11" s="106">
        <f>SUM(D11:O11)</f>
        <v>5037848</v>
      </c>
    </row>
    <row r="12" spans="1:16" s="16" customFormat="1" ht="12.75" customHeight="1">
      <c r="A12" s="69" t="s">
        <v>17</v>
      </c>
      <c r="B12" s="85" t="s">
        <v>56</v>
      </c>
      <c r="C12" s="104">
        <v>275100</v>
      </c>
      <c r="D12" s="97">
        <f>12917+1250</f>
        <v>14167</v>
      </c>
      <c r="E12" s="15">
        <f>12917+1250+500</f>
        <v>14667</v>
      </c>
      <c r="F12" s="15">
        <f>12917+1250+5496</f>
        <v>19663</v>
      </c>
      <c r="G12" s="15">
        <f>12917+1250+13725</f>
        <v>27892</v>
      </c>
      <c r="H12" s="15">
        <f>12917+1250+300+13725</f>
        <v>28192</v>
      </c>
      <c r="I12" s="15">
        <f>12917+12250+500</f>
        <v>25667</v>
      </c>
      <c r="J12" s="15">
        <f>12917+11250+500</f>
        <v>24667</v>
      </c>
      <c r="K12" s="15">
        <f>12917+11250+500</f>
        <v>24667</v>
      </c>
      <c r="L12" s="15">
        <f>12917+1250+13725</f>
        <v>27892</v>
      </c>
      <c r="M12" s="15">
        <f>12917+1250+13725</f>
        <v>27892</v>
      </c>
      <c r="N12" s="15">
        <f>12917+1250+4500</f>
        <v>18667</v>
      </c>
      <c r="O12" s="131">
        <f>12917+1250+6900</f>
        <v>21067</v>
      </c>
      <c r="P12" s="106">
        <f>SUM(D12:O12)</f>
        <v>275100</v>
      </c>
    </row>
    <row r="13" spans="1:16" s="16" customFormat="1" ht="12.75" customHeight="1">
      <c r="A13" s="71" t="s">
        <v>25</v>
      </c>
      <c r="B13" s="86" t="s">
        <v>42</v>
      </c>
      <c r="C13" s="106">
        <f>SUM(C11:C12)</f>
        <v>5312948</v>
      </c>
      <c r="D13" s="13">
        <f>SUM(D11:D12)</f>
        <v>32843</v>
      </c>
      <c r="E13" s="13">
        <f aca="true" t="shared" si="1" ref="E13:P13">SUM(E11:E12)</f>
        <v>206801</v>
      </c>
      <c r="F13" s="13">
        <f t="shared" si="1"/>
        <v>1009763</v>
      </c>
      <c r="G13" s="13">
        <f t="shared" si="1"/>
        <v>701392</v>
      </c>
      <c r="H13" s="13">
        <f t="shared" si="1"/>
        <v>250677</v>
      </c>
      <c r="I13" s="13">
        <f t="shared" si="1"/>
        <v>246907</v>
      </c>
      <c r="J13" s="13">
        <f t="shared" si="1"/>
        <v>201551</v>
      </c>
      <c r="K13" s="13">
        <f t="shared" si="1"/>
        <v>235042</v>
      </c>
      <c r="L13" s="13">
        <f t="shared" si="1"/>
        <v>1053691</v>
      </c>
      <c r="M13" s="13">
        <f t="shared" si="1"/>
        <v>816546</v>
      </c>
      <c r="N13" s="13">
        <f t="shared" si="1"/>
        <v>248066</v>
      </c>
      <c r="O13" s="132">
        <f t="shared" si="1"/>
        <v>309669</v>
      </c>
      <c r="P13" s="106">
        <f t="shared" si="1"/>
        <v>5312948</v>
      </c>
    </row>
    <row r="14" spans="1:16" s="14" customFormat="1" ht="12.75" customHeight="1">
      <c r="A14" s="72" t="s">
        <v>26</v>
      </c>
      <c r="B14" s="87" t="s">
        <v>57</v>
      </c>
      <c r="C14" s="106">
        <v>5783843</v>
      </c>
      <c r="D14" s="38">
        <v>481987</v>
      </c>
      <c r="E14" s="38">
        <v>481987</v>
      </c>
      <c r="F14" s="38">
        <v>481987</v>
      </c>
      <c r="G14" s="38">
        <v>481987</v>
      </c>
      <c r="H14" s="38">
        <v>481987</v>
      </c>
      <c r="I14" s="38">
        <v>481987</v>
      </c>
      <c r="J14" s="38">
        <v>481987</v>
      </c>
      <c r="K14" s="38">
        <v>481987</v>
      </c>
      <c r="L14" s="38">
        <v>481987</v>
      </c>
      <c r="M14" s="38">
        <v>481987</v>
      </c>
      <c r="N14" s="38">
        <v>481987</v>
      </c>
      <c r="O14" s="38">
        <v>481986</v>
      </c>
      <c r="P14" s="106">
        <f>SUM(D14:O14)</f>
        <v>5783843</v>
      </c>
    </row>
    <row r="15" spans="1:16" s="16" customFormat="1" ht="12.75" customHeight="1" thickBot="1">
      <c r="A15" s="71" t="s">
        <v>27</v>
      </c>
      <c r="B15" s="86" t="s">
        <v>45</v>
      </c>
      <c r="C15" s="106"/>
      <c r="D15" s="9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31"/>
      <c r="P15" s="106">
        <f>SUM(D15:O15)</f>
        <v>0</v>
      </c>
    </row>
    <row r="16" spans="1:16" s="16" customFormat="1" ht="12.75" customHeight="1" thickBot="1">
      <c r="A16" s="73"/>
      <c r="B16" s="88" t="s">
        <v>48</v>
      </c>
      <c r="C16" s="107">
        <f>SUM(C10+C13+C14+C15)</f>
        <v>14716301</v>
      </c>
      <c r="D16" s="50">
        <f aca="true" t="shared" si="2" ref="D16:P16">SUM(D10+D13+D14+D15)</f>
        <v>816456</v>
      </c>
      <c r="E16" s="50">
        <f t="shared" si="2"/>
        <v>990414</v>
      </c>
      <c r="F16" s="50">
        <f t="shared" si="2"/>
        <v>1793376</v>
      </c>
      <c r="G16" s="50">
        <f t="shared" si="2"/>
        <v>1485005</v>
      </c>
      <c r="H16" s="50">
        <f t="shared" si="2"/>
        <v>1034290</v>
      </c>
      <c r="I16" s="50">
        <f t="shared" si="2"/>
        <v>1030520</v>
      </c>
      <c r="J16" s="50">
        <f t="shared" si="2"/>
        <v>985164</v>
      </c>
      <c r="K16" s="50">
        <f t="shared" si="2"/>
        <v>1018655</v>
      </c>
      <c r="L16" s="50">
        <f t="shared" si="2"/>
        <v>1837304</v>
      </c>
      <c r="M16" s="50">
        <f t="shared" si="2"/>
        <v>1600159</v>
      </c>
      <c r="N16" s="50">
        <f t="shared" si="2"/>
        <v>1031679</v>
      </c>
      <c r="O16" s="133">
        <f t="shared" si="2"/>
        <v>1093279</v>
      </c>
      <c r="P16" s="107">
        <f t="shared" si="2"/>
        <v>14716301</v>
      </c>
    </row>
    <row r="17" spans="1:16" s="16" customFormat="1" ht="12.75" customHeight="1">
      <c r="A17" s="74" t="s">
        <v>28</v>
      </c>
      <c r="B17" s="89" t="s">
        <v>58</v>
      </c>
      <c r="C17" s="108">
        <v>216696</v>
      </c>
      <c r="D17" s="62"/>
      <c r="E17" s="62"/>
      <c r="F17" s="62">
        <v>216696</v>
      </c>
      <c r="G17" s="62"/>
      <c r="H17" s="62"/>
      <c r="I17" s="62"/>
      <c r="J17" s="62"/>
      <c r="K17" s="62"/>
      <c r="L17" s="15"/>
      <c r="M17" s="62"/>
      <c r="N17" s="62"/>
      <c r="O17" s="134"/>
      <c r="P17" s="106">
        <f>SUM(D17:O17)</f>
        <v>216696</v>
      </c>
    </row>
    <row r="18" spans="1:16" s="16" customFormat="1" ht="12.75" customHeight="1">
      <c r="A18" s="71" t="s">
        <v>29</v>
      </c>
      <c r="B18" s="86" t="s">
        <v>41</v>
      </c>
      <c r="C18" s="106">
        <v>1400000</v>
      </c>
      <c r="D18" s="97">
        <v>12500</v>
      </c>
      <c r="E18" s="15">
        <v>12500</v>
      </c>
      <c r="F18" s="15">
        <v>12500</v>
      </c>
      <c r="G18" s="15">
        <f>12500+300000</f>
        <v>312500</v>
      </c>
      <c r="H18" s="15">
        <v>12500</v>
      </c>
      <c r="I18" s="15">
        <f>12500+50000</f>
        <v>62500</v>
      </c>
      <c r="J18" s="15">
        <v>12500</v>
      </c>
      <c r="K18" s="15">
        <v>12500</v>
      </c>
      <c r="L18" s="15">
        <f>12500+700000</f>
        <v>712500</v>
      </c>
      <c r="M18" s="15">
        <v>12500</v>
      </c>
      <c r="N18" s="15">
        <f>12500+200000</f>
        <v>212500</v>
      </c>
      <c r="O18" s="131">
        <v>12500</v>
      </c>
      <c r="P18" s="106">
        <f>SUM(D18:O18)</f>
        <v>1400000</v>
      </c>
    </row>
    <row r="19" spans="1:16" s="16" customFormat="1" ht="12.75" customHeight="1">
      <c r="A19" s="69" t="s">
        <v>15</v>
      </c>
      <c r="B19" s="85" t="s">
        <v>46</v>
      </c>
      <c r="C19" s="104">
        <v>24164</v>
      </c>
      <c r="D19" s="97">
        <v>2014</v>
      </c>
      <c r="E19" s="15">
        <v>2014</v>
      </c>
      <c r="F19" s="15">
        <v>2013</v>
      </c>
      <c r="G19" s="97">
        <v>2014</v>
      </c>
      <c r="H19" s="15">
        <v>2014</v>
      </c>
      <c r="I19" s="15">
        <v>2013</v>
      </c>
      <c r="J19" s="97">
        <v>2014</v>
      </c>
      <c r="K19" s="15">
        <v>2014</v>
      </c>
      <c r="L19" s="16">
        <v>2013</v>
      </c>
      <c r="M19" s="97">
        <v>2014</v>
      </c>
      <c r="N19" s="15">
        <v>2014</v>
      </c>
      <c r="O19" s="15">
        <v>2013</v>
      </c>
      <c r="P19" s="106">
        <f>SUM(D19:O19)</f>
        <v>24164</v>
      </c>
    </row>
    <row r="20" spans="1:16" s="14" customFormat="1" ht="12.75" customHeight="1">
      <c r="A20" s="69" t="s">
        <v>17</v>
      </c>
      <c r="B20" s="90" t="s">
        <v>47</v>
      </c>
      <c r="C20" s="104">
        <v>49000</v>
      </c>
      <c r="D20" s="13"/>
      <c r="E20" s="17"/>
      <c r="F20" s="42"/>
      <c r="G20" s="42"/>
      <c r="H20" s="42">
        <v>49000</v>
      </c>
      <c r="I20" s="17"/>
      <c r="J20" s="17"/>
      <c r="K20" s="17"/>
      <c r="L20" s="17"/>
      <c r="M20" s="17"/>
      <c r="N20" s="17"/>
      <c r="O20" s="135"/>
      <c r="P20" s="106">
        <f>SUM(D20:O20)</f>
        <v>49000</v>
      </c>
    </row>
    <row r="21" spans="1:16" s="16" customFormat="1" ht="12.75" customHeight="1" thickBot="1">
      <c r="A21" s="70" t="s">
        <v>30</v>
      </c>
      <c r="B21" s="86" t="s">
        <v>59</v>
      </c>
      <c r="C21" s="106">
        <f>SUM(C19:C20)</f>
        <v>73164</v>
      </c>
      <c r="D21" s="13">
        <f aca="true" t="shared" si="3" ref="D21:P21">SUM(D19:D20)</f>
        <v>2014</v>
      </c>
      <c r="E21" s="13">
        <f t="shared" si="3"/>
        <v>2014</v>
      </c>
      <c r="F21" s="13">
        <f t="shared" si="3"/>
        <v>2013</v>
      </c>
      <c r="G21" s="13">
        <f t="shared" si="3"/>
        <v>2014</v>
      </c>
      <c r="H21" s="13">
        <f t="shared" si="3"/>
        <v>51014</v>
      </c>
      <c r="I21" s="13">
        <f t="shared" si="3"/>
        <v>2013</v>
      </c>
      <c r="J21" s="13">
        <f t="shared" si="3"/>
        <v>2014</v>
      </c>
      <c r="K21" s="13">
        <f t="shared" si="3"/>
        <v>2014</v>
      </c>
      <c r="L21" s="13">
        <f>SUM(L17:L20)</f>
        <v>714513</v>
      </c>
      <c r="M21" s="13">
        <f t="shared" si="3"/>
        <v>2014</v>
      </c>
      <c r="N21" s="13">
        <f t="shared" si="3"/>
        <v>2014</v>
      </c>
      <c r="O21" s="132">
        <f t="shared" si="3"/>
        <v>2013</v>
      </c>
      <c r="P21" s="106">
        <f t="shared" si="3"/>
        <v>73164</v>
      </c>
    </row>
    <row r="22" spans="1:16" s="16" customFormat="1" ht="12.75" customHeight="1" thickBot="1">
      <c r="A22" s="75"/>
      <c r="B22" s="88" t="s">
        <v>49</v>
      </c>
      <c r="C22" s="107">
        <f>SUM(C17+C18+C21)</f>
        <v>1689860</v>
      </c>
      <c r="D22" s="50">
        <f aca="true" t="shared" si="4" ref="D22:P22">SUM(D17+D18+D21)</f>
        <v>14514</v>
      </c>
      <c r="E22" s="50">
        <f t="shared" si="4"/>
        <v>14514</v>
      </c>
      <c r="F22" s="50">
        <f t="shared" si="4"/>
        <v>231209</v>
      </c>
      <c r="G22" s="50">
        <f t="shared" si="4"/>
        <v>314514</v>
      </c>
      <c r="H22" s="50">
        <f t="shared" si="4"/>
        <v>63514</v>
      </c>
      <c r="I22" s="50">
        <f t="shared" si="4"/>
        <v>64513</v>
      </c>
      <c r="J22" s="50">
        <f t="shared" si="4"/>
        <v>14514</v>
      </c>
      <c r="K22" s="50">
        <f t="shared" si="4"/>
        <v>14514</v>
      </c>
      <c r="L22" s="50">
        <f>SUM(L18+L21)</f>
        <v>1427013</v>
      </c>
      <c r="M22" s="50">
        <f t="shared" si="4"/>
        <v>14514</v>
      </c>
      <c r="N22" s="50">
        <f t="shared" si="4"/>
        <v>214514</v>
      </c>
      <c r="O22" s="133">
        <f t="shared" si="4"/>
        <v>14513</v>
      </c>
      <c r="P22" s="107">
        <f t="shared" si="4"/>
        <v>1689860</v>
      </c>
    </row>
    <row r="23" spans="1:16" s="40" customFormat="1" ht="12.75" customHeight="1" thickBot="1">
      <c r="A23" s="76"/>
      <c r="B23" s="88" t="s">
        <v>60</v>
      </c>
      <c r="C23" s="109">
        <f>SUM(C16,C22)</f>
        <v>16406161</v>
      </c>
      <c r="D23" s="51">
        <f aca="true" t="shared" si="5" ref="D23:P23">SUM(D16,D22)</f>
        <v>830970</v>
      </c>
      <c r="E23" s="51">
        <f t="shared" si="5"/>
        <v>1004928</v>
      </c>
      <c r="F23" s="51">
        <f t="shared" si="5"/>
        <v>2024585</v>
      </c>
      <c r="G23" s="51">
        <f t="shared" si="5"/>
        <v>1799519</v>
      </c>
      <c r="H23" s="51">
        <f t="shared" si="5"/>
        <v>1097804</v>
      </c>
      <c r="I23" s="51">
        <f t="shared" si="5"/>
        <v>1095033</v>
      </c>
      <c r="J23" s="51">
        <f t="shared" si="5"/>
        <v>999678</v>
      </c>
      <c r="K23" s="51">
        <f t="shared" si="5"/>
        <v>1033169</v>
      </c>
      <c r="L23" s="51">
        <f t="shared" si="5"/>
        <v>3264317</v>
      </c>
      <c r="M23" s="51">
        <f t="shared" si="5"/>
        <v>1614673</v>
      </c>
      <c r="N23" s="51">
        <f t="shared" si="5"/>
        <v>1246193</v>
      </c>
      <c r="O23" s="136">
        <f t="shared" si="5"/>
        <v>1107792</v>
      </c>
      <c r="P23" s="109">
        <f t="shared" si="5"/>
        <v>16406161</v>
      </c>
    </row>
    <row r="24" spans="1:16" s="40" customFormat="1" ht="12.75" customHeight="1" thickBot="1">
      <c r="A24" s="77" t="s">
        <v>15</v>
      </c>
      <c r="B24" s="91" t="s">
        <v>61</v>
      </c>
      <c r="C24" s="110"/>
      <c r="D24" s="9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37"/>
      <c r="P24" s="144">
        <f>SUM(D24:O24)</f>
        <v>0</v>
      </c>
    </row>
    <row r="25" spans="1:16" s="40" customFormat="1" ht="12.75" customHeight="1">
      <c r="A25" s="78" t="s">
        <v>17</v>
      </c>
      <c r="B25" s="90" t="s">
        <v>62</v>
      </c>
      <c r="C25" s="104">
        <v>4577182</v>
      </c>
      <c r="D25" s="104">
        <f>381628-15000</f>
        <v>366628</v>
      </c>
      <c r="E25" s="104">
        <v>383470</v>
      </c>
      <c r="F25" s="104">
        <v>381628</v>
      </c>
      <c r="G25" s="104">
        <f>381628-15000</f>
        <v>366628</v>
      </c>
      <c r="H25" s="104">
        <f>381628+4000</f>
        <v>385628</v>
      </c>
      <c r="I25" s="104">
        <f>381628+4000</f>
        <v>385628</v>
      </c>
      <c r="J25" s="104">
        <f>381628+4000+12553</f>
        <v>398181</v>
      </c>
      <c r="K25" s="104">
        <f>381628-15000+12000+4249</f>
        <v>382877</v>
      </c>
      <c r="L25" s="104">
        <v>381628</v>
      </c>
      <c r="M25" s="104">
        <f>381628</f>
        <v>381628</v>
      </c>
      <c r="N25" s="104">
        <f>381628</f>
        <v>381628</v>
      </c>
      <c r="O25" s="104">
        <v>381630</v>
      </c>
      <c r="P25" s="144">
        <f>SUM(D25:O25)</f>
        <v>4577182</v>
      </c>
    </row>
    <row r="26" spans="1:16" s="40" customFormat="1" ht="12.75" customHeight="1">
      <c r="A26" s="78"/>
      <c r="B26" s="86" t="s">
        <v>63</v>
      </c>
      <c r="C26" s="105">
        <f>SUM(C24:C25)</f>
        <v>4577182</v>
      </c>
      <c r="D26" s="61">
        <f aca="true" t="shared" si="6" ref="D26:P26">SUM(D24:D25)</f>
        <v>366628</v>
      </c>
      <c r="E26" s="61">
        <f t="shared" si="6"/>
        <v>383470</v>
      </c>
      <c r="F26" s="61">
        <f t="shared" si="6"/>
        <v>381628</v>
      </c>
      <c r="G26" s="61">
        <f t="shared" si="6"/>
        <v>366628</v>
      </c>
      <c r="H26" s="61">
        <f t="shared" si="6"/>
        <v>385628</v>
      </c>
      <c r="I26" s="61">
        <f t="shared" si="6"/>
        <v>385628</v>
      </c>
      <c r="J26" s="61">
        <f t="shared" si="6"/>
        <v>398181</v>
      </c>
      <c r="K26" s="61">
        <f t="shared" si="6"/>
        <v>382877</v>
      </c>
      <c r="L26" s="61">
        <f t="shared" si="6"/>
        <v>381628</v>
      </c>
      <c r="M26" s="61">
        <f t="shared" si="6"/>
        <v>381628</v>
      </c>
      <c r="N26" s="61">
        <f t="shared" si="6"/>
        <v>381628</v>
      </c>
      <c r="O26" s="130">
        <f t="shared" si="6"/>
        <v>381630</v>
      </c>
      <c r="P26" s="105">
        <f t="shared" si="6"/>
        <v>4577182</v>
      </c>
    </row>
    <row r="27" spans="1:16" s="40" customFormat="1" ht="12.75" customHeight="1">
      <c r="A27" s="79" t="s">
        <v>15</v>
      </c>
      <c r="B27" s="90" t="s">
        <v>64</v>
      </c>
      <c r="C27" s="105"/>
      <c r="D27" s="6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138"/>
      <c r="P27" s="105">
        <f>SUM(D27:O27)</f>
        <v>0</v>
      </c>
    </row>
    <row r="28" spans="1:16" s="40" customFormat="1" ht="12.75" customHeight="1">
      <c r="A28" s="78" t="s">
        <v>17</v>
      </c>
      <c r="B28" s="92" t="s">
        <v>65</v>
      </c>
      <c r="C28" s="111">
        <v>97943</v>
      </c>
      <c r="D28" s="99"/>
      <c r="E28" s="67"/>
      <c r="F28" s="67"/>
      <c r="G28" s="67">
        <v>15000</v>
      </c>
      <c r="H28" s="67"/>
      <c r="I28" s="67"/>
      <c r="J28" s="67"/>
      <c r="K28" s="67">
        <f>15000+14546</f>
        <v>29546</v>
      </c>
      <c r="L28" s="67">
        <f>6900+14000</f>
        <v>20900</v>
      </c>
      <c r="M28" s="67">
        <v>20000</v>
      </c>
      <c r="N28" s="67"/>
      <c r="O28" s="139">
        <f>31281-18784</f>
        <v>12497</v>
      </c>
      <c r="P28" s="105">
        <f>SUM(D28:O28)</f>
        <v>97943</v>
      </c>
    </row>
    <row r="29" spans="1:16" s="40" customFormat="1" ht="12.75" customHeight="1">
      <c r="A29" s="80"/>
      <c r="B29" s="166" t="s">
        <v>66</v>
      </c>
      <c r="C29" s="167">
        <f>SUM(C27:C28)</f>
        <v>97943</v>
      </c>
      <c r="D29" s="172">
        <f aca="true" t="shared" si="7" ref="D29:O29">SUM(D27:D28)</f>
        <v>0</v>
      </c>
      <c r="E29" s="168">
        <f t="shared" si="7"/>
        <v>0</v>
      </c>
      <c r="F29" s="168">
        <f t="shared" si="7"/>
        <v>0</v>
      </c>
      <c r="G29" s="168">
        <f t="shared" si="7"/>
        <v>15000</v>
      </c>
      <c r="H29" s="168">
        <f t="shared" si="7"/>
        <v>0</v>
      </c>
      <c r="I29" s="168">
        <f t="shared" si="7"/>
        <v>0</v>
      </c>
      <c r="J29" s="168">
        <f t="shared" si="7"/>
        <v>0</v>
      </c>
      <c r="K29" s="168">
        <f t="shared" si="7"/>
        <v>29546</v>
      </c>
      <c r="L29" s="168">
        <f t="shared" si="7"/>
        <v>20900</v>
      </c>
      <c r="M29" s="168">
        <f t="shared" si="7"/>
        <v>20000</v>
      </c>
      <c r="N29" s="168">
        <f t="shared" si="7"/>
        <v>0</v>
      </c>
      <c r="O29" s="169">
        <f t="shared" si="7"/>
        <v>12497</v>
      </c>
      <c r="P29" s="167">
        <f>SUM(P27:P28)</f>
        <v>97943</v>
      </c>
    </row>
    <row r="30" spans="1:16" s="40" customFormat="1" ht="12.75" customHeight="1" thickBot="1">
      <c r="A30" s="80">
        <v>1</v>
      </c>
      <c r="B30" s="170" t="s">
        <v>92</v>
      </c>
      <c r="C30" s="112"/>
      <c r="D30" s="173"/>
      <c r="E30" s="83"/>
      <c r="F30" s="83"/>
      <c r="G30" s="83"/>
      <c r="H30" s="83"/>
      <c r="I30" s="83"/>
      <c r="J30" s="83"/>
      <c r="K30" s="83"/>
      <c r="L30" s="83"/>
      <c r="M30" s="83"/>
      <c r="N30" s="140"/>
      <c r="O30" s="171"/>
      <c r="P30" s="112">
        <f>SUM(D30:O30)</f>
        <v>0</v>
      </c>
    </row>
    <row r="31" spans="1:16" s="40" customFormat="1" ht="12.75" customHeight="1" thickBot="1">
      <c r="A31" s="177"/>
      <c r="B31" s="164" t="s">
        <v>93</v>
      </c>
      <c r="C31" s="165">
        <f>+C25+C28+C30</f>
        <v>4675125</v>
      </c>
      <c r="D31" s="174">
        <f aca="true" t="shared" si="8" ref="D31:O31">+D25+D28+D30</f>
        <v>366628</v>
      </c>
      <c r="E31" s="175">
        <f t="shared" si="8"/>
        <v>383470</v>
      </c>
      <c r="F31" s="175">
        <f t="shared" si="8"/>
        <v>381628</v>
      </c>
      <c r="G31" s="175">
        <f t="shared" si="8"/>
        <v>381628</v>
      </c>
      <c r="H31" s="175">
        <f t="shared" si="8"/>
        <v>385628</v>
      </c>
      <c r="I31" s="175">
        <f t="shared" si="8"/>
        <v>385628</v>
      </c>
      <c r="J31" s="175">
        <f t="shared" si="8"/>
        <v>398181</v>
      </c>
      <c r="K31" s="175">
        <f t="shared" si="8"/>
        <v>412423</v>
      </c>
      <c r="L31" s="175">
        <f t="shared" si="8"/>
        <v>402528</v>
      </c>
      <c r="M31" s="175">
        <f t="shared" si="8"/>
        <v>401628</v>
      </c>
      <c r="N31" s="175">
        <f t="shared" si="8"/>
        <v>381628</v>
      </c>
      <c r="O31" s="176">
        <f t="shared" si="8"/>
        <v>394127</v>
      </c>
      <c r="P31" s="165">
        <f>+P25+P28+P30</f>
        <v>4675125</v>
      </c>
    </row>
    <row r="32" spans="1:16" s="40" customFormat="1" ht="12.75" customHeight="1" thickBot="1">
      <c r="A32" s="63"/>
      <c r="B32" s="93" t="s">
        <v>37</v>
      </c>
      <c r="C32" s="113">
        <f>SUM(C23,C26,C29)+C30</f>
        <v>21081286</v>
      </c>
      <c r="D32" s="64">
        <f aca="true" t="shared" si="9" ref="D32:O32">SUM(D23,D26,D29)</f>
        <v>1197598</v>
      </c>
      <c r="E32" s="64">
        <f t="shared" si="9"/>
        <v>1388398</v>
      </c>
      <c r="F32" s="64">
        <f t="shared" si="9"/>
        <v>2406213</v>
      </c>
      <c r="G32" s="64">
        <f t="shared" si="9"/>
        <v>2181147</v>
      </c>
      <c r="H32" s="64">
        <f t="shared" si="9"/>
        <v>1483432</v>
      </c>
      <c r="I32" s="64">
        <f t="shared" si="9"/>
        <v>1480661</v>
      </c>
      <c r="J32" s="64">
        <f t="shared" si="9"/>
        <v>1397859</v>
      </c>
      <c r="K32" s="64">
        <f t="shared" si="9"/>
        <v>1445592</v>
      </c>
      <c r="L32" s="64">
        <f t="shared" si="9"/>
        <v>3666845</v>
      </c>
      <c r="M32" s="64">
        <f t="shared" si="9"/>
        <v>2016301</v>
      </c>
      <c r="N32" s="64">
        <f t="shared" si="9"/>
        <v>1627821</v>
      </c>
      <c r="O32" s="141">
        <f t="shared" si="9"/>
        <v>1501919</v>
      </c>
      <c r="P32" s="113">
        <f>SUM(P23,P26,P29)+P30</f>
        <v>21081286</v>
      </c>
    </row>
    <row r="33" spans="1:16" s="16" customFormat="1" ht="11.25" customHeight="1">
      <c r="A33" s="81"/>
      <c r="B33" s="94" t="s">
        <v>50</v>
      </c>
      <c r="C33" s="114">
        <f>-SUM(C25)</f>
        <v>-4577182</v>
      </c>
      <c r="D33" s="55">
        <f aca="true" t="shared" si="10" ref="D33:O33">-SUM(D25)</f>
        <v>-366628</v>
      </c>
      <c r="E33" s="55">
        <f t="shared" si="10"/>
        <v>-383470</v>
      </c>
      <c r="F33" s="55">
        <f t="shared" si="10"/>
        <v>-381628</v>
      </c>
      <c r="G33" s="55">
        <f t="shared" si="10"/>
        <v>-366628</v>
      </c>
      <c r="H33" s="55">
        <f t="shared" si="10"/>
        <v>-385628</v>
      </c>
      <c r="I33" s="55">
        <f t="shared" si="10"/>
        <v>-385628</v>
      </c>
      <c r="J33" s="55">
        <f t="shared" si="10"/>
        <v>-398181</v>
      </c>
      <c r="K33" s="55">
        <f t="shared" si="10"/>
        <v>-382877</v>
      </c>
      <c r="L33" s="55">
        <f t="shared" si="10"/>
        <v>-381628</v>
      </c>
      <c r="M33" s="55">
        <f t="shared" si="10"/>
        <v>-381628</v>
      </c>
      <c r="N33" s="55">
        <f t="shared" si="10"/>
        <v>-381628</v>
      </c>
      <c r="O33" s="55">
        <f t="shared" si="10"/>
        <v>-381630</v>
      </c>
      <c r="P33" s="125">
        <f>SUM(D33:O33)</f>
        <v>-4577182</v>
      </c>
    </row>
    <row r="34" spans="1:16" s="16" customFormat="1" ht="12.75" customHeight="1">
      <c r="A34" s="82"/>
      <c r="B34" s="95" t="s">
        <v>51</v>
      </c>
      <c r="C34" s="56">
        <f>-SUM(C28)</f>
        <v>-97943</v>
      </c>
      <c r="D34" s="56">
        <f aca="true" t="shared" si="11" ref="D34:O34">-SUM(D28)</f>
        <v>0</v>
      </c>
      <c r="E34" s="56">
        <f t="shared" si="11"/>
        <v>0</v>
      </c>
      <c r="F34" s="56">
        <f t="shared" si="11"/>
        <v>0</v>
      </c>
      <c r="G34" s="56">
        <f t="shared" si="11"/>
        <v>-15000</v>
      </c>
      <c r="H34" s="56">
        <f t="shared" si="11"/>
        <v>0</v>
      </c>
      <c r="I34" s="56">
        <f t="shared" si="11"/>
        <v>0</v>
      </c>
      <c r="J34" s="56">
        <f t="shared" si="11"/>
        <v>0</v>
      </c>
      <c r="K34" s="56">
        <f t="shared" si="11"/>
        <v>-29546</v>
      </c>
      <c r="L34" s="56">
        <f t="shared" si="11"/>
        <v>-20900</v>
      </c>
      <c r="M34" s="56">
        <f t="shared" si="11"/>
        <v>-20000</v>
      </c>
      <c r="N34" s="56">
        <f>-SUM(N28)</f>
        <v>0</v>
      </c>
      <c r="O34" s="56">
        <f t="shared" si="11"/>
        <v>-12497</v>
      </c>
      <c r="P34" s="56">
        <f>SUM(D34:O34)</f>
        <v>-97943</v>
      </c>
    </row>
    <row r="35" spans="1:16" s="16" customFormat="1" ht="15" customHeight="1" thickBot="1">
      <c r="A35" s="59"/>
      <c r="B35" s="96" t="s">
        <v>54</v>
      </c>
      <c r="C35" s="115">
        <v>-355000</v>
      </c>
      <c r="D35" s="117">
        <v>-29583</v>
      </c>
      <c r="E35" s="118">
        <v>-29583</v>
      </c>
      <c r="F35" s="118">
        <v>-29583</v>
      </c>
      <c r="G35" s="118">
        <v>-29583</v>
      </c>
      <c r="H35" s="118">
        <v>-29583</v>
      </c>
      <c r="I35" s="118">
        <v>-29583</v>
      </c>
      <c r="J35" s="118">
        <v>-29583</v>
      </c>
      <c r="K35" s="118">
        <v>-29583</v>
      </c>
      <c r="L35" s="118">
        <v>-29583</v>
      </c>
      <c r="M35" s="118">
        <v>-29583</v>
      </c>
      <c r="N35" s="118">
        <v>-29583</v>
      </c>
      <c r="O35" s="118">
        <v>-29587</v>
      </c>
      <c r="P35" s="56">
        <f>SUM(D35:O35)</f>
        <v>-355000</v>
      </c>
    </row>
    <row r="36" spans="1:16" s="16" customFormat="1" ht="10.5" customHeight="1" thickBot="1">
      <c r="A36" s="201" t="s">
        <v>37</v>
      </c>
      <c r="B36" s="202"/>
      <c r="C36" s="116">
        <f>SUM(C32:C35)</f>
        <v>16051161</v>
      </c>
      <c r="D36" s="60">
        <f aca="true" t="shared" si="12" ref="D36:P36">SUM(D32:D35)</f>
        <v>801387</v>
      </c>
      <c r="E36" s="60">
        <f t="shared" si="12"/>
        <v>975345</v>
      </c>
      <c r="F36" s="60">
        <f t="shared" si="12"/>
        <v>1995002</v>
      </c>
      <c r="G36" s="60">
        <f t="shared" si="12"/>
        <v>1769936</v>
      </c>
      <c r="H36" s="60">
        <f t="shared" si="12"/>
        <v>1068221</v>
      </c>
      <c r="I36" s="60">
        <f t="shared" si="12"/>
        <v>1065450</v>
      </c>
      <c r="J36" s="60">
        <f t="shared" si="12"/>
        <v>970095</v>
      </c>
      <c r="K36" s="60">
        <f t="shared" si="12"/>
        <v>1003586</v>
      </c>
      <c r="L36" s="60">
        <f t="shared" si="12"/>
        <v>3234734</v>
      </c>
      <c r="M36" s="60">
        <f t="shared" si="12"/>
        <v>1585090</v>
      </c>
      <c r="N36" s="60">
        <f t="shared" si="12"/>
        <v>1216610</v>
      </c>
      <c r="O36" s="142">
        <f t="shared" si="12"/>
        <v>1078205</v>
      </c>
      <c r="P36" s="116">
        <f t="shared" si="12"/>
        <v>16051161</v>
      </c>
    </row>
  </sheetData>
  <sheetProtection/>
  <mergeCells count="20">
    <mergeCell ref="A36:B36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2015-01-12T11:39:14Z</cp:lastPrinted>
  <dcterms:created xsi:type="dcterms:W3CDTF">2009-02-16T12:26:31Z</dcterms:created>
  <dcterms:modified xsi:type="dcterms:W3CDTF">2015-01-16T09:56:52Z</dcterms:modified>
  <cp:category/>
  <cp:version/>
  <cp:contentType/>
  <cp:contentStatus/>
</cp:coreProperties>
</file>