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énzügy\2016\Költségvetés_2016\Költségv_MÓDOSÍTÁS\2.sz. módosítás\Előterjesztés\"/>
    </mc:Choice>
  </mc:AlternateContent>
  <bookViews>
    <workbookView xWindow="0" yWindow="0" windowWidth="20490" windowHeight="7755" tabRatio="821" firstSheet="6" activeTab="6"/>
  </bookViews>
  <sheets>
    <sheet name="bev-kiad." sheetId="1" state="hidden" r:id="rId1"/>
    <sheet name="2014." sheetId="2" state="hidden" r:id="rId2"/>
    <sheet name="1. 2016. mindösszesen" sheetId="28" r:id="rId3"/>
    <sheet name="2. 2016. önkormányzat" sheetId="15" r:id="rId4"/>
    <sheet name="2.a önkormányzat részletes" sheetId="22" r:id="rId5"/>
    <sheet name="3. 2016. hivatal" sheetId="16" r:id="rId6"/>
    <sheet name="3.a hivatal részletes" sheetId="23" r:id="rId7"/>
    <sheet name="4. 2016. műv.ház" sheetId="17" r:id="rId8"/>
    <sheet name="4.a műv.ház részletes" sheetId="25" r:id="rId9"/>
    <sheet name="5. 2016. forrás" sheetId="18" r:id="rId10"/>
    <sheet name="5.a forrás részletes" sheetId="26" r:id="rId11"/>
    <sheet name="6. 2016. szociális" sheetId="19" r:id="rId12"/>
    <sheet name="6.a szociális részletes" sheetId="27" r:id="rId13"/>
    <sheet name="19. 2016. bölcsőde" sheetId="44" r:id="rId14"/>
    <sheet name="19.a bölcsőde részletes" sheetId="43" r:id="rId15"/>
    <sheet name="7. központi finanszírozás" sheetId="33" r:id="rId16"/>
    <sheet name="8. beruházások" sheetId="30" r:id="rId17"/>
    <sheet name="9. felújítások" sheetId="29" r:id="rId18"/>
    <sheet name="10. uniós projektek" sheetId="31" r:id="rId19"/>
    <sheet name="11. létszám" sheetId="32" r:id="rId20"/>
    <sheet name="12. mérleg" sheetId="34" r:id="rId21"/>
    <sheet name="13. kötelező feladatok" sheetId="38" r:id="rId22"/>
    <sheet name="14. önként vállalt feladatok" sheetId="37" r:id="rId23"/>
    <sheet name="15. ei.felhaszn.ütemterv" sheetId="35" r:id="rId24"/>
    <sheet name="16. középtávú terv" sheetId="36" r:id="rId25"/>
    <sheet name="17. kormányzati funkció bontás" sheetId="40" r:id="rId26"/>
    <sheet name="18.adosságot kelet ügy.fels hat" sheetId="41" r:id="rId27"/>
  </sheets>
  <externalReferences>
    <externalReference r:id="rId28"/>
  </externalReferences>
  <definedNames>
    <definedName name="_xlnm._FilterDatabase" localSheetId="13" hidden="1">'19. 2016. bölcsőde'!$A$2:$M$2</definedName>
    <definedName name="_xlnm._FilterDatabase" localSheetId="14" hidden="1">'19.a bölcsőde részletes'!$A$1:$M$108</definedName>
    <definedName name="_xlnm._FilterDatabase" localSheetId="6" hidden="1">'3.a hivatal részletes'!$A$1:$M$37</definedName>
    <definedName name="_xlnm._FilterDatabase" localSheetId="11" hidden="1">'6. 2016. szociális'!$A$2:$M$2</definedName>
    <definedName name="_xlnm._FilterDatabase" localSheetId="12" hidden="1">'6.a szociális részletes'!$A$1:$M$106</definedName>
    <definedName name="_xlnm.Print_Titles" localSheetId="2">'1. 2016. mindösszesen'!$1:$1</definedName>
    <definedName name="_xlnm.Print_Titles" localSheetId="19">'11. létszám'!$4:$7</definedName>
    <definedName name="_xlnm.Print_Titles" localSheetId="23">'15. ei.felhaszn.ütemterv'!$B:$C,'15. ei.felhaszn.ütemterv'!$4:$7</definedName>
    <definedName name="_xlnm.Print_Titles" localSheetId="24">'16. középtávú terv'!$4:$6</definedName>
    <definedName name="_xlnm.Print_Titles" localSheetId="25">'17. kormányzati funkció bontás'!$1:$2</definedName>
    <definedName name="_xlnm.Print_Titles" localSheetId="13">'19. 2016. bölcsőde'!$1:$1</definedName>
    <definedName name="_xlnm.Print_Titles" localSheetId="14">'19.a bölcsőde részletes'!$1:$1</definedName>
    <definedName name="_xlnm.Print_Titles" localSheetId="3">'2. 2016. önkormányzat'!$1:$1</definedName>
    <definedName name="_xlnm.Print_Titles" localSheetId="4">'2.a önkormányzat részletes'!$1:$1</definedName>
    <definedName name="_xlnm.Print_Titles" localSheetId="5">'3. 2016. hivatal'!$1:$1</definedName>
    <definedName name="_xlnm.Print_Titles" localSheetId="6">'3.a hivatal részletes'!$1:$1</definedName>
    <definedName name="_xlnm.Print_Titles" localSheetId="7">'4. 2016. műv.ház'!$1:$1</definedName>
    <definedName name="_xlnm.Print_Titles" localSheetId="8">'4.a műv.ház részletes'!$1:$1</definedName>
    <definedName name="_xlnm.Print_Titles" localSheetId="9">'5. 2016. forrás'!$1:$1</definedName>
    <definedName name="_xlnm.Print_Titles" localSheetId="10">'5.a forrás részletes'!$1:$1</definedName>
    <definedName name="_xlnm.Print_Titles" localSheetId="11">'6. 2016. szociális'!$1:$1</definedName>
    <definedName name="_xlnm.Print_Titles" localSheetId="12">'6.a szociális részletes'!$1:$1</definedName>
    <definedName name="_xlnm.Print_Titles" localSheetId="15">'7. központi finanszírozás'!$1:$2</definedName>
    <definedName name="_xlnm.Print_Area" localSheetId="2">'1. 2016. mindösszesen'!$A$1:$L$101</definedName>
    <definedName name="_xlnm.Print_Area" localSheetId="19">'11. létszám'!$B$4:$G$53</definedName>
    <definedName name="_xlnm.Print_Area" localSheetId="20">'12. mérleg'!$A$4:$O$39</definedName>
    <definedName name="_xlnm.Print_Area" localSheetId="21">'13. kötelező feladatok'!$A$1:$N$66</definedName>
    <definedName name="_xlnm.Print_Area" localSheetId="22">'14. önként vállalt feladatok'!$A$1:$E$38</definedName>
    <definedName name="_xlnm.Print_Area" localSheetId="23">'15. ei.felhaszn.ütemterv'!$B$4:$P$32</definedName>
    <definedName name="_xlnm.Print_Area" localSheetId="24">'16. középtávú terv'!$B$1:$I$29</definedName>
    <definedName name="_xlnm.Print_Area" localSheetId="25">'17. kormányzati funkció bontás'!$A$1:$AR$91</definedName>
    <definedName name="_xlnm.Print_Area" localSheetId="13">'19. 2016. bölcsőde'!$A$1:$L$96</definedName>
    <definedName name="_xlnm.Print_Area" localSheetId="14">'19.a bölcsőde részletes'!$A$1:$L$120</definedName>
    <definedName name="_xlnm.Print_Area" localSheetId="3">'2. 2016. önkormányzat'!$A$1:$L$85</definedName>
    <definedName name="_xlnm.Print_Area" localSheetId="4">'2.a önkormányzat részletes'!$A$1:$L$160</definedName>
    <definedName name="_xlnm.Print_Area" localSheetId="1">'2014.'!$A$1:$F$72</definedName>
    <definedName name="_xlnm.Print_Area" localSheetId="5">'3. 2016. hivatal'!$A$1:$L$96</definedName>
    <definedName name="_xlnm.Print_Area" localSheetId="6">'3.a hivatal részletes'!$A$1:$L$119</definedName>
    <definedName name="_xlnm.Print_Area" localSheetId="7">'4. 2016. műv.ház'!$A$1:$L$96</definedName>
    <definedName name="_xlnm.Print_Area" localSheetId="8">'4.a műv.ház részletes'!$A$1:$L$120</definedName>
    <definedName name="_xlnm.Print_Area" localSheetId="9">'5. 2016. forrás'!$A$1:$L$96</definedName>
    <definedName name="_xlnm.Print_Area" localSheetId="10">'5.a forrás részletes'!$A$1:$X$132</definedName>
    <definedName name="_xlnm.Print_Area" localSheetId="11">'6. 2016. szociális'!$A$1:$L$96</definedName>
    <definedName name="_xlnm.Print_Area" localSheetId="12">'6.a szociális részletes'!$A$1:$L$118</definedName>
    <definedName name="_xlnm.Print_Area" localSheetId="16">'8. beruházások'!$A$1:$F$54</definedName>
    <definedName name="para118" localSheetId="21">'13. kötelező feladatok'!#REF!</definedName>
  </definedNames>
  <calcPr calcId="152511"/>
</workbook>
</file>

<file path=xl/calcChain.xml><?xml version="1.0" encoding="utf-8"?>
<calcChain xmlns="http://schemas.openxmlformats.org/spreadsheetml/2006/main">
  <c r="T55" i="40" l="1"/>
  <c r="T52" i="40"/>
  <c r="T50" i="40"/>
  <c r="T43" i="40"/>
  <c r="I28" i="36"/>
  <c r="I29" i="36"/>
  <c r="G15" i="36"/>
  <c r="G29" i="36" s="1"/>
  <c r="F29" i="36"/>
  <c r="M28" i="35"/>
  <c r="N28" i="35"/>
  <c r="I58" i="28"/>
  <c r="E5" i="30"/>
  <c r="D5" i="30"/>
  <c r="D54" i="30"/>
  <c r="F12" i="30"/>
  <c r="F13" i="30"/>
  <c r="E12" i="30"/>
  <c r="L112" i="22"/>
  <c r="L121" i="22"/>
  <c r="L122" i="22"/>
  <c r="L123" i="22"/>
  <c r="L124" i="22"/>
  <c r="L116" i="22"/>
  <c r="K113" i="22"/>
  <c r="L114" i="22"/>
  <c r="L115" i="22"/>
  <c r="L117" i="22"/>
  <c r="L118" i="22"/>
  <c r="L119" i="22"/>
  <c r="L120" i="22"/>
  <c r="F50" i="30" l="1"/>
  <c r="T51" i="40"/>
  <c r="AR51" i="40"/>
  <c r="T42" i="40"/>
  <c r="AR19" i="40"/>
  <c r="T24" i="40"/>
  <c r="T22" i="40"/>
  <c r="T21" i="40"/>
  <c r="AE20" i="40"/>
  <c r="AE8" i="40"/>
  <c r="AE6" i="40"/>
  <c r="AE5" i="40"/>
  <c r="AD76" i="40"/>
  <c r="AD66" i="40" s="1"/>
  <c r="AD88" i="40"/>
  <c r="AD56" i="40"/>
  <c r="AD26" i="40"/>
  <c r="AD37" i="40"/>
  <c r="AD48" i="40"/>
  <c r="AD47" i="40" s="1"/>
  <c r="AD64" i="40" s="1"/>
  <c r="AE48" i="40"/>
  <c r="AE47" i="40" s="1"/>
  <c r="AD19" i="40"/>
  <c r="AD4" i="40"/>
  <c r="M78" i="40"/>
  <c r="J66" i="40"/>
  <c r="M66" i="40"/>
  <c r="J78" i="40"/>
  <c r="J89" i="40"/>
  <c r="P77" i="40"/>
  <c r="O76" i="40"/>
  <c r="J48" i="40"/>
  <c r="J47" i="40" s="1"/>
  <c r="J54" i="40"/>
  <c r="J60" i="40"/>
  <c r="J37" i="40"/>
  <c r="K37" i="40"/>
  <c r="J19" i="40"/>
  <c r="K19" i="40"/>
  <c r="J4" i="40"/>
  <c r="K4" i="40"/>
  <c r="N40" i="40"/>
  <c r="E26" i="40"/>
  <c r="F26" i="40"/>
  <c r="G26" i="40"/>
  <c r="H26" i="40"/>
  <c r="I26" i="40"/>
  <c r="J26" i="40"/>
  <c r="K26" i="40"/>
  <c r="L26" i="40"/>
  <c r="M26" i="40"/>
  <c r="N26" i="40"/>
  <c r="O26" i="40"/>
  <c r="D26" i="40"/>
  <c r="P26" i="40" s="1"/>
  <c r="K31" i="40"/>
  <c r="I32" i="40"/>
  <c r="I28" i="40"/>
  <c r="D10" i="40"/>
  <c r="D9" i="40"/>
  <c r="D8" i="40"/>
  <c r="K28" i="35"/>
  <c r="J26" i="35"/>
  <c r="M26" i="35"/>
  <c r="L26" i="35"/>
  <c r="K26" i="35"/>
  <c r="O24" i="35"/>
  <c r="N24" i="35"/>
  <c r="M24" i="35"/>
  <c r="L24" i="35"/>
  <c r="O23" i="35"/>
  <c r="O22" i="35"/>
  <c r="N22" i="35"/>
  <c r="M22" i="35"/>
  <c r="P14" i="35"/>
  <c r="P15" i="35"/>
  <c r="B13" i="35"/>
  <c r="B14" i="35" s="1"/>
  <c r="B15" i="35" s="1"/>
  <c r="B16" i="35" s="1"/>
  <c r="B17" i="35" s="1"/>
  <c r="B18" i="35" s="1"/>
  <c r="O11" i="35"/>
  <c r="N11" i="35"/>
  <c r="M11" i="35"/>
  <c r="L11" i="35"/>
  <c r="K11" i="35"/>
  <c r="I11" i="35"/>
  <c r="I9" i="35"/>
  <c r="K9" i="35"/>
  <c r="C25" i="37"/>
  <c r="AD3" i="40" l="1"/>
  <c r="J3" i="40"/>
  <c r="J64" i="40" s="1"/>
  <c r="G46" i="38" l="1"/>
  <c r="G44" i="38"/>
  <c r="L44" i="38"/>
  <c r="L46" i="38"/>
  <c r="H8" i="38"/>
  <c r="E26" i="38"/>
  <c r="E17" i="38"/>
  <c r="D17" i="38" s="1"/>
  <c r="D30" i="38"/>
  <c r="C30" i="38"/>
  <c r="C23" i="38"/>
  <c r="C8" i="38"/>
  <c r="J8" i="38"/>
  <c r="D15" i="38"/>
  <c r="B17" i="38"/>
  <c r="B20" i="38"/>
  <c r="B8" i="38"/>
  <c r="F96" i="44"/>
  <c r="F96" i="19"/>
  <c r="F96" i="18"/>
  <c r="F96" i="16"/>
  <c r="C44" i="38" l="1"/>
  <c r="F87" i="28"/>
  <c r="F72" i="15"/>
  <c r="E72" i="15"/>
  <c r="E87" i="28" s="1"/>
  <c r="L92" i="22"/>
  <c r="L91" i="22"/>
  <c r="L90" i="22"/>
  <c r="L89" i="22"/>
  <c r="L88" i="22"/>
  <c r="L87" i="22"/>
  <c r="L78" i="22"/>
  <c r="L79" i="22"/>
  <c r="L80" i="22"/>
  <c r="L81" i="22"/>
  <c r="L82" i="22"/>
  <c r="L83" i="22"/>
  <c r="L84" i="22"/>
  <c r="L85" i="22"/>
  <c r="L51" i="22"/>
  <c r="L52" i="22"/>
  <c r="L53" i="22"/>
  <c r="L54" i="22"/>
  <c r="L55" i="22"/>
  <c r="L56" i="22"/>
  <c r="L57" i="22"/>
  <c r="L58" i="22"/>
  <c r="L60" i="22"/>
  <c r="L61" i="22"/>
  <c r="L62" i="22"/>
  <c r="L63" i="22"/>
  <c r="L64" i="22"/>
  <c r="L65" i="22"/>
  <c r="L66" i="22"/>
  <c r="L50" i="22"/>
  <c r="K49" i="22"/>
  <c r="J34" i="22"/>
  <c r="K34" i="22"/>
  <c r="J22" i="22"/>
  <c r="K22" i="22"/>
  <c r="J49" i="22"/>
  <c r="L47" i="22"/>
  <c r="L23" i="22"/>
  <c r="L22" i="22" s="1"/>
  <c r="L24" i="22"/>
  <c r="L25" i="22"/>
  <c r="D147" i="22"/>
  <c r="E147" i="22"/>
  <c r="F147" i="22"/>
  <c r="C147" i="22"/>
  <c r="E135" i="22"/>
  <c r="F156" i="22"/>
  <c r="F146" i="22"/>
  <c r="E144" i="22" l="1"/>
  <c r="L108" i="22" l="1"/>
  <c r="L102" i="22"/>
  <c r="L113" i="22"/>
  <c r="K106" i="22"/>
  <c r="K8" i="43" l="1"/>
  <c r="F62" i="23" l="1"/>
  <c r="E16" i="22"/>
  <c r="L61" i="19" l="1"/>
  <c r="K61" i="19"/>
  <c r="J61" i="19"/>
  <c r="I61" i="19"/>
  <c r="E50" i="30"/>
  <c r="D50" i="30"/>
  <c r="F52" i="30"/>
  <c r="L83" i="27"/>
  <c r="D23" i="30"/>
  <c r="F50" i="32"/>
  <c r="D50" i="32"/>
  <c r="F46" i="32"/>
  <c r="E50" i="32"/>
  <c r="G12" i="32"/>
  <c r="G10" i="32"/>
  <c r="G9" i="32"/>
  <c r="G45" i="32"/>
  <c r="G44" i="32"/>
  <c r="G43" i="32"/>
  <c r="G40" i="32"/>
  <c r="G39" i="32"/>
  <c r="G38" i="32"/>
  <c r="G37" i="32"/>
  <c r="F34" i="32"/>
  <c r="G34" i="32" s="1"/>
  <c r="G33" i="32"/>
  <c r="G32" i="32"/>
  <c r="G31" i="32"/>
  <c r="G30" i="32"/>
  <c r="G29" i="32"/>
  <c r="G28" i="32"/>
  <c r="G27" i="32"/>
  <c r="G26" i="32"/>
  <c r="G23" i="32"/>
  <c r="G22" i="32"/>
  <c r="G21" i="32"/>
  <c r="G16" i="32"/>
  <c r="G17" i="32"/>
  <c r="G18" i="32"/>
  <c r="G15" i="32"/>
  <c r="D23" i="32"/>
  <c r="D34" i="32"/>
  <c r="D18" i="32"/>
  <c r="D46" i="32"/>
  <c r="E31" i="33"/>
  <c r="E35" i="33"/>
  <c r="B112" i="33"/>
  <c r="E77" i="33"/>
  <c r="G50" i="32" l="1"/>
  <c r="G46" i="32"/>
  <c r="L69" i="26"/>
  <c r="L73" i="26"/>
  <c r="F23" i="26"/>
  <c r="E23" i="26"/>
  <c r="F132" i="26"/>
  <c r="F2" i="26"/>
  <c r="F45" i="26"/>
  <c r="F29" i="26"/>
  <c r="F30" i="26"/>
  <c r="F25" i="26"/>
  <c r="F110" i="26"/>
  <c r="D25" i="26"/>
  <c r="E25" i="26"/>
  <c r="E45" i="26" s="1"/>
  <c r="E30" i="26"/>
  <c r="E29" i="26"/>
  <c r="F26" i="28" l="1"/>
  <c r="F29" i="28"/>
  <c r="E29" i="28"/>
  <c r="E26" i="28"/>
  <c r="F34" i="15"/>
  <c r="F34" i="28" s="1"/>
  <c r="F35" i="15"/>
  <c r="F35" i="28" s="1"/>
  <c r="F33" i="15"/>
  <c r="F33" i="28" s="1"/>
  <c r="L77" i="22"/>
  <c r="L37" i="15" l="1"/>
  <c r="E40" i="15"/>
  <c r="E35" i="15"/>
  <c r="E35" i="28" s="1"/>
  <c r="E33" i="15"/>
  <c r="E33" i="28" s="1"/>
  <c r="E4" i="22"/>
  <c r="D3" i="22"/>
  <c r="F7" i="22"/>
  <c r="E40" i="28" l="1"/>
  <c r="F40" i="15"/>
  <c r="F40" i="28" s="1"/>
  <c r="L94" i="22" l="1"/>
  <c r="L106" i="22"/>
  <c r="L105" i="22"/>
  <c r="L104" i="22"/>
  <c r="L103" i="22"/>
  <c r="L101" i="22"/>
  <c r="L100" i="22"/>
  <c r="L99" i="22"/>
  <c r="L98" i="22"/>
  <c r="L97" i="22"/>
  <c r="L96" i="22"/>
  <c r="L95" i="22"/>
  <c r="L93" i="22" s="1"/>
  <c r="L4" i="22"/>
  <c r="K26" i="22"/>
  <c r="E58" i="22"/>
  <c r="C58" i="22"/>
  <c r="D58" i="22"/>
  <c r="D135" i="22"/>
  <c r="C135" i="22"/>
  <c r="C2" i="22"/>
  <c r="F144" i="22"/>
  <c r="F134" i="22"/>
  <c r="F96" i="22"/>
  <c r="E96" i="22"/>
  <c r="F103" i="22"/>
  <c r="F81" i="22"/>
  <c r="D79" i="22"/>
  <c r="E79" i="22"/>
  <c r="F79" i="22"/>
  <c r="F77" i="22"/>
  <c r="F16" i="22"/>
  <c r="F9" i="22"/>
  <c r="F11" i="22"/>
  <c r="F5" i="22"/>
  <c r="F6" i="22"/>
  <c r="F8" i="22"/>
  <c r="I2" i="18"/>
  <c r="I96" i="18"/>
  <c r="U134" i="26"/>
  <c r="I97" i="18"/>
  <c r="C96" i="18"/>
  <c r="X3" i="26"/>
  <c r="L57" i="18"/>
  <c r="E83" i="18"/>
  <c r="K78" i="26"/>
  <c r="L78" i="26"/>
  <c r="L48" i="26"/>
  <c r="L49" i="26"/>
  <c r="L50" i="26"/>
  <c r="L51" i="26"/>
  <c r="L52" i="26"/>
  <c r="L53" i="26"/>
  <c r="L54" i="26"/>
  <c r="L55" i="26"/>
  <c r="L56" i="26"/>
  <c r="L57" i="26"/>
  <c r="L58" i="26"/>
  <c r="L59" i="26"/>
  <c r="L60" i="26"/>
  <c r="L61" i="26"/>
  <c r="L62" i="26"/>
  <c r="L63" i="26"/>
  <c r="L64" i="26"/>
  <c r="L65" i="26"/>
  <c r="L66" i="26"/>
  <c r="L67" i="26"/>
  <c r="L68" i="26"/>
  <c r="L70" i="26"/>
  <c r="L71" i="26"/>
  <c r="L72" i="26"/>
  <c r="L74" i="26"/>
  <c r="L75" i="26"/>
  <c r="L76" i="26"/>
  <c r="L77" i="26"/>
  <c r="K46" i="26"/>
  <c r="K45" i="26"/>
  <c r="L45" i="26" s="1"/>
  <c r="K33" i="26"/>
  <c r="K31" i="26"/>
  <c r="K27" i="26"/>
  <c r="L47" i="26"/>
  <c r="L46" i="26"/>
  <c r="L43" i="26"/>
  <c r="L42" i="26"/>
  <c r="L41" i="26"/>
  <c r="L28" i="26"/>
  <c r="L29" i="26"/>
  <c r="L30" i="26"/>
  <c r="L31" i="26"/>
  <c r="L32" i="26"/>
  <c r="L33" i="26"/>
  <c r="L34" i="26"/>
  <c r="L27" i="26"/>
  <c r="L10" i="26"/>
  <c r="L11" i="26"/>
  <c r="L12" i="26"/>
  <c r="L13" i="26"/>
  <c r="L14" i="26"/>
  <c r="L15" i="26"/>
  <c r="L5" i="26"/>
  <c r="L6" i="26"/>
  <c r="L7" i="26"/>
  <c r="L8" i="26"/>
  <c r="L9" i="26"/>
  <c r="L4" i="26"/>
  <c r="F119" i="26"/>
  <c r="F83" i="18" s="1"/>
  <c r="F118" i="26"/>
  <c r="M144" i="22" l="1"/>
  <c r="K50" i="23"/>
  <c r="L85" i="23"/>
  <c r="L86" i="23"/>
  <c r="L87" i="23"/>
  <c r="L88" i="23"/>
  <c r="L84" i="23"/>
  <c r="F106" i="23"/>
  <c r="F105" i="23"/>
  <c r="F106" i="25"/>
  <c r="F107" i="25"/>
  <c r="K95" i="28"/>
  <c r="K94" i="28"/>
  <c r="K96" i="28" s="1"/>
  <c r="K92" i="28"/>
  <c r="K91" i="28"/>
  <c r="K83" i="28"/>
  <c r="K80" i="28"/>
  <c r="E96" i="28"/>
  <c r="E93" i="28"/>
  <c r="E83" i="28"/>
  <c r="E80" i="28"/>
  <c r="E63" i="28"/>
  <c r="E62" i="28"/>
  <c r="E61" i="28"/>
  <c r="E60" i="28"/>
  <c r="E59" i="28"/>
  <c r="K81" i="15"/>
  <c r="K75" i="15"/>
  <c r="K78" i="15" s="1"/>
  <c r="K70" i="15"/>
  <c r="K85" i="28" s="1"/>
  <c r="K69" i="15"/>
  <c r="K84" i="28" s="1"/>
  <c r="K68" i="15"/>
  <c r="K65" i="15"/>
  <c r="K57" i="15"/>
  <c r="K70" i="28" s="1"/>
  <c r="K56" i="15"/>
  <c r="K55" i="15"/>
  <c r="K68" i="28" s="1"/>
  <c r="K54" i="15"/>
  <c r="K67" i="28" s="1"/>
  <c r="K52" i="15"/>
  <c r="K51" i="15"/>
  <c r="K64" i="28" s="1"/>
  <c r="K50" i="15"/>
  <c r="K48" i="15"/>
  <c r="K46" i="15"/>
  <c r="K59" i="28" s="1"/>
  <c r="K42" i="15"/>
  <c r="K42" i="28" s="1"/>
  <c r="N15" i="34" s="1"/>
  <c r="K39" i="15"/>
  <c r="K39" i="28" s="1"/>
  <c r="K37" i="15"/>
  <c r="K31" i="15"/>
  <c r="K31" i="28" s="1"/>
  <c r="K30" i="15"/>
  <c r="K30" i="28" s="1"/>
  <c r="K29" i="15"/>
  <c r="K29" i="28" s="1"/>
  <c r="K28" i="15"/>
  <c r="K28" i="28" s="1"/>
  <c r="K27" i="15"/>
  <c r="K27" i="28" s="1"/>
  <c r="K26" i="15"/>
  <c r="K26" i="28" s="1"/>
  <c r="K22" i="15"/>
  <c r="K22" i="28" s="1"/>
  <c r="K20" i="15"/>
  <c r="K20" i="28" s="1"/>
  <c r="K4" i="15"/>
  <c r="E83" i="15"/>
  <c r="E98" i="28" s="1"/>
  <c r="E100" i="28" s="1"/>
  <c r="E82" i="15"/>
  <c r="E81" i="15"/>
  <c r="E78" i="15"/>
  <c r="E70" i="15"/>
  <c r="E68" i="15"/>
  <c r="E65" i="15"/>
  <c r="E60" i="15"/>
  <c r="E57" i="15" s="1"/>
  <c r="E55" i="15"/>
  <c r="E53" i="15"/>
  <c r="E66" i="28" s="1"/>
  <c r="E45" i="15"/>
  <c r="E36" i="15"/>
  <c r="E34" i="15"/>
  <c r="E34" i="28" s="1"/>
  <c r="E32" i="15"/>
  <c r="E32" i="28" s="1"/>
  <c r="E31" i="15"/>
  <c r="E30" i="15"/>
  <c r="E30" i="28" s="1"/>
  <c r="E28" i="15"/>
  <c r="E27" i="15"/>
  <c r="E24" i="15"/>
  <c r="E24" i="28" s="1"/>
  <c r="E23" i="15"/>
  <c r="E23" i="28" s="1"/>
  <c r="E22" i="15"/>
  <c r="E22" i="28" s="1"/>
  <c r="E21" i="15"/>
  <c r="E21" i="28" s="1"/>
  <c r="E19" i="15"/>
  <c r="E19" i="28" s="1"/>
  <c r="E16" i="15"/>
  <c r="E16" i="28" s="1"/>
  <c r="E9" i="15"/>
  <c r="E9" i="28" s="1"/>
  <c r="E8" i="15"/>
  <c r="E8" i="28" s="1"/>
  <c r="E7" i="15"/>
  <c r="E7" i="28" s="1"/>
  <c r="E6" i="15"/>
  <c r="E6" i="28" s="1"/>
  <c r="E5" i="15"/>
  <c r="E5" i="28" s="1"/>
  <c r="K156" i="22"/>
  <c r="K157" i="22" s="1"/>
  <c r="K145" i="22"/>
  <c r="K132" i="22"/>
  <c r="K58" i="15" s="1"/>
  <c r="K71" i="28" s="1"/>
  <c r="K125" i="22"/>
  <c r="K119" i="22"/>
  <c r="K112" i="22"/>
  <c r="K47" i="15" s="1"/>
  <c r="K60" i="28" s="1"/>
  <c r="K102" i="22"/>
  <c r="K86" i="22"/>
  <c r="K81" i="22"/>
  <c r="K85" i="22" s="1"/>
  <c r="K59" i="22"/>
  <c r="L59" i="22" s="1"/>
  <c r="L73" i="22" s="1"/>
  <c r="K50" i="22"/>
  <c r="K35" i="22"/>
  <c r="K17" i="22"/>
  <c r="K7" i="15" s="1"/>
  <c r="K7" i="28" s="1"/>
  <c r="K16" i="22"/>
  <c r="K5" i="15" s="1"/>
  <c r="K5" i="28" s="1"/>
  <c r="K12" i="22"/>
  <c r="E155" i="22"/>
  <c r="E152" i="22"/>
  <c r="E158" i="22" s="1"/>
  <c r="E142" i="22"/>
  <c r="E139" i="22"/>
  <c r="E131" i="22"/>
  <c r="E109" i="22" s="1"/>
  <c r="E123" i="22"/>
  <c r="E110" i="22"/>
  <c r="E21" i="22"/>
  <c r="E94" i="16"/>
  <c r="E92" i="16"/>
  <c r="E89" i="16"/>
  <c r="E95" i="16" s="1"/>
  <c r="E83" i="16"/>
  <c r="E86" i="28" s="1"/>
  <c r="E82" i="16"/>
  <c r="E81" i="16"/>
  <c r="E78" i="16"/>
  <c r="E70" i="16"/>
  <c r="E64" i="16"/>
  <c r="E58" i="16"/>
  <c r="E57" i="16" s="1"/>
  <c r="E39" i="16"/>
  <c r="E36" i="16" s="1"/>
  <c r="E35" i="16"/>
  <c r="E31" i="16"/>
  <c r="E28" i="16"/>
  <c r="E25" i="16" s="1"/>
  <c r="E27" i="16"/>
  <c r="E18" i="16"/>
  <c r="E5" i="16"/>
  <c r="E4" i="16" s="1"/>
  <c r="E3" i="16" s="1"/>
  <c r="K92" i="16"/>
  <c r="K94" i="16" s="1"/>
  <c r="K89" i="16"/>
  <c r="K81" i="16"/>
  <c r="K78" i="16"/>
  <c r="K83" i="16" s="1"/>
  <c r="K74" i="16" s="1"/>
  <c r="K66" i="16"/>
  <c r="K65" i="16"/>
  <c r="K62" i="16"/>
  <c r="K61" i="16"/>
  <c r="K60" i="16"/>
  <c r="K36" i="16"/>
  <c r="K25" i="16"/>
  <c r="K22" i="16"/>
  <c r="K20" i="16"/>
  <c r="K19" i="16"/>
  <c r="K7" i="16"/>
  <c r="K115" i="23"/>
  <c r="K112" i="23"/>
  <c r="K117" i="23" s="1"/>
  <c r="K104" i="23"/>
  <c r="K101" i="23"/>
  <c r="K106" i="23" s="1"/>
  <c r="K97" i="23" s="1"/>
  <c r="K94" i="23"/>
  <c r="K89" i="23"/>
  <c r="K81" i="23"/>
  <c r="K80" i="23" s="1"/>
  <c r="K73" i="23"/>
  <c r="K66" i="23"/>
  <c r="K65" i="23"/>
  <c r="K23" i="16" s="1"/>
  <c r="K41" i="23"/>
  <c r="K35" i="23"/>
  <c r="K26" i="23"/>
  <c r="K34" i="23" s="1"/>
  <c r="K17" i="23"/>
  <c r="K16" i="23"/>
  <c r="K5" i="16" s="1"/>
  <c r="K12" i="23"/>
  <c r="K3" i="23" s="1"/>
  <c r="E115" i="23"/>
  <c r="E112" i="23"/>
  <c r="E118" i="23" s="1"/>
  <c r="E104" i="23"/>
  <c r="E101" i="23"/>
  <c r="E107" i="23" s="1"/>
  <c r="E97" i="23" s="1"/>
  <c r="E93" i="23"/>
  <c r="E87" i="23"/>
  <c r="E81" i="23"/>
  <c r="E80" i="23"/>
  <c r="E59" i="23"/>
  <c r="E46" i="23"/>
  <c r="E33" i="23"/>
  <c r="E23" i="23"/>
  <c r="E21" i="23"/>
  <c r="E3" i="23"/>
  <c r="E94" i="17"/>
  <c r="E92" i="17"/>
  <c r="E89" i="17"/>
  <c r="E95" i="17" s="1"/>
  <c r="E83" i="17"/>
  <c r="E82" i="17"/>
  <c r="E81" i="17"/>
  <c r="E78" i="17"/>
  <c r="E70" i="17"/>
  <c r="E64" i="17"/>
  <c r="E58" i="17"/>
  <c r="E57" i="17" s="1"/>
  <c r="E36" i="17"/>
  <c r="E31" i="17"/>
  <c r="E27" i="17"/>
  <c r="E25" i="17" s="1"/>
  <c r="E18" i="17"/>
  <c r="E16" i="17"/>
  <c r="E8" i="17"/>
  <c r="E4" i="17"/>
  <c r="E3" i="17" s="1"/>
  <c r="E2" i="17" s="1"/>
  <c r="K92" i="17"/>
  <c r="K94" i="17" s="1"/>
  <c r="K89" i="17"/>
  <c r="K81" i="17"/>
  <c r="K78" i="17"/>
  <c r="K83" i="17" s="1"/>
  <c r="K74" i="17" s="1"/>
  <c r="K66" i="17"/>
  <c r="K65" i="17"/>
  <c r="K62" i="17"/>
  <c r="K61" i="17"/>
  <c r="K58" i="17" s="1"/>
  <c r="K57" i="17" s="1"/>
  <c r="K36" i="17"/>
  <c r="K25" i="17"/>
  <c r="K23" i="17"/>
  <c r="K22" i="17"/>
  <c r="K21" i="17"/>
  <c r="K20" i="17"/>
  <c r="K19" i="17"/>
  <c r="K7" i="17"/>
  <c r="K5" i="17"/>
  <c r="K3" i="17" s="1"/>
  <c r="K4" i="17"/>
  <c r="E116" i="25"/>
  <c r="E113" i="25"/>
  <c r="E119" i="25" s="1"/>
  <c r="E105" i="25"/>
  <c r="E102" i="25"/>
  <c r="E108" i="25" s="1"/>
  <c r="E98" i="25" s="1"/>
  <c r="E94" i="25"/>
  <c r="E88" i="25"/>
  <c r="E82" i="25"/>
  <c r="E81" i="25"/>
  <c r="E58" i="25"/>
  <c r="E44" i="25"/>
  <c r="E34" i="25"/>
  <c r="E24" i="25"/>
  <c r="E22" i="25"/>
  <c r="E4" i="25"/>
  <c r="E3" i="25" s="1"/>
  <c r="E2" i="25" s="1"/>
  <c r="K116" i="25"/>
  <c r="K113" i="25"/>
  <c r="K118" i="25" s="1"/>
  <c r="K105" i="25"/>
  <c r="K102" i="25"/>
  <c r="K107" i="25" s="1"/>
  <c r="K98" i="25" s="1"/>
  <c r="K95" i="25"/>
  <c r="K90" i="25"/>
  <c r="K89" i="25"/>
  <c r="K82" i="25"/>
  <c r="K81" i="25" s="1"/>
  <c r="K74" i="25"/>
  <c r="K67" i="25"/>
  <c r="K63" i="25"/>
  <c r="K58" i="25"/>
  <c r="K49" i="25"/>
  <c r="K47" i="25"/>
  <c r="K55" i="25" s="1"/>
  <c r="K39" i="25"/>
  <c r="K38" i="25"/>
  <c r="K27" i="25"/>
  <c r="K35" i="25" s="1"/>
  <c r="K23" i="25"/>
  <c r="K17" i="25"/>
  <c r="K16" i="25"/>
  <c r="K3" i="25" s="1"/>
  <c r="K12" i="25"/>
  <c r="E94" i="18"/>
  <c r="E92" i="18"/>
  <c r="E89" i="18"/>
  <c r="E95" i="18" s="1"/>
  <c r="E82" i="18"/>
  <c r="E81" i="18"/>
  <c r="E78" i="18"/>
  <c r="E84" i="18" s="1"/>
  <c r="E74" i="18" s="1"/>
  <c r="E70" i="18"/>
  <c r="E57" i="18" s="1"/>
  <c r="E64" i="18"/>
  <c r="E58" i="18"/>
  <c r="E36" i="18"/>
  <c r="E35" i="18"/>
  <c r="E32" i="18"/>
  <c r="E31" i="18"/>
  <c r="E31" i="28" s="1"/>
  <c r="E30" i="18"/>
  <c r="E27" i="18"/>
  <c r="E26" i="18"/>
  <c r="E18" i="18"/>
  <c r="E16" i="18"/>
  <c r="E7" i="18"/>
  <c r="E5" i="18"/>
  <c r="E4" i="18"/>
  <c r="E3" i="18" s="1"/>
  <c r="K92" i="18"/>
  <c r="K89" i="18"/>
  <c r="K94" i="18" s="1"/>
  <c r="K81" i="18"/>
  <c r="K78" i="18"/>
  <c r="K83" i="18" s="1"/>
  <c r="K74" i="18" s="1"/>
  <c r="K66" i="18"/>
  <c r="K65" i="18"/>
  <c r="K62" i="18"/>
  <c r="K61" i="18"/>
  <c r="K58" i="18" s="1"/>
  <c r="K57" i="18" s="1"/>
  <c r="K25" i="18"/>
  <c r="K22" i="18"/>
  <c r="K20" i="18"/>
  <c r="K5" i="18"/>
  <c r="K128" i="26"/>
  <c r="K125" i="26"/>
  <c r="K130" i="26" s="1"/>
  <c r="K117" i="26"/>
  <c r="K114" i="26"/>
  <c r="K119" i="26" s="1"/>
  <c r="K110" i="26" s="1"/>
  <c r="K107" i="26"/>
  <c r="K102" i="26"/>
  <c r="K94" i="26"/>
  <c r="K93" i="26"/>
  <c r="K86" i="26"/>
  <c r="K36" i="18" s="1"/>
  <c r="K79" i="26"/>
  <c r="K23" i="18"/>
  <c r="K72" i="26"/>
  <c r="K58" i="26"/>
  <c r="K52" i="26"/>
  <c r="K44" i="26"/>
  <c r="K43" i="26"/>
  <c r="K26" i="26"/>
  <c r="L26" i="26" s="1"/>
  <c r="K22" i="26"/>
  <c r="K17" i="26"/>
  <c r="K16" i="26"/>
  <c r="K12" i="26"/>
  <c r="K3" i="26" s="1"/>
  <c r="E128" i="26"/>
  <c r="E125" i="26"/>
  <c r="E131" i="26" s="1"/>
  <c r="E117" i="26"/>
  <c r="E114" i="26"/>
  <c r="E120" i="26" s="1"/>
  <c r="E110" i="26" s="1"/>
  <c r="E106" i="26"/>
  <c r="E100" i="26"/>
  <c r="E94" i="26"/>
  <c r="E93" i="26"/>
  <c r="E72" i="26"/>
  <c r="E49" i="26"/>
  <c r="E39" i="26"/>
  <c r="E2" i="26"/>
  <c r="E21" i="26"/>
  <c r="E4" i="26"/>
  <c r="E3" i="26"/>
  <c r="Q128" i="26"/>
  <c r="Q125" i="26"/>
  <c r="Q131" i="26" s="1"/>
  <c r="Q117" i="26"/>
  <c r="Q114" i="26"/>
  <c r="Q120" i="26" s="1"/>
  <c r="Q110" i="26" s="1"/>
  <c r="Q106" i="26"/>
  <c r="Q100" i="26"/>
  <c r="Q94" i="26"/>
  <c r="Q93" i="26"/>
  <c r="Q72" i="26"/>
  <c r="Q49" i="26"/>
  <c r="Q39" i="26"/>
  <c r="Q25" i="26"/>
  <c r="Q23" i="26" s="1"/>
  <c r="Q21" i="26"/>
  <c r="Q4" i="26"/>
  <c r="Q3" i="26"/>
  <c r="W128" i="26"/>
  <c r="W125" i="26"/>
  <c r="W130" i="26" s="1"/>
  <c r="W117" i="26"/>
  <c r="W114" i="26"/>
  <c r="W119" i="26" s="1"/>
  <c r="W110" i="26" s="1"/>
  <c r="W107" i="26"/>
  <c r="W102" i="26"/>
  <c r="W94" i="26"/>
  <c r="W93" i="26"/>
  <c r="W86" i="26"/>
  <c r="W79" i="26"/>
  <c r="W72" i="26"/>
  <c r="W58" i="26"/>
  <c r="W52" i="26"/>
  <c r="W69" i="26" s="1"/>
  <c r="W44" i="26"/>
  <c r="W43" i="26"/>
  <c r="W26" i="26"/>
  <c r="W22" i="26"/>
  <c r="W40" i="26" s="1"/>
  <c r="W16" i="26"/>
  <c r="W18" i="26"/>
  <c r="W17" i="26" s="1"/>
  <c r="L65" i="19"/>
  <c r="L67" i="19"/>
  <c r="L66" i="19" s="1"/>
  <c r="L68" i="19"/>
  <c r="L69" i="19"/>
  <c r="L70" i="19"/>
  <c r="L71" i="19"/>
  <c r="L78" i="19"/>
  <c r="L83" i="19" s="1"/>
  <c r="L74" i="19" s="1"/>
  <c r="L81" i="19"/>
  <c r="L89" i="19"/>
  <c r="L94" i="19" s="1"/>
  <c r="L92" i="19"/>
  <c r="K62" i="19"/>
  <c r="K58" i="19" s="1"/>
  <c r="K65" i="19"/>
  <c r="K67" i="19"/>
  <c r="K66" i="19" s="1"/>
  <c r="K68" i="19"/>
  <c r="K69" i="19"/>
  <c r="K70" i="19"/>
  <c r="K71" i="19"/>
  <c r="K78" i="19"/>
  <c r="K83" i="19" s="1"/>
  <c r="K74" i="19" s="1"/>
  <c r="K81" i="19"/>
  <c r="K89" i="19"/>
  <c r="K94" i="19" s="1"/>
  <c r="K92" i="19"/>
  <c r="K36" i="19"/>
  <c r="K19" i="19"/>
  <c r="K18" i="19" s="1"/>
  <c r="K20" i="19"/>
  <c r="K21" i="19"/>
  <c r="K22" i="19"/>
  <c r="K23" i="19"/>
  <c r="K25" i="19"/>
  <c r="K4" i="19"/>
  <c r="K3" i="19" s="1"/>
  <c r="K5" i="19"/>
  <c r="K7" i="19"/>
  <c r="E96" i="19"/>
  <c r="E58" i="19"/>
  <c r="E57" i="19" s="1"/>
  <c r="E64" i="19"/>
  <c r="E70" i="19"/>
  <c r="E78" i="19"/>
  <c r="E81" i="19"/>
  <c r="E82" i="19"/>
  <c r="E84" i="19" s="1"/>
  <c r="E83" i="19"/>
  <c r="E89" i="19"/>
  <c r="E92" i="19"/>
  <c r="E95" i="19" s="1"/>
  <c r="E94" i="19"/>
  <c r="E30" i="19"/>
  <c r="E25" i="19" s="1"/>
  <c r="E36" i="19"/>
  <c r="E16" i="19"/>
  <c r="E18" i="19"/>
  <c r="F2" i="19"/>
  <c r="E7" i="19"/>
  <c r="E4" i="19" s="1"/>
  <c r="E3" i="19" s="1"/>
  <c r="F74" i="19"/>
  <c r="F81" i="19"/>
  <c r="F82" i="19"/>
  <c r="F83" i="19"/>
  <c r="F84" i="19"/>
  <c r="L85" i="27"/>
  <c r="L86" i="27"/>
  <c r="L87" i="27"/>
  <c r="L84" i="27"/>
  <c r="L62" i="19" s="1"/>
  <c r="L58" i="19" s="1"/>
  <c r="F105" i="27"/>
  <c r="F104" i="27"/>
  <c r="K114" i="27"/>
  <c r="K111" i="27"/>
  <c r="K116" i="27" s="1"/>
  <c r="K103" i="27"/>
  <c r="K100" i="27"/>
  <c r="K105" i="27" s="1"/>
  <c r="K96" i="27" s="1"/>
  <c r="K93" i="27"/>
  <c r="K88" i="27"/>
  <c r="K80" i="27"/>
  <c r="K79" i="27" s="1"/>
  <c r="K72" i="27"/>
  <c r="K65" i="27"/>
  <c r="K64" i="27"/>
  <c r="K58" i="27"/>
  <c r="K49" i="27"/>
  <c r="K47" i="27"/>
  <c r="K55" i="27" s="1"/>
  <c r="K39" i="27"/>
  <c r="K38" i="27"/>
  <c r="K27" i="27"/>
  <c r="K35" i="27" s="1"/>
  <c r="K23" i="27"/>
  <c r="K18" i="27"/>
  <c r="K17" i="27"/>
  <c r="K12" i="27"/>
  <c r="E114" i="27"/>
  <c r="E111" i="27"/>
  <c r="E117" i="27" s="1"/>
  <c r="E103" i="27"/>
  <c r="E100" i="27"/>
  <c r="E106" i="27" s="1"/>
  <c r="E96" i="27" s="1"/>
  <c r="E92" i="27"/>
  <c r="E86" i="27"/>
  <c r="E80" i="27"/>
  <c r="E79" i="27"/>
  <c r="E58" i="27"/>
  <c r="E44" i="27"/>
  <c r="E34" i="27"/>
  <c r="E26" i="27"/>
  <c r="E24" i="27" s="1"/>
  <c r="E22" i="27"/>
  <c r="E4" i="27"/>
  <c r="E3" i="27"/>
  <c r="J19" i="44"/>
  <c r="K19" i="44"/>
  <c r="L19" i="44"/>
  <c r="J20" i="44"/>
  <c r="K20" i="44"/>
  <c r="L20" i="44"/>
  <c r="J21" i="44"/>
  <c r="K21" i="44"/>
  <c r="K18" i="44" s="1"/>
  <c r="L21" i="44"/>
  <c r="J22" i="44"/>
  <c r="K22" i="44"/>
  <c r="L22" i="44"/>
  <c r="J23" i="44"/>
  <c r="K23" i="44"/>
  <c r="L23" i="44"/>
  <c r="I23" i="44"/>
  <c r="I22" i="44"/>
  <c r="I21" i="44"/>
  <c r="I20" i="44"/>
  <c r="I19" i="44"/>
  <c r="J7" i="44"/>
  <c r="K7" i="44"/>
  <c r="L7" i="44"/>
  <c r="I7" i="44"/>
  <c r="J5" i="44"/>
  <c r="K5" i="44"/>
  <c r="L5" i="44"/>
  <c r="I5" i="44"/>
  <c r="J4" i="44"/>
  <c r="I4" i="44"/>
  <c r="D83" i="44"/>
  <c r="E83" i="44"/>
  <c r="F83" i="44"/>
  <c r="C83" i="44"/>
  <c r="D31" i="44"/>
  <c r="E31" i="44"/>
  <c r="F31" i="44"/>
  <c r="C31" i="44"/>
  <c r="D30" i="44"/>
  <c r="E30" i="44"/>
  <c r="F30" i="44"/>
  <c r="C30" i="44"/>
  <c r="K92" i="44"/>
  <c r="K94" i="44" s="1"/>
  <c r="K89" i="44"/>
  <c r="K81" i="44"/>
  <c r="K78" i="44"/>
  <c r="K83" i="44" s="1"/>
  <c r="K74" i="44" s="1"/>
  <c r="K70" i="44"/>
  <c r="K69" i="44"/>
  <c r="K68" i="44"/>
  <c r="K67" i="44"/>
  <c r="K58" i="44"/>
  <c r="E92" i="44"/>
  <c r="E89" i="44"/>
  <c r="E81" i="44"/>
  <c r="E78" i="44"/>
  <c r="E70" i="44"/>
  <c r="E64" i="44"/>
  <c r="E58" i="44"/>
  <c r="E57" i="44" s="1"/>
  <c r="E36" i="44"/>
  <c r="E25" i="44"/>
  <c r="E18" i="44"/>
  <c r="E7" i="44"/>
  <c r="E4" i="44" s="1"/>
  <c r="E3" i="44" s="1"/>
  <c r="L92" i="44"/>
  <c r="J92" i="44"/>
  <c r="I92" i="44"/>
  <c r="F92" i="44"/>
  <c r="D92" i="44"/>
  <c r="C92" i="44"/>
  <c r="L89" i="44"/>
  <c r="J89" i="44"/>
  <c r="J94" i="44" s="1"/>
  <c r="I89" i="44"/>
  <c r="I94" i="44" s="1"/>
  <c r="F89" i="44"/>
  <c r="D89" i="44"/>
  <c r="C89" i="44"/>
  <c r="I83" i="44"/>
  <c r="L81" i="44"/>
  <c r="J81" i="44"/>
  <c r="I81" i="44"/>
  <c r="F81" i="44"/>
  <c r="D81" i="44"/>
  <c r="D84" i="44" s="1"/>
  <c r="C81" i="44"/>
  <c r="L78" i="44"/>
  <c r="J78" i="44"/>
  <c r="J83" i="44" s="1"/>
  <c r="I78" i="44"/>
  <c r="F78" i="44"/>
  <c r="D78" i="44"/>
  <c r="C78" i="44"/>
  <c r="I71" i="44"/>
  <c r="L70" i="44"/>
  <c r="J70" i="44"/>
  <c r="I70" i="44"/>
  <c r="F70" i="44"/>
  <c r="D70" i="44"/>
  <c r="C70" i="44"/>
  <c r="L69" i="44"/>
  <c r="J69" i="44"/>
  <c r="I69" i="44"/>
  <c r="L68" i="44"/>
  <c r="J68" i="44"/>
  <c r="I68" i="44"/>
  <c r="L67" i="44"/>
  <c r="J67" i="44"/>
  <c r="I67" i="44"/>
  <c r="F64" i="44"/>
  <c r="D64" i="44"/>
  <c r="C64" i="44"/>
  <c r="J58" i="44"/>
  <c r="F58" i="44"/>
  <c r="F57" i="44" s="1"/>
  <c r="D58" i="44"/>
  <c r="C58" i="44"/>
  <c r="C57" i="44" s="1"/>
  <c r="I36" i="44"/>
  <c r="F36" i="44"/>
  <c r="D36" i="44"/>
  <c r="C36" i="44"/>
  <c r="F25" i="44"/>
  <c r="D25" i="44"/>
  <c r="C25" i="44"/>
  <c r="I25" i="44"/>
  <c r="F18" i="44"/>
  <c r="D18" i="44"/>
  <c r="C18" i="44"/>
  <c r="F7" i="44"/>
  <c r="F4" i="44" s="1"/>
  <c r="F3" i="44" s="1"/>
  <c r="D7" i="44"/>
  <c r="C7" i="44"/>
  <c r="I3" i="44"/>
  <c r="D4" i="44"/>
  <c r="D3" i="44" s="1"/>
  <c r="C4" i="44"/>
  <c r="F107" i="43"/>
  <c r="F105" i="43"/>
  <c r="F39" i="43"/>
  <c r="F41" i="43"/>
  <c r="F35" i="43"/>
  <c r="F34" i="43"/>
  <c r="L24" i="43"/>
  <c r="L25" i="43"/>
  <c r="L26" i="43"/>
  <c r="L27" i="43"/>
  <c r="L28" i="43"/>
  <c r="L29" i="43"/>
  <c r="L30" i="43"/>
  <c r="L31" i="43"/>
  <c r="L32" i="43"/>
  <c r="L33" i="43"/>
  <c r="L34" i="43"/>
  <c r="L35" i="43"/>
  <c r="L36" i="43"/>
  <c r="L37" i="43"/>
  <c r="L38" i="43"/>
  <c r="L39" i="43"/>
  <c r="L40" i="43"/>
  <c r="L41" i="43"/>
  <c r="L42" i="43"/>
  <c r="L43" i="43"/>
  <c r="L44" i="43"/>
  <c r="L45" i="43"/>
  <c r="L46" i="43"/>
  <c r="L47" i="43"/>
  <c r="L48" i="43"/>
  <c r="L49" i="43"/>
  <c r="L50" i="43"/>
  <c r="L51" i="43"/>
  <c r="L52" i="43"/>
  <c r="L53" i="43"/>
  <c r="L54" i="43"/>
  <c r="L55" i="43"/>
  <c r="L56" i="43"/>
  <c r="L57" i="43"/>
  <c r="L58" i="43"/>
  <c r="L59" i="43"/>
  <c r="L60" i="43"/>
  <c r="L61" i="43"/>
  <c r="L62" i="43"/>
  <c r="L63" i="43"/>
  <c r="L64" i="43"/>
  <c r="L65" i="43"/>
  <c r="L66" i="43"/>
  <c r="L67" i="43"/>
  <c r="L68" i="43"/>
  <c r="L69" i="43"/>
  <c r="L70" i="43"/>
  <c r="L71" i="43"/>
  <c r="L72" i="43"/>
  <c r="L73" i="43"/>
  <c r="L74" i="43"/>
  <c r="L76" i="43"/>
  <c r="L77" i="43"/>
  <c r="L78" i="43"/>
  <c r="L79" i="43"/>
  <c r="L80" i="43"/>
  <c r="L81" i="43"/>
  <c r="L82" i="43"/>
  <c r="L83" i="43"/>
  <c r="L84" i="43"/>
  <c r="L85" i="43"/>
  <c r="L86" i="43"/>
  <c r="L87" i="43"/>
  <c r="L88" i="43"/>
  <c r="L89" i="43"/>
  <c r="L90" i="43"/>
  <c r="L91" i="43"/>
  <c r="L92" i="43"/>
  <c r="L93" i="43"/>
  <c r="L94" i="43"/>
  <c r="L95" i="43"/>
  <c r="L96" i="43"/>
  <c r="L97" i="43"/>
  <c r="L98" i="43"/>
  <c r="L99" i="43"/>
  <c r="L100" i="43"/>
  <c r="L101" i="43"/>
  <c r="L102" i="43"/>
  <c r="L103" i="43"/>
  <c r="L104" i="43"/>
  <c r="L105" i="43"/>
  <c r="L106" i="43"/>
  <c r="L107" i="43"/>
  <c r="L108" i="43"/>
  <c r="L109" i="43"/>
  <c r="L110" i="43"/>
  <c r="L111" i="43"/>
  <c r="L112" i="43"/>
  <c r="L113" i="43"/>
  <c r="L114" i="43"/>
  <c r="L115" i="43"/>
  <c r="L116" i="43"/>
  <c r="L117" i="43"/>
  <c r="L118" i="43"/>
  <c r="L119" i="43"/>
  <c r="L23" i="43"/>
  <c r="L20" i="43"/>
  <c r="L21" i="43"/>
  <c r="L19" i="43"/>
  <c r="L18" i="43" s="1"/>
  <c r="L5" i="43"/>
  <c r="L6" i="43"/>
  <c r="L7" i="43"/>
  <c r="L8" i="43"/>
  <c r="L9" i="43"/>
  <c r="L10" i="43"/>
  <c r="L11" i="43"/>
  <c r="L13" i="43"/>
  <c r="L14" i="43"/>
  <c r="L15" i="43"/>
  <c r="L16" i="43"/>
  <c r="L17" i="43"/>
  <c r="L4" i="43"/>
  <c r="E107" i="43"/>
  <c r="K61" i="43"/>
  <c r="K50" i="43"/>
  <c r="K54" i="43"/>
  <c r="K55" i="43"/>
  <c r="D34" i="43"/>
  <c r="E34" i="43"/>
  <c r="C34" i="43"/>
  <c r="F26" i="36" l="1"/>
  <c r="N33" i="34"/>
  <c r="N35" i="34" s="1"/>
  <c r="N25" i="34"/>
  <c r="F25" i="36"/>
  <c r="N11" i="34"/>
  <c r="F19" i="36"/>
  <c r="E85" i="28"/>
  <c r="E73" i="15"/>
  <c r="K135" i="22"/>
  <c r="K73" i="22"/>
  <c r="K21" i="15" s="1"/>
  <c r="K21" i="28" s="1"/>
  <c r="K23" i="15"/>
  <c r="K23" i="28" s="1"/>
  <c r="K110" i="22"/>
  <c r="K109" i="22" s="1"/>
  <c r="K41" i="15"/>
  <c r="K41" i="28" s="1"/>
  <c r="L41" i="15"/>
  <c r="E39" i="28"/>
  <c r="E36" i="28" s="1"/>
  <c r="E2" i="23"/>
  <c r="E97" i="28"/>
  <c r="E51" i="15"/>
  <c r="E44" i="15" s="1"/>
  <c r="E27" i="28"/>
  <c r="K65" i="28"/>
  <c r="K25" i="15"/>
  <c r="K90" i="28"/>
  <c r="K93" i="28" s="1"/>
  <c r="K61" i="28"/>
  <c r="E68" i="28"/>
  <c r="E64" i="28" s="1"/>
  <c r="F24" i="34" s="1"/>
  <c r="K53" i="15"/>
  <c r="K82" i="15"/>
  <c r="K97" i="28" s="1"/>
  <c r="K100" i="28" s="1"/>
  <c r="E84" i="15"/>
  <c r="E61" i="15" s="1"/>
  <c r="E25" i="15"/>
  <c r="E28" i="28"/>
  <c r="E25" i="28" s="1"/>
  <c r="K69" i="28"/>
  <c r="K66" i="28" s="1"/>
  <c r="E25" i="18"/>
  <c r="E2" i="18" s="1"/>
  <c r="E96" i="18" s="1"/>
  <c r="K71" i="15"/>
  <c r="K86" i="28"/>
  <c r="K49" i="15"/>
  <c r="K62" i="28" s="1"/>
  <c r="K93" i="22"/>
  <c r="K37" i="28"/>
  <c r="K25" i="28"/>
  <c r="K21" i="22"/>
  <c r="K3" i="22"/>
  <c r="K3" i="15"/>
  <c r="E73" i="28"/>
  <c r="E70" i="28" s="1"/>
  <c r="F25" i="34" s="1"/>
  <c r="E4" i="15"/>
  <c r="E3" i="15" s="1"/>
  <c r="K69" i="26"/>
  <c r="K21" i="18" s="1"/>
  <c r="L44" i="26"/>
  <c r="K40" i="26"/>
  <c r="K7" i="18"/>
  <c r="W12" i="26"/>
  <c r="W3" i="26" s="1"/>
  <c r="K58" i="16"/>
  <c r="K57" i="16" s="1"/>
  <c r="K4" i="16"/>
  <c r="K3" i="16"/>
  <c r="K56" i="23"/>
  <c r="K21" i="16" s="1"/>
  <c r="E84" i="16"/>
  <c r="E74" i="16" s="1"/>
  <c r="E84" i="17"/>
  <c r="E74" i="17" s="1"/>
  <c r="E96" i="17" s="1"/>
  <c r="E4" i="28"/>
  <c r="E3" i="28" s="1"/>
  <c r="E58" i="28"/>
  <c r="F23" i="34" s="1"/>
  <c r="E20" i="15"/>
  <c r="E2" i="16"/>
  <c r="E119" i="23"/>
  <c r="K18" i="17"/>
  <c r="K2" i="17" s="1"/>
  <c r="K96" i="17" s="1"/>
  <c r="E120" i="25"/>
  <c r="K22" i="25"/>
  <c r="K2" i="25" s="1"/>
  <c r="K120" i="25" s="1"/>
  <c r="E132" i="26"/>
  <c r="Q2" i="26"/>
  <c r="Q132" i="26" s="1"/>
  <c r="W73" i="26"/>
  <c r="W78" i="26" s="1"/>
  <c r="W21" i="26" s="1"/>
  <c r="W2" i="26" s="1"/>
  <c r="W132" i="26" s="1"/>
  <c r="L57" i="19"/>
  <c r="L96" i="19" s="1"/>
  <c r="K57" i="19"/>
  <c r="K96" i="19" s="1"/>
  <c r="K2" i="19"/>
  <c r="E74" i="19"/>
  <c r="E2" i="19"/>
  <c r="K3" i="27"/>
  <c r="K2" i="27" s="1"/>
  <c r="K118" i="27" s="1"/>
  <c r="K22" i="27"/>
  <c r="E2" i="27"/>
  <c r="E118" i="27" s="1"/>
  <c r="K66" i="44"/>
  <c r="J66" i="44"/>
  <c r="I66" i="44"/>
  <c r="E2" i="44"/>
  <c r="J74" i="44"/>
  <c r="L94" i="44"/>
  <c r="E84" i="44"/>
  <c r="E74" i="44" s="1"/>
  <c r="E95" i="44"/>
  <c r="L83" i="44"/>
  <c r="L74" i="44" s="1"/>
  <c r="F2" i="44"/>
  <c r="J3" i="44"/>
  <c r="D2" i="44"/>
  <c r="D57" i="44"/>
  <c r="C84" i="44"/>
  <c r="I18" i="44"/>
  <c r="I2" i="44" s="1"/>
  <c r="J18" i="44"/>
  <c r="L18" i="44"/>
  <c r="D95" i="44"/>
  <c r="D74" i="44" s="1"/>
  <c r="C3" i="44"/>
  <c r="C2" i="44" s="1"/>
  <c r="L66" i="44"/>
  <c r="L58" i="44"/>
  <c r="I58" i="44"/>
  <c r="I57" i="44" s="1"/>
  <c r="F84" i="44"/>
  <c r="F95" i="44"/>
  <c r="C95" i="44"/>
  <c r="I74" i="44"/>
  <c r="F8" i="36" l="1"/>
  <c r="F10" i="34"/>
  <c r="N13" i="34"/>
  <c r="F21" i="36"/>
  <c r="F12" i="34"/>
  <c r="F10" i="36"/>
  <c r="F34" i="34"/>
  <c r="K36" i="28"/>
  <c r="N24" i="34"/>
  <c r="F24" i="36"/>
  <c r="F13" i="34"/>
  <c r="F11" i="36"/>
  <c r="F15" i="36"/>
  <c r="F33" i="34"/>
  <c r="E88" i="28"/>
  <c r="K45" i="15"/>
  <c r="K44" i="15" s="1"/>
  <c r="K36" i="15"/>
  <c r="E96" i="16"/>
  <c r="E99" i="28"/>
  <c r="F28" i="34"/>
  <c r="K58" i="28"/>
  <c r="K83" i="15"/>
  <c r="K61" i="15" s="1"/>
  <c r="E18" i="15"/>
  <c r="E2" i="15" s="1"/>
  <c r="E85" i="15" s="1"/>
  <c r="E105" i="28" s="1"/>
  <c r="E20" i="28"/>
  <c r="E18" i="28" s="1"/>
  <c r="K98" i="28"/>
  <c r="K76" i="28" s="1"/>
  <c r="K97" i="18"/>
  <c r="K2" i="22"/>
  <c r="K159" i="22" s="1"/>
  <c r="K19" i="15"/>
  <c r="E57" i="28"/>
  <c r="F13" i="36" s="1"/>
  <c r="K19" i="18"/>
  <c r="L40" i="26"/>
  <c r="K21" i="26"/>
  <c r="K2" i="26" s="1"/>
  <c r="K132" i="26" s="1"/>
  <c r="K135" i="26" s="1"/>
  <c r="K4" i="18"/>
  <c r="K3" i="18" s="1"/>
  <c r="K21" i="23"/>
  <c r="K2" i="23" s="1"/>
  <c r="K119" i="23" s="1"/>
  <c r="K121" i="23" s="1"/>
  <c r="K18" i="16"/>
  <c r="K2" i="16" s="1"/>
  <c r="K96" i="16" s="1"/>
  <c r="K98" i="16" s="1"/>
  <c r="K120" i="27"/>
  <c r="E96" i="44"/>
  <c r="D96" i="44"/>
  <c r="I96" i="44"/>
  <c r="F74" i="44"/>
  <c r="C74" i="44"/>
  <c r="C96" i="44" s="1"/>
  <c r="F35" i="34" l="1"/>
  <c r="F37" i="34" s="1"/>
  <c r="F11" i="34"/>
  <c r="F9" i="36"/>
  <c r="F17" i="34"/>
  <c r="N14" i="34"/>
  <c r="F22" i="36"/>
  <c r="F16" i="36"/>
  <c r="N23" i="34"/>
  <c r="N28" i="34" s="1"/>
  <c r="F23" i="36"/>
  <c r="K57" i="28"/>
  <c r="E76" i="28"/>
  <c r="K18" i="15"/>
  <c r="K2" i="15" s="1"/>
  <c r="K85" i="15" s="1"/>
  <c r="K88" i="15" s="1"/>
  <c r="K19" i="28"/>
  <c r="K18" i="28" s="1"/>
  <c r="E2" i="28"/>
  <c r="K18" i="18"/>
  <c r="K2" i="18" s="1"/>
  <c r="K96" i="18" s="1"/>
  <c r="I97" i="44"/>
  <c r="E74" i="28" l="1"/>
  <c r="E101" i="28"/>
  <c r="N12" i="34"/>
  <c r="F20" i="36"/>
  <c r="F30" i="34"/>
  <c r="K87" i="15"/>
  <c r="J60" i="43"/>
  <c r="I40" i="43"/>
  <c r="D26" i="43"/>
  <c r="K116" i="43"/>
  <c r="K118" i="43" s="1"/>
  <c r="K113" i="43"/>
  <c r="K105" i="43"/>
  <c r="K102" i="43"/>
  <c r="K107" i="43" s="1"/>
  <c r="K98" i="43" s="1"/>
  <c r="K95" i="43"/>
  <c r="K90" i="43"/>
  <c r="K82" i="43"/>
  <c r="K81" i="43" s="1"/>
  <c r="K74" i="43"/>
  <c r="K67" i="43"/>
  <c r="K60" i="43"/>
  <c r="K48" i="43"/>
  <c r="K40" i="43"/>
  <c r="K39" i="43"/>
  <c r="K27" i="43"/>
  <c r="K36" i="43" s="1"/>
  <c r="K23" i="43"/>
  <c r="K18" i="43"/>
  <c r="K17" i="43"/>
  <c r="K12" i="43"/>
  <c r="E116" i="43"/>
  <c r="E113" i="43"/>
  <c r="E119" i="43" s="1"/>
  <c r="E105" i="43"/>
  <c r="E102" i="43"/>
  <c r="E108" i="43" s="1"/>
  <c r="E98" i="43" s="1"/>
  <c r="E94" i="43"/>
  <c r="E88" i="43"/>
  <c r="E82" i="43"/>
  <c r="E81" i="43"/>
  <c r="E60" i="43"/>
  <c r="E45" i="43"/>
  <c r="E26" i="43"/>
  <c r="E22" i="43"/>
  <c r="E4" i="43"/>
  <c r="E3" i="43"/>
  <c r="K4" i="44" l="1"/>
  <c r="L12" i="43"/>
  <c r="K57" i="43"/>
  <c r="K66" i="43" s="1"/>
  <c r="K22" i="43" s="1"/>
  <c r="E24" i="43"/>
  <c r="E2" i="43" s="1"/>
  <c r="E120" i="43" s="1"/>
  <c r="K3" i="43"/>
  <c r="L3" i="43" l="1"/>
  <c r="L4" i="44"/>
  <c r="L3" i="44" s="1"/>
  <c r="K3" i="44"/>
  <c r="K4" i="28"/>
  <c r="K3" i="28" s="1"/>
  <c r="F18" i="36" s="1"/>
  <c r="K2" i="43"/>
  <c r="K120" i="43" s="1"/>
  <c r="K122" i="43" s="1"/>
  <c r="F27" i="36" l="1"/>
  <c r="F28" i="36"/>
  <c r="N10" i="34"/>
  <c r="N17" i="34" s="1"/>
  <c r="F31" i="34" s="1"/>
  <c r="K2" i="28"/>
  <c r="F118" i="43"/>
  <c r="J116" i="43"/>
  <c r="I116" i="43"/>
  <c r="F116" i="43"/>
  <c r="D116" i="43"/>
  <c r="C116" i="43"/>
  <c r="J113" i="43"/>
  <c r="J118" i="43" s="1"/>
  <c r="I113" i="43"/>
  <c r="I118" i="43" s="1"/>
  <c r="F113" i="43"/>
  <c r="D113" i="43"/>
  <c r="D119" i="43" s="1"/>
  <c r="C113" i="43"/>
  <c r="C119" i="43" s="1"/>
  <c r="F106" i="43"/>
  <c r="J105" i="43"/>
  <c r="I105" i="43"/>
  <c r="D105" i="43"/>
  <c r="C105" i="43"/>
  <c r="J102" i="43"/>
  <c r="J107" i="43" s="1"/>
  <c r="I102" i="43"/>
  <c r="I107" i="43" s="1"/>
  <c r="F102" i="43"/>
  <c r="D102" i="43"/>
  <c r="C102" i="43"/>
  <c r="C108" i="43" s="1"/>
  <c r="J95" i="43"/>
  <c r="I95" i="43"/>
  <c r="F94" i="43"/>
  <c r="D94" i="43"/>
  <c r="C94" i="43"/>
  <c r="J90" i="43"/>
  <c r="J81" i="43" s="1"/>
  <c r="I90" i="43"/>
  <c r="F88" i="43"/>
  <c r="D88" i="43"/>
  <c r="D81" i="43" s="1"/>
  <c r="C88" i="43"/>
  <c r="I89" i="43"/>
  <c r="J82" i="43"/>
  <c r="F82" i="43"/>
  <c r="F81" i="43" s="1"/>
  <c r="D82" i="43"/>
  <c r="C82" i="43"/>
  <c r="C81" i="43" s="1"/>
  <c r="J74" i="43"/>
  <c r="I74" i="43"/>
  <c r="J67" i="43"/>
  <c r="I67" i="43"/>
  <c r="I60" i="43"/>
  <c r="F60" i="43"/>
  <c r="D60" i="43"/>
  <c r="C60" i="43"/>
  <c r="J50" i="43"/>
  <c r="J48" i="43"/>
  <c r="I48" i="43"/>
  <c r="F45" i="43"/>
  <c r="D45" i="43"/>
  <c r="C45" i="43"/>
  <c r="J40" i="43"/>
  <c r="J57" i="43" s="1"/>
  <c r="J61" i="43" s="1"/>
  <c r="J66" i="43" s="1"/>
  <c r="J39" i="43"/>
  <c r="I39" i="43"/>
  <c r="C24" i="43"/>
  <c r="J27" i="43"/>
  <c r="F26" i="43"/>
  <c r="C26" i="43"/>
  <c r="J23" i="43"/>
  <c r="J36" i="43" s="1"/>
  <c r="I23" i="43"/>
  <c r="F22" i="43"/>
  <c r="D22" i="43"/>
  <c r="C22" i="43"/>
  <c r="J18" i="43"/>
  <c r="J17" i="43"/>
  <c r="F17" i="43"/>
  <c r="I15" i="43"/>
  <c r="I17" i="43" s="1"/>
  <c r="J12" i="43"/>
  <c r="I12" i="43"/>
  <c r="F4" i="43"/>
  <c r="D3" i="43"/>
  <c r="C4" i="43"/>
  <c r="C3" i="43" s="1"/>
  <c r="K74" i="28" l="1"/>
  <c r="K101" i="28"/>
  <c r="K102" i="28" s="1"/>
  <c r="F19" i="34"/>
  <c r="J3" i="43"/>
  <c r="F3" i="43"/>
  <c r="C98" i="43"/>
  <c r="C2" i="43"/>
  <c r="C120" i="43" s="1"/>
  <c r="J22" i="43"/>
  <c r="J2" i="43" s="1"/>
  <c r="J120" i="43" s="1"/>
  <c r="F24" i="43"/>
  <c r="F2" i="43" s="1"/>
  <c r="J98" i="43"/>
  <c r="D108" i="43"/>
  <c r="D98" i="43" s="1"/>
  <c r="F108" i="43"/>
  <c r="D24" i="43"/>
  <c r="D2" i="43" s="1"/>
  <c r="I82" i="43"/>
  <c r="I81" i="43" s="1"/>
  <c r="I98" i="43"/>
  <c r="F119" i="43"/>
  <c r="I3" i="43"/>
  <c r="I27" i="43"/>
  <c r="I50" i="43"/>
  <c r="D120" i="43" l="1"/>
  <c r="J122" i="43" s="1"/>
  <c r="F98" i="43"/>
  <c r="F120" i="43" s="1"/>
  <c r="I36" i="43"/>
  <c r="I57" i="43"/>
  <c r="I18" i="43"/>
  <c r="Z24" i="40"/>
  <c r="AA24" i="40"/>
  <c r="AB24" i="40"/>
  <c r="AC24" i="40"/>
  <c r="AF24" i="40"/>
  <c r="AH24" i="40"/>
  <c r="AE24" i="40"/>
  <c r="AO47" i="40"/>
  <c r="AO3" i="40"/>
  <c r="AO64" i="40" s="1"/>
  <c r="AO4" i="40"/>
  <c r="AP4" i="40"/>
  <c r="AO76" i="40"/>
  <c r="AO66" i="40" s="1"/>
  <c r="AR74" i="40"/>
  <c r="AO37" i="40"/>
  <c r="AL32" i="40"/>
  <c r="AC23" i="40"/>
  <c r="W22" i="40"/>
  <c r="W20" i="40"/>
  <c r="AH23" i="40"/>
  <c r="W21" i="40"/>
  <c r="W5" i="40"/>
  <c r="T5" i="40"/>
  <c r="T6" i="40"/>
  <c r="Z8" i="40"/>
  <c r="Z5" i="40"/>
  <c r="T8" i="40"/>
  <c r="AR8" i="40" s="1"/>
  <c r="V8" i="40"/>
  <c r="V5" i="40"/>
  <c r="E17" i="40"/>
  <c r="G17" i="40"/>
  <c r="D5" i="40"/>
  <c r="D4" i="40" s="1"/>
  <c r="P10" i="40"/>
  <c r="D13" i="35"/>
  <c r="I13" i="35"/>
  <c r="I61" i="43" l="1"/>
  <c r="H26" i="35"/>
  <c r="E24" i="35"/>
  <c r="K23" i="35"/>
  <c r="L23" i="35"/>
  <c r="M23" i="35"/>
  <c r="N23" i="35"/>
  <c r="J23" i="35"/>
  <c r="I23" i="35"/>
  <c r="H23" i="35"/>
  <c r="G23" i="35"/>
  <c r="F23" i="35"/>
  <c r="E23" i="35"/>
  <c r="D23" i="35"/>
  <c r="F22" i="35"/>
  <c r="H22" i="35"/>
  <c r="J22" i="35"/>
  <c r="K22" i="35"/>
  <c r="L22" i="35"/>
  <c r="I22" i="35"/>
  <c r="G22" i="35"/>
  <c r="O9" i="35"/>
  <c r="N9" i="35"/>
  <c r="M9" i="35"/>
  <c r="L9" i="35"/>
  <c r="J9" i="35"/>
  <c r="H9" i="35"/>
  <c r="E9" i="35"/>
  <c r="F9" i="35"/>
  <c r="G9" i="35"/>
  <c r="D9" i="35"/>
  <c r="C26" i="38"/>
  <c r="E45" i="38"/>
  <c r="E46" i="38" s="1"/>
  <c r="F45" i="38"/>
  <c r="H45" i="38"/>
  <c r="I45" i="38"/>
  <c r="J45" i="38"/>
  <c r="D26" i="38"/>
  <c r="H23" i="38"/>
  <c r="E23" i="38"/>
  <c r="E8" i="38"/>
  <c r="D8" i="38"/>
  <c r="H35" i="38"/>
  <c r="C35" i="38"/>
  <c r="I66" i="43" l="1"/>
  <c r="L22" i="43" l="1"/>
  <c r="I22" i="43"/>
  <c r="I2" i="43" s="1"/>
  <c r="I120" i="43" s="1"/>
  <c r="I122" i="43" s="1"/>
  <c r="L2" i="43" l="1"/>
  <c r="L120" i="43" s="1"/>
  <c r="L122" i="43" s="1"/>
  <c r="F9" i="15" l="1"/>
  <c r="F9" i="28" s="1"/>
  <c r="D9" i="15"/>
  <c r="D9" i="28" s="1"/>
  <c r="L37" i="28"/>
  <c r="J37" i="15"/>
  <c r="J37" i="28" s="1"/>
  <c r="L69" i="15"/>
  <c r="L84" i="28" s="1"/>
  <c r="O33" i="34" s="1"/>
  <c r="O35" i="34" s="1"/>
  <c r="J69" i="15"/>
  <c r="J84" i="28" s="1"/>
  <c r="V11" i="26"/>
  <c r="J94" i="22"/>
  <c r="J85" i="22"/>
  <c r="J81" i="22"/>
  <c r="I85" i="22"/>
  <c r="J93" i="22"/>
  <c r="I93" i="22"/>
  <c r="C3" i="22"/>
  <c r="D4" i="22"/>
  <c r="C4" i="22"/>
  <c r="J102" i="22"/>
  <c r="J144" i="22"/>
  <c r="J145" i="22" s="1"/>
  <c r="L143" i="22"/>
  <c r="J35" i="22"/>
  <c r="J55" i="27"/>
  <c r="D2" i="22" l="1"/>
  <c r="G26" i="36"/>
  <c r="E26" i="36"/>
  <c r="M33" i="34"/>
  <c r="M35" i="34" s="1"/>
  <c r="I110" i="22"/>
  <c r="L134" i="22"/>
  <c r="L131" i="22"/>
  <c r="L130" i="22"/>
  <c r="L129" i="22"/>
  <c r="L128" i="22"/>
  <c r="L127" i="22"/>
  <c r="L126" i="22"/>
  <c r="F129" i="22"/>
  <c r="F75" i="22"/>
  <c r="F66" i="22"/>
  <c r="F65" i="22"/>
  <c r="F64" i="22"/>
  <c r="F63" i="22"/>
  <c r="F62" i="22"/>
  <c r="F61" i="22"/>
  <c r="F60" i="22"/>
  <c r="F46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J110" i="22"/>
  <c r="J119" i="22"/>
  <c r="J112" i="22"/>
  <c r="L111" i="22"/>
  <c r="L110" i="22" s="1"/>
  <c r="L107" i="22"/>
  <c r="J86" i="22"/>
  <c r="L76" i="22"/>
  <c r="L75" i="22"/>
  <c r="L74" i="22"/>
  <c r="J50" i="22"/>
  <c r="J59" i="22"/>
  <c r="J73" i="22" s="1"/>
  <c r="J21" i="22" s="1"/>
  <c r="L48" i="22"/>
  <c r="J47" i="22"/>
  <c r="J26" i="22"/>
  <c r="L26" i="22" s="1"/>
  <c r="L38" i="22"/>
  <c r="L37" i="22"/>
  <c r="L36" i="22"/>
  <c r="L35" i="22"/>
  <c r="L49" i="22" s="1"/>
  <c r="L33" i="22"/>
  <c r="L32" i="22"/>
  <c r="L31" i="22"/>
  <c r="L30" i="22"/>
  <c r="L29" i="22"/>
  <c r="L28" i="22"/>
  <c r="L27" i="22"/>
  <c r="L20" i="22"/>
  <c r="L19" i="22"/>
  <c r="L18" i="22"/>
  <c r="L17" i="22" s="1"/>
  <c r="J16" i="22"/>
  <c r="J17" i="22"/>
  <c r="L13" i="22"/>
  <c r="L14" i="22"/>
  <c r="L15" i="22"/>
  <c r="J12" i="22"/>
  <c r="L12" i="22" s="1"/>
  <c r="L5" i="22"/>
  <c r="L6" i="22"/>
  <c r="L7" i="22"/>
  <c r="L8" i="22"/>
  <c r="L9" i="22"/>
  <c r="L10" i="22"/>
  <c r="L11" i="22"/>
  <c r="L34" i="22" l="1"/>
  <c r="F58" i="22"/>
  <c r="L16" i="22"/>
  <c r="L86" i="22"/>
  <c r="L21" i="22"/>
  <c r="F130" i="26"/>
  <c r="F94" i="18" s="1"/>
  <c r="X101" i="26"/>
  <c r="X98" i="26"/>
  <c r="X97" i="26"/>
  <c r="X78" i="26"/>
  <c r="X77" i="26"/>
  <c r="X76" i="26"/>
  <c r="X75" i="26"/>
  <c r="X74" i="26"/>
  <c r="X73" i="26"/>
  <c r="X72" i="26"/>
  <c r="X71" i="26"/>
  <c r="X70" i="26"/>
  <c r="X69" i="26"/>
  <c r="X68" i="26"/>
  <c r="X67" i="26"/>
  <c r="X66" i="26"/>
  <c r="X65" i="26"/>
  <c r="X64" i="26"/>
  <c r="X63" i="26"/>
  <c r="X62" i="26"/>
  <c r="X61" i="26"/>
  <c r="X60" i="26"/>
  <c r="X59" i="26"/>
  <c r="X58" i="26"/>
  <c r="X57" i="26"/>
  <c r="X56" i="26"/>
  <c r="X55" i="26"/>
  <c r="X54" i="26"/>
  <c r="X53" i="26"/>
  <c r="X52" i="26"/>
  <c r="X51" i="26"/>
  <c r="X50" i="26"/>
  <c r="X49" i="26"/>
  <c r="X48" i="26"/>
  <c r="X47" i="26"/>
  <c r="X46" i="26"/>
  <c r="X45" i="26"/>
  <c r="X44" i="26"/>
  <c r="X43" i="26"/>
  <c r="L20" i="18" s="1"/>
  <c r="X42" i="26"/>
  <c r="X41" i="26"/>
  <c r="X40" i="26"/>
  <c r="X39" i="26"/>
  <c r="X38" i="26"/>
  <c r="X37" i="26"/>
  <c r="X36" i="26"/>
  <c r="X35" i="26"/>
  <c r="X34" i="26"/>
  <c r="X33" i="26"/>
  <c r="X32" i="26"/>
  <c r="X31" i="26"/>
  <c r="X30" i="26"/>
  <c r="X29" i="26"/>
  <c r="X28" i="26"/>
  <c r="X27" i="26"/>
  <c r="X26" i="26"/>
  <c r="X25" i="26"/>
  <c r="X24" i="26"/>
  <c r="X23" i="26"/>
  <c r="X22" i="26"/>
  <c r="X20" i="26"/>
  <c r="X19" i="26"/>
  <c r="X5" i="26"/>
  <c r="X6" i="26"/>
  <c r="X7" i="26"/>
  <c r="X8" i="26"/>
  <c r="X9" i="26"/>
  <c r="X10" i="26"/>
  <c r="X11" i="26"/>
  <c r="X13" i="26"/>
  <c r="X14" i="26"/>
  <c r="X15" i="26"/>
  <c r="X16" i="26"/>
  <c r="X4" i="26"/>
  <c r="R130" i="26"/>
  <c r="R119" i="26"/>
  <c r="L99" i="26"/>
  <c r="L100" i="26"/>
  <c r="L101" i="26"/>
  <c r="L98" i="26"/>
  <c r="L20" i="26"/>
  <c r="L19" i="26"/>
  <c r="L39" i="26"/>
  <c r="L38" i="26"/>
  <c r="L37" i="26"/>
  <c r="L36" i="26"/>
  <c r="L35" i="26"/>
  <c r="L25" i="26"/>
  <c r="L24" i="26"/>
  <c r="L23" i="26"/>
  <c r="L22" i="26"/>
  <c r="L16" i="26"/>
  <c r="X18" i="26"/>
  <c r="J11" i="26"/>
  <c r="F117" i="23"/>
  <c r="F42" i="23"/>
  <c r="F26" i="23"/>
  <c r="F27" i="23"/>
  <c r="F28" i="23"/>
  <c r="F29" i="23"/>
  <c r="F30" i="23"/>
  <c r="F25" i="23"/>
  <c r="L65" i="23"/>
  <c r="L64" i="23"/>
  <c r="L63" i="23"/>
  <c r="L62" i="23"/>
  <c r="L61" i="23"/>
  <c r="L60" i="23"/>
  <c r="L59" i="23"/>
  <c r="L58" i="23"/>
  <c r="L57" i="23"/>
  <c r="L56" i="23"/>
  <c r="L55" i="23"/>
  <c r="L54" i="23"/>
  <c r="L53" i="23"/>
  <c r="L52" i="23"/>
  <c r="L51" i="23"/>
  <c r="L50" i="23"/>
  <c r="L49" i="23"/>
  <c r="L48" i="23"/>
  <c r="L47" i="23"/>
  <c r="L46" i="23"/>
  <c r="L45" i="23"/>
  <c r="L44" i="23"/>
  <c r="L43" i="23"/>
  <c r="L42" i="23"/>
  <c r="L41" i="23"/>
  <c r="L40" i="23"/>
  <c r="L39" i="23"/>
  <c r="L38" i="23"/>
  <c r="L37" i="23"/>
  <c r="L36" i="23"/>
  <c r="L35" i="23"/>
  <c r="L34" i="23"/>
  <c r="L21" i="23" s="1"/>
  <c r="L33" i="23"/>
  <c r="L32" i="23"/>
  <c r="L31" i="23"/>
  <c r="L30" i="23"/>
  <c r="L29" i="23"/>
  <c r="L28" i="23"/>
  <c r="L27" i="23"/>
  <c r="L26" i="23"/>
  <c r="L25" i="23"/>
  <c r="L24" i="23"/>
  <c r="L23" i="23"/>
  <c r="L22" i="23"/>
  <c r="L20" i="23"/>
  <c r="L19" i="23"/>
  <c r="L18" i="23"/>
  <c r="L17" i="23"/>
  <c r="L7" i="16" s="1"/>
  <c r="L15" i="23"/>
  <c r="L14" i="23"/>
  <c r="L5" i="23"/>
  <c r="L6" i="23"/>
  <c r="L7" i="23"/>
  <c r="L8" i="23"/>
  <c r="L9" i="23"/>
  <c r="L10" i="23"/>
  <c r="L11" i="23"/>
  <c r="L4" i="23"/>
  <c r="F118" i="25"/>
  <c r="F27" i="25"/>
  <c r="F26" i="25"/>
  <c r="L89" i="25"/>
  <c r="L88" i="25"/>
  <c r="L87" i="25"/>
  <c r="L86" i="25"/>
  <c r="L62" i="17" s="1"/>
  <c r="L85" i="25"/>
  <c r="L84" i="25"/>
  <c r="L83" i="25"/>
  <c r="J63" i="25"/>
  <c r="L63" i="25" s="1"/>
  <c r="L80" i="25"/>
  <c r="L79" i="25"/>
  <c r="L78" i="25"/>
  <c r="L77" i="25"/>
  <c r="L76" i="25"/>
  <c r="L74" i="25"/>
  <c r="L73" i="25"/>
  <c r="L72" i="25"/>
  <c r="L71" i="25"/>
  <c r="L70" i="25"/>
  <c r="L69" i="25"/>
  <c r="L68" i="25"/>
  <c r="L67" i="25"/>
  <c r="L66" i="25"/>
  <c r="L65" i="25"/>
  <c r="L64" i="25"/>
  <c r="L62" i="25"/>
  <c r="L61" i="25"/>
  <c r="L60" i="25"/>
  <c r="L57" i="25"/>
  <c r="L56" i="25"/>
  <c r="L54" i="25"/>
  <c r="L53" i="25"/>
  <c r="L52" i="25"/>
  <c r="L51" i="25"/>
  <c r="L50" i="25"/>
  <c r="L48" i="25"/>
  <c r="L47" i="25"/>
  <c r="L46" i="25"/>
  <c r="L45" i="25"/>
  <c r="L44" i="25"/>
  <c r="L43" i="25"/>
  <c r="L42" i="25"/>
  <c r="L41" i="25"/>
  <c r="L40" i="25"/>
  <c r="L39" i="25"/>
  <c r="L37" i="25"/>
  <c r="L36" i="25"/>
  <c r="L35" i="25"/>
  <c r="L34" i="25"/>
  <c r="L33" i="25"/>
  <c r="L32" i="25"/>
  <c r="L31" i="25"/>
  <c r="L30" i="25"/>
  <c r="L29" i="25"/>
  <c r="L28" i="25"/>
  <c r="L27" i="25"/>
  <c r="L26" i="25"/>
  <c r="L25" i="25"/>
  <c r="L24" i="25"/>
  <c r="L23" i="25"/>
  <c r="L21" i="25"/>
  <c r="L20" i="25"/>
  <c r="L19" i="25"/>
  <c r="L18" i="25"/>
  <c r="L5" i="25"/>
  <c r="L6" i="25"/>
  <c r="L7" i="25"/>
  <c r="L8" i="25"/>
  <c r="L9" i="25"/>
  <c r="L10" i="25"/>
  <c r="L11" i="25"/>
  <c r="L13" i="25"/>
  <c r="L14" i="25"/>
  <c r="L15" i="25"/>
  <c r="L4" i="25"/>
  <c r="I5" i="19"/>
  <c r="F116" i="27"/>
  <c r="F39" i="27"/>
  <c r="F37" i="27"/>
  <c r="F17" i="27"/>
  <c r="I118" i="27"/>
  <c r="L117" i="27"/>
  <c r="L116" i="27"/>
  <c r="L115" i="27"/>
  <c r="L114" i="27"/>
  <c r="L113" i="27"/>
  <c r="L112" i="27"/>
  <c r="L111" i="27"/>
  <c r="L110" i="27"/>
  <c r="L109" i="27"/>
  <c r="L108" i="27"/>
  <c r="L106" i="27"/>
  <c r="L105" i="27"/>
  <c r="L104" i="27"/>
  <c r="L103" i="27"/>
  <c r="L102" i="27"/>
  <c r="L101" i="27"/>
  <c r="L100" i="27"/>
  <c r="L99" i="27"/>
  <c r="L98" i="27"/>
  <c r="L97" i="27"/>
  <c r="L95" i="27"/>
  <c r="L94" i="27"/>
  <c r="L92" i="27"/>
  <c r="L91" i="27"/>
  <c r="L90" i="27"/>
  <c r="L89" i="27"/>
  <c r="L82" i="27"/>
  <c r="L81" i="27"/>
  <c r="L78" i="27"/>
  <c r="L77" i="27"/>
  <c r="L76" i="27"/>
  <c r="L75" i="27"/>
  <c r="L74" i="27"/>
  <c r="L71" i="27"/>
  <c r="L70" i="27"/>
  <c r="L69" i="27"/>
  <c r="L68" i="27"/>
  <c r="L65" i="27" s="1"/>
  <c r="L67" i="27"/>
  <c r="L66" i="27"/>
  <c r="L63" i="27"/>
  <c r="L62" i="27"/>
  <c r="L61" i="27"/>
  <c r="L60" i="27"/>
  <c r="L59" i="27"/>
  <c r="L57" i="27"/>
  <c r="L56" i="27"/>
  <c r="L55" i="27"/>
  <c r="L54" i="27"/>
  <c r="L53" i="27"/>
  <c r="L52" i="27"/>
  <c r="L51" i="27"/>
  <c r="L50" i="27"/>
  <c r="L49" i="27"/>
  <c r="L48" i="27"/>
  <c r="L47" i="27"/>
  <c r="L46" i="27"/>
  <c r="L45" i="27"/>
  <c r="L44" i="27"/>
  <c r="L43" i="27"/>
  <c r="L42" i="27"/>
  <c r="L41" i="27"/>
  <c r="L40" i="27"/>
  <c r="L39" i="27"/>
  <c r="L38" i="27"/>
  <c r="L37" i="27"/>
  <c r="L36" i="27"/>
  <c r="L35" i="27"/>
  <c r="L34" i="27"/>
  <c r="L33" i="27"/>
  <c r="L32" i="27"/>
  <c r="L31" i="27"/>
  <c r="L30" i="27"/>
  <c r="L29" i="27"/>
  <c r="L28" i="27"/>
  <c r="L27" i="27"/>
  <c r="L26" i="27"/>
  <c r="L25" i="27"/>
  <c r="L24" i="27"/>
  <c r="L23" i="27"/>
  <c r="L21" i="27"/>
  <c r="L20" i="27"/>
  <c r="L19" i="27"/>
  <c r="L13" i="27"/>
  <c r="L14" i="27"/>
  <c r="L15" i="27"/>
  <c r="L16" i="27"/>
  <c r="L5" i="27"/>
  <c r="L6" i="27"/>
  <c r="L7" i="27"/>
  <c r="L8" i="27"/>
  <c r="L9" i="27"/>
  <c r="L10" i="27"/>
  <c r="L11" i="27"/>
  <c r="L4" i="27"/>
  <c r="J58" i="27"/>
  <c r="J22" i="19" s="1"/>
  <c r="J12" i="27"/>
  <c r="L12" i="27" s="1"/>
  <c r="J17" i="27"/>
  <c r="J5" i="19" s="1"/>
  <c r="J23" i="27"/>
  <c r="J27" i="27"/>
  <c r="L20" i="19"/>
  <c r="J38" i="27"/>
  <c r="J39" i="27"/>
  <c r="J47" i="27"/>
  <c r="J49" i="27"/>
  <c r="J65" i="27"/>
  <c r="J25" i="44" s="1"/>
  <c r="J72" i="27"/>
  <c r="L72" i="27"/>
  <c r="J88" i="27"/>
  <c r="L88" i="27"/>
  <c r="J93" i="27"/>
  <c r="J71" i="44" s="1"/>
  <c r="J57" i="44" s="1"/>
  <c r="L93" i="27"/>
  <c r="J100" i="27"/>
  <c r="J103" i="27"/>
  <c r="J105" i="27" s="1"/>
  <c r="J111" i="27"/>
  <c r="J116" i="27" s="1"/>
  <c r="J114" i="27"/>
  <c r="D4" i="27"/>
  <c r="D3" i="27" s="1"/>
  <c r="F4" i="27"/>
  <c r="F16" i="19"/>
  <c r="D22" i="27"/>
  <c r="F22" i="27"/>
  <c r="D26" i="27"/>
  <c r="F26" i="27"/>
  <c r="D34" i="27"/>
  <c r="F34" i="27" s="1"/>
  <c r="F30" i="19" s="1"/>
  <c r="F25" i="19" s="1"/>
  <c r="D44" i="27"/>
  <c r="F44" i="27"/>
  <c r="D58" i="27"/>
  <c r="F58" i="27"/>
  <c r="D80" i="27"/>
  <c r="F80" i="27"/>
  <c r="D86" i="27"/>
  <c r="F86" i="27"/>
  <c r="D92" i="27"/>
  <c r="F92" i="27"/>
  <c r="D100" i="27"/>
  <c r="F100" i="27"/>
  <c r="D103" i="27"/>
  <c r="F103" i="27"/>
  <c r="D111" i="27"/>
  <c r="F111" i="27"/>
  <c r="D114" i="27"/>
  <c r="D117" i="27" s="1"/>
  <c r="F117" i="27" s="1"/>
  <c r="F114" i="27"/>
  <c r="J20" i="19"/>
  <c r="J25" i="19"/>
  <c r="J62" i="19"/>
  <c r="J67" i="19"/>
  <c r="J68" i="19"/>
  <c r="J69" i="19"/>
  <c r="J70" i="19"/>
  <c r="J71" i="19"/>
  <c r="J78" i="19"/>
  <c r="J83" i="19" s="1"/>
  <c r="J81" i="19"/>
  <c r="J89" i="19"/>
  <c r="J92" i="19"/>
  <c r="D7" i="19"/>
  <c r="D4" i="19" s="1"/>
  <c r="F7" i="19"/>
  <c r="F4" i="19" s="1"/>
  <c r="D16" i="19"/>
  <c r="D18" i="19"/>
  <c r="F18" i="19"/>
  <c r="D36" i="19"/>
  <c r="F36" i="19"/>
  <c r="D58" i="19"/>
  <c r="F58" i="19"/>
  <c r="D64" i="19"/>
  <c r="F64" i="19"/>
  <c r="D70" i="19"/>
  <c r="F70" i="19"/>
  <c r="D78" i="19"/>
  <c r="F78" i="19"/>
  <c r="D81" i="19"/>
  <c r="D82" i="19"/>
  <c r="D83" i="19"/>
  <c r="D89" i="19"/>
  <c r="F89" i="19"/>
  <c r="D92" i="19"/>
  <c r="F92" i="19"/>
  <c r="D94" i="19"/>
  <c r="D95" i="19" s="1"/>
  <c r="F94" i="19"/>
  <c r="X79" i="26"/>
  <c r="X86" i="26"/>
  <c r="X94" i="26"/>
  <c r="X93" i="26" s="1"/>
  <c r="L65" i="18"/>
  <c r="X102" i="26"/>
  <c r="X107" i="26"/>
  <c r="X114" i="26"/>
  <c r="X119" i="26" s="1"/>
  <c r="X117" i="26"/>
  <c r="X125" i="26"/>
  <c r="X130" i="26" s="1"/>
  <c r="X128" i="26"/>
  <c r="V128" i="26"/>
  <c r="V125" i="26"/>
  <c r="V130" i="26" s="1"/>
  <c r="V117" i="26"/>
  <c r="V114" i="26"/>
  <c r="V119" i="26" s="1"/>
  <c r="V110" i="26" s="1"/>
  <c r="V107" i="26"/>
  <c r="V102" i="26"/>
  <c r="V86" i="26"/>
  <c r="V79" i="26"/>
  <c r="V72" i="26"/>
  <c r="J22" i="18" s="1"/>
  <c r="V58" i="26"/>
  <c r="V52" i="26"/>
  <c r="V44" i="26"/>
  <c r="V43" i="26"/>
  <c r="V26" i="26"/>
  <c r="V22" i="26"/>
  <c r="V16" i="26"/>
  <c r="R128" i="26"/>
  <c r="P128" i="26"/>
  <c r="R125" i="26"/>
  <c r="R131" i="26" s="1"/>
  <c r="P125" i="26"/>
  <c r="P131" i="26" s="1"/>
  <c r="R117" i="26"/>
  <c r="P117" i="26"/>
  <c r="R114" i="26"/>
  <c r="R120" i="26" s="1"/>
  <c r="P114" i="26"/>
  <c r="P120" i="26" s="1"/>
  <c r="P110" i="26" s="1"/>
  <c r="R106" i="26"/>
  <c r="P106" i="26"/>
  <c r="R100" i="26"/>
  <c r="P100" i="26"/>
  <c r="R94" i="26"/>
  <c r="R93" i="26" s="1"/>
  <c r="P94" i="26"/>
  <c r="P93" i="26" s="1"/>
  <c r="R72" i="26"/>
  <c r="P72" i="26"/>
  <c r="R49" i="26"/>
  <c r="P49" i="26"/>
  <c r="R39" i="26"/>
  <c r="P39" i="26"/>
  <c r="R25" i="26"/>
  <c r="P25" i="26"/>
  <c r="R21" i="26"/>
  <c r="P21" i="26"/>
  <c r="R4" i="26"/>
  <c r="P4" i="26"/>
  <c r="P3" i="26" s="1"/>
  <c r="R3" i="26"/>
  <c r="L128" i="26"/>
  <c r="J128" i="26"/>
  <c r="L125" i="26"/>
  <c r="L130" i="26" s="1"/>
  <c r="J125" i="26"/>
  <c r="J130" i="26" s="1"/>
  <c r="L117" i="26"/>
  <c r="J117" i="26"/>
  <c r="L114" i="26"/>
  <c r="L119" i="26" s="1"/>
  <c r="L110" i="26" s="1"/>
  <c r="J114" i="26"/>
  <c r="J119" i="26" s="1"/>
  <c r="J110" i="26" s="1"/>
  <c r="L107" i="26"/>
  <c r="J107" i="26"/>
  <c r="L102" i="26"/>
  <c r="J102" i="26"/>
  <c r="L94" i="26"/>
  <c r="L93" i="26" s="1"/>
  <c r="J94" i="26"/>
  <c r="J93" i="26" s="1"/>
  <c r="L86" i="26"/>
  <c r="J86" i="26"/>
  <c r="L79" i="26"/>
  <c r="J79" i="26"/>
  <c r="J72" i="26"/>
  <c r="J58" i="26"/>
  <c r="J52" i="26"/>
  <c r="J44" i="26"/>
  <c r="J43" i="26"/>
  <c r="J26" i="26"/>
  <c r="J40" i="26" s="1"/>
  <c r="J22" i="26"/>
  <c r="J16" i="26"/>
  <c r="J12" i="26"/>
  <c r="D4" i="26"/>
  <c r="D3" i="26" s="1"/>
  <c r="F4" i="26"/>
  <c r="F3" i="26" s="1"/>
  <c r="D21" i="26"/>
  <c r="F21" i="26"/>
  <c r="D39" i="26"/>
  <c r="D31" i="18" s="1"/>
  <c r="F39" i="26"/>
  <c r="D49" i="26"/>
  <c r="F49" i="26"/>
  <c r="D72" i="26"/>
  <c r="F72" i="26"/>
  <c r="D94" i="26"/>
  <c r="F94" i="26"/>
  <c r="F93" i="26" s="1"/>
  <c r="D100" i="26"/>
  <c r="F100" i="26"/>
  <c r="D106" i="26"/>
  <c r="F106" i="26"/>
  <c r="D114" i="26"/>
  <c r="F114" i="26"/>
  <c r="F120" i="26" s="1"/>
  <c r="D117" i="26"/>
  <c r="F117" i="26"/>
  <c r="F82" i="18"/>
  <c r="D120" i="26"/>
  <c r="D125" i="26"/>
  <c r="F125" i="26"/>
  <c r="D128" i="26"/>
  <c r="D131" i="26" s="1"/>
  <c r="F128" i="26"/>
  <c r="J20" i="18"/>
  <c r="L22" i="18"/>
  <c r="J61" i="18"/>
  <c r="L61" i="18"/>
  <c r="J62" i="18"/>
  <c r="J66" i="18"/>
  <c r="L66" i="18"/>
  <c r="J78" i="18"/>
  <c r="L78" i="18"/>
  <c r="J81" i="18"/>
  <c r="J83" i="18" s="1"/>
  <c r="L81" i="18"/>
  <c r="J89" i="18"/>
  <c r="L89" i="18"/>
  <c r="J92" i="18"/>
  <c r="L92" i="18"/>
  <c r="L94" i="18"/>
  <c r="D5" i="18"/>
  <c r="F5" i="18"/>
  <c r="D7" i="18"/>
  <c r="F7" i="18"/>
  <c r="D16" i="18"/>
  <c r="F16" i="18"/>
  <c r="D18" i="18"/>
  <c r="F18" i="18"/>
  <c r="D26" i="18"/>
  <c r="D26" i="28" s="1"/>
  <c r="F26" i="18"/>
  <c r="D30" i="18"/>
  <c r="D32" i="18"/>
  <c r="F32" i="18"/>
  <c r="D36" i="18"/>
  <c r="F36" i="18"/>
  <c r="D58" i="18"/>
  <c r="F58" i="18"/>
  <c r="D64" i="18"/>
  <c r="F64" i="18"/>
  <c r="D70" i="18"/>
  <c r="F70" i="18"/>
  <c r="D78" i="18"/>
  <c r="F78" i="18"/>
  <c r="D81" i="18"/>
  <c r="F81" i="18"/>
  <c r="D82" i="18"/>
  <c r="D83" i="18"/>
  <c r="D89" i="18"/>
  <c r="F89" i="18"/>
  <c r="D92" i="18"/>
  <c r="F92" i="18"/>
  <c r="D94" i="18"/>
  <c r="D95" i="18" s="1"/>
  <c r="J58" i="25"/>
  <c r="L58" i="25" s="1"/>
  <c r="L22" i="17" s="1"/>
  <c r="J12" i="25"/>
  <c r="L12" i="25" s="1"/>
  <c r="L4" i="17" s="1"/>
  <c r="J16" i="25"/>
  <c r="J5" i="17" s="1"/>
  <c r="J23" i="25"/>
  <c r="J27" i="25"/>
  <c r="J38" i="25"/>
  <c r="L38" i="25" s="1"/>
  <c r="J39" i="25"/>
  <c r="J47" i="25"/>
  <c r="J49" i="25"/>
  <c r="L49" i="25" s="1"/>
  <c r="J67" i="25"/>
  <c r="J74" i="25"/>
  <c r="L65" i="17"/>
  <c r="J90" i="25"/>
  <c r="L90" i="25"/>
  <c r="J95" i="25"/>
  <c r="L95" i="25"/>
  <c r="J102" i="25"/>
  <c r="L102" i="25"/>
  <c r="L107" i="25" s="1"/>
  <c r="L98" i="25" s="1"/>
  <c r="J105" i="25"/>
  <c r="L105" i="25"/>
  <c r="J107" i="25"/>
  <c r="J98" i="25" s="1"/>
  <c r="J113" i="25"/>
  <c r="L113" i="25"/>
  <c r="J116" i="25"/>
  <c r="J118" i="25" s="1"/>
  <c r="L116" i="25"/>
  <c r="L118" i="25" s="1"/>
  <c r="D4" i="25"/>
  <c r="D3" i="25" s="1"/>
  <c r="F4" i="25"/>
  <c r="F3" i="25" s="1"/>
  <c r="D22" i="25"/>
  <c r="F22" i="25"/>
  <c r="D34" i="25"/>
  <c r="D24" i="25" s="1"/>
  <c r="F34" i="25"/>
  <c r="D44" i="25"/>
  <c r="F44" i="25"/>
  <c r="D58" i="25"/>
  <c r="F58" i="25"/>
  <c r="D82" i="25"/>
  <c r="D81" i="25" s="1"/>
  <c r="F82" i="25"/>
  <c r="D88" i="25"/>
  <c r="F88" i="25"/>
  <c r="D94" i="25"/>
  <c r="F94" i="25"/>
  <c r="D102" i="25"/>
  <c r="F102" i="25"/>
  <c r="D105" i="25"/>
  <c r="F105" i="25"/>
  <c r="F108" i="25" s="1"/>
  <c r="D108" i="25"/>
  <c r="D98" i="25" s="1"/>
  <c r="D113" i="25"/>
  <c r="F113" i="25"/>
  <c r="F119" i="25" s="1"/>
  <c r="D116" i="25"/>
  <c r="D119" i="25" s="1"/>
  <c r="F116" i="25"/>
  <c r="J20" i="17"/>
  <c r="J22" i="17"/>
  <c r="J25" i="17"/>
  <c r="L25" i="17"/>
  <c r="J36" i="17"/>
  <c r="L36" i="17"/>
  <c r="J61" i="17"/>
  <c r="L61" i="17"/>
  <c r="J62" i="17"/>
  <c r="J66" i="17"/>
  <c r="L66" i="17"/>
  <c r="J78" i="17"/>
  <c r="L78" i="17"/>
  <c r="J81" i="17"/>
  <c r="L81" i="17"/>
  <c r="L83" i="17" s="1"/>
  <c r="J83" i="17"/>
  <c r="J89" i="17"/>
  <c r="L89" i="17"/>
  <c r="J92" i="17"/>
  <c r="J94" i="17" s="1"/>
  <c r="L92" i="17"/>
  <c r="D8" i="17"/>
  <c r="D4" i="17" s="1"/>
  <c r="F8" i="17"/>
  <c r="F4" i="17" s="1"/>
  <c r="D16" i="17"/>
  <c r="F16" i="17"/>
  <c r="D18" i="17"/>
  <c r="F18" i="17"/>
  <c r="D27" i="17"/>
  <c r="F27" i="17"/>
  <c r="D31" i="17"/>
  <c r="F31" i="17"/>
  <c r="D36" i="17"/>
  <c r="F36" i="17"/>
  <c r="D58" i="17"/>
  <c r="F58" i="17"/>
  <c r="D64" i="17"/>
  <c r="F64" i="17"/>
  <c r="D70" i="17"/>
  <c r="F70" i="17"/>
  <c r="D78" i="17"/>
  <c r="F78" i="17"/>
  <c r="D81" i="17"/>
  <c r="F81" i="17"/>
  <c r="D82" i="17"/>
  <c r="F82" i="17"/>
  <c r="D83" i="17"/>
  <c r="F83" i="17"/>
  <c r="D89" i="17"/>
  <c r="F89" i="17"/>
  <c r="D92" i="17"/>
  <c r="F92" i="17"/>
  <c r="D94" i="17"/>
  <c r="D95" i="17" s="1"/>
  <c r="F94" i="17"/>
  <c r="J112" i="23"/>
  <c r="L112" i="23"/>
  <c r="J115" i="23"/>
  <c r="J117" i="23" s="1"/>
  <c r="L115" i="23"/>
  <c r="J101" i="23"/>
  <c r="L101" i="23"/>
  <c r="J104" i="23"/>
  <c r="J106" i="23" s="1"/>
  <c r="L104" i="23"/>
  <c r="L106" i="23" s="1"/>
  <c r="J94" i="23"/>
  <c r="L94" i="23"/>
  <c r="J89" i="23"/>
  <c r="L89" i="23"/>
  <c r="J81" i="23"/>
  <c r="L81" i="23"/>
  <c r="L80" i="23" s="1"/>
  <c r="J73" i="23"/>
  <c r="L73" i="23"/>
  <c r="J65" i="23"/>
  <c r="J23" i="16" s="1"/>
  <c r="J66" i="23"/>
  <c r="L66" i="23"/>
  <c r="L25" i="16" s="1"/>
  <c r="J50" i="23"/>
  <c r="J41" i="23"/>
  <c r="J35" i="23"/>
  <c r="J34" i="23"/>
  <c r="J26" i="23"/>
  <c r="J17" i="23"/>
  <c r="J7" i="16" s="1"/>
  <c r="J16" i="23"/>
  <c r="L16" i="23"/>
  <c r="L5" i="16" s="1"/>
  <c r="J12" i="23"/>
  <c r="L12" i="23"/>
  <c r="F3" i="23"/>
  <c r="D3" i="23"/>
  <c r="D21" i="23"/>
  <c r="F21" i="23"/>
  <c r="D33" i="23"/>
  <c r="F33" i="23"/>
  <c r="D46" i="23"/>
  <c r="F46" i="23"/>
  <c r="D59" i="23"/>
  <c r="F59" i="23"/>
  <c r="D81" i="23"/>
  <c r="F81" i="23"/>
  <c r="D87" i="23"/>
  <c r="F87" i="23"/>
  <c r="D93" i="23"/>
  <c r="F93" i="23"/>
  <c r="D101" i="23"/>
  <c r="D107" i="23" s="1"/>
  <c r="F101" i="23"/>
  <c r="D104" i="23"/>
  <c r="F104" i="23"/>
  <c r="D112" i="23"/>
  <c r="F112" i="23"/>
  <c r="D115" i="23"/>
  <c r="F115" i="23"/>
  <c r="L4" i="16"/>
  <c r="J5" i="16"/>
  <c r="J19" i="16"/>
  <c r="L19" i="16"/>
  <c r="J20" i="16"/>
  <c r="L20" i="16"/>
  <c r="L21" i="16"/>
  <c r="J22" i="16"/>
  <c r="L22" i="16"/>
  <c r="L23" i="16"/>
  <c r="J25" i="16"/>
  <c r="J36" i="16"/>
  <c r="L36" i="16"/>
  <c r="J60" i="16"/>
  <c r="L60" i="16"/>
  <c r="J61" i="16"/>
  <c r="L61" i="16"/>
  <c r="J62" i="16"/>
  <c r="L62" i="16"/>
  <c r="J65" i="16"/>
  <c r="L65" i="16"/>
  <c r="J66" i="16"/>
  <c r="L66" i="16"/>
  <c r="J78" i="16"/>
  <c r="L78" i="16"/>
  <c r="L83" i="16" s="1"/>
  <c r="J81" i="16"/>
  <c r="J83" i="16" s="1"/>
  <c r="L81" i="16"/>
  <c r="J89" i="16"/>
  <c r="L89" i="16"/>
  <c r="J92" i="16"/>
  <c r="L92" i="16"/>
  <c r="D5" i="16"/>
  <c r="D4" i="16" s="1"/>
  <c r="D3" i="16" s="1"/>
  <c r="F5" i="16"/>
  <c r="F4" i="16" s="1"/>
  <c r="F3" i="16" s="1"/>
  <c r="D18" i="16"/>
  <c r="F18" i="16"/>
  <c r="D28" i="16"/>
  <c r="F28" i="16"/>
  <c r="D35" i="16"/>
  <c r="F35" i="16"/>
  <c r="D39" i="16"/>
  <c r="D36" i="16" s="1"/>
  <c r="F39" i="16"/>
  <c r="F36" i="16" s="1"/>
  <c r="D58" i="16"/>
  <c r="F58" i="16"/>
  <c r="D64" i="16"/>
  <c r="F64" i="16"/>
  <c r="D70" i="16"/>
  <c r="F70" i="16"/>
  <c r="D78" i="16"/>
  <c r="F78" i="16"/>
  <c r="D81" i="16"/>
  <c r="F81" i="16"/>
  <c r="D82" i="16"/>
  <c r="F82" i="16"/>
  <c r="D83" i="16"/>
  <c r="D89" i="16"/>
  <c r="F89" i="16"/>
  <c r="D92" i="16"/>
  <c r="F92" i="16"/>
  <c r="D94" i="16"/>
  <c r="F94" i="16"/>
  <c r="F95" i="16" s="1"/>
  <c r="J3" i="22"/>
  <c r="J2" i="22" s="1"/>
  <c r="L3" i="22"/>
  <c r="J132" i="22"/>
  <c r="L132" i="22"/>
  <c r="J125" i="22"/>
  <c r="J109" i="22" s="1"/>
  <c r="L125" i="22"/>
  <c r="L109" i="22" s="1"/>
  <c r="D139" i="22"/>
  <c r="F139" i="22"/>
  <c r="D142" i="22"/>
  <c r="F142" i="22"/>
  <c r="D152" i="22"/>
  <c r="F152" i="22"/>
  <c r="D155" i="22"/>
  <c r="D158" i="22" s="1"/>
  <c r="F155" i="22"/>
  <c r="F158" i="22"/>
  <c r="D131" i="22"/>
  <c r="F131" i="22"/>
  <c r="D123" i="22"/>
  <c r="F123" i="22"/>
  <c r="D110" i="22"/>
  <c r="F110" i="22"/>
  <c r="D96" i="22"/>
  <c r="D21" i="22"/>
  <c r="F21" i="22"/>
  <c r="J4" i="15"/>
  <c r="L4" i="15"/>
  <c r="L4" i="28" s="1"/>
  <c r="J5" i="15"/>
  <c r="L5" i="15"/>
  <c r="L5" i="28" s="1"/>
  <c r="J7" i="15"/>
  <c r="L7" i="15"/>
  <c r="L7" i="28" s="1"/>
  <c r="J19" i="15"/>
  <c r="L19" i="15"/>
  <c r="L19" i="28" s="1"/>
  <c r="J20" i="15"/>
  <c r="L20" i="15"/>
  <c r="L20" i="28" s="1"/>
  <c r="J21" i="15"/>
  <c r="L21" i="15"/>
  <c r="L21" i="28" s="1"/>
  <c r="J22" i="15"/>
  <c r="L22" i="15"/>
  <c r="L22" i="28" s="1"/>
  <c r="J23" i="15"/>
  <c r="L23" i="15"/>
  <c r="L23" i="28" s="1"/>
  <c r="J26" i="15"/>
  <c r="J26" i="28" s="1"/>
  <c r="L26" i="15"/>
  <c r="L26" i="28" s="1"/>
  <c r="J27" i="15"/>
  <c r="J27" i="28" s="1"/>
  <c r="L27" i="15"/>
  <c r="L27" i="28" s="1"/>
  <c r="J28" i="15"/>
  <c r="J28" i="28" s="1"/>
  <c r="L28" i="15"/>
  <c r="L28" i="28" s="1"/>
  <c r="J29" i="15"/>
  <c r="J29" i="28" s="1"/>
  <c r="L29" i="15"/>
  <c r="L29" i="28" s="1"/>
  <c r="J30" i="15"/>
  <c r="J30" i="28" s="1"/>
  <c r="L30" i="15"/>
  <c r="L30" i="28" s="1"/>
  <c r="J31" i="15"/>
  <c r="J31" i="28" s="1"/>
  <c r="L31" i="15"/>
  <c r="J39" i="15"/>
  <c r="J39" i="28" s="1"/>
  <c r="L39" i="15"/>
  <c r="J41" i="15"/>
  <c r="J41" i="28" s="1"/>
  <c r="J42" i="15"/>
  <c r="L42" i="15"/>
  <c r="L42" i="28" s="1"/>
  <c r="O15" i="34" s="1"/>
  <c r="J46" i="15"/>
  <c r="J59" i="28" s="1"/>
  <c r="L46" i="15"/>
  <c r="J47" i="15"/>
  <c r="L47" i="15"/>
  <c r="L60" i="28" s="1"/>
  <c r="J48" i="15"/>
  <c r="J61" i="28" s="1"/>
  <c r="L48" i="15"/>
  <c r="J49" i="15"/>
  <c r="L49" i="15"/>
  <c r="J50" i="15"/>
  <c r="L50" i="15"/>
  <c r="J51" i="15"/>
  <c r="J64" i="28" s="1"/>
  <c r="L51" i="15"/>
  <c r="L64" i="28" s="1"/>
  <c r="J52" i="15"/>
  <c r="L52" i="15"/>
  <c r="L65" i="28" s="1"/>
  <c r="J54" i="15"/>
  <c r="L54" i="15"/>
  <c r="J55" i="15"/>
  <c r="L55" i="15"/>
  <c r="J56" i="15"/>
  <c r="L56" i="15"/>
  <c r="J57" i="15"/>
  <c r="J70" i="28" s="1"/>
  <c r="L57" i="15"/>
  <c r="J58" i="15"/>
  <c r="L58" i="15"/>
  <c r="J65" i="15"/>
  <c r="L65" i="15"/>
  <c r="J68" i="15"/>
  <c r="L68" i="15"/>
  <c r="J75" i="15"/>
  <c r="J90" i="28" s="1"/>
  <c r="J93" i="28" s="1"/>
  <c r="L75" i="15"/>
  <c r="L78" i="15" s="1"/>
  <c r="J81" i="15"/>
  <c r="L81" i="15"/>
  <c r="D5" i="15"/>
  <c r="F5" i="15"/>
  <c r="F5" i="28" s="1"/>
  <c r="D6" i="15"/>
  <c r="F6" i="15"/>
  <c r="F6" i="28" s="1"/>
  <c r="D7" i="15"/>
  <c r="F7" i="15"/>
  <c r="F7" i="28" s="1"/>
  <c r="D8" i="15"/>
  <c r="F8" i="15"/>
  <c r="F8" i="28" s="1"/>
  <c r="D16" i="15"/>
  <c r="F16" i="15"/>
  <c r="F16" i="28" s="1"/>
  <c r="D19" i="15"/>
  <c r="F19" i="15"/>
  <c r="D21" i="15"/>
  <c r="D21" i="28" s="1"/>
  <c r="F21" i="15"/>
  <c r="D22" i="15"/>
  <c r="F22" i="15"/>
  <c r="F22" i="28" s="1"/>
  <c r="D23" i="15"/>
  <c r="D23" i="28" s="1"/>
  <c r="F23" i="15"/>
  <c r="F23" i="28" s="1"/>
  <c r="D24" i="15"/>
  <c r="D24" i="28" s="1"/>
  <c r="F24" i="15"/>
  <c r="F24" i="28" s="1"/>
  <c r="D27" i="15"/>
  <c r="F27" i="15"/>
  <c r="D28" i="15"/>
  <c r="F28" i="15"/>
  <c r="F28" i="28" s="1"/>
  <c r="D30" i="15"/>
  <c r="F30" i="15"/>
  <c r="F30" i="28" s="1"/>
  <c r="D31" i="15"/>
  <c r="D31" i="28" s="1"/>
  <c r="F31" i="15"/>
  <c r="F31" i="28" s="1"/>
  <c r="D32" i="15"/>
  <c r="F32" i="15"/>
  <c r="F32" i="28" s="1"/>
  <c r="D33" i="15"/>
  <c r="D34" i="15"/>
  <c r="D34" i="28" s="1"/>
  <c r="D35" i="15"/>
  <c r="D36" i="15"/>
  <c r="F36" i="15"/>
  <c r="D45" i="15"/>
  <c r="F45" i="15"/>
  <c r="D53" i="15"/>
  <c r="F53" i="15"/>
  <c r="F66" i="28" s="1"/>
  <c r="D55" i="15"/>
  <c r="F55" i="15"/>
  <c r="F68" i="28" s="1"/>
  <c r="D60" i="15"/>
  <c r="D57" i="15" s="1"/>
  <c r="F60" i="15"/>
  <c r="F57" i="15" s="1"/>
  <c r="D65" i="15"/>
  <c r="F65" i="15"/>
  <c r="D68" i="15"/>
  <c r="F68" i="15"/>
  <c r="D70" i="15"/>
  <c r="D73" i="15" s="1"/>
  <c r="F70" i="15"/>
  <c r="D78" i="15"/>
  <c r="F78" i="15"/>
  <c r="D81" i="15"/>
  <c r="F81" i="15"/>
  <c r="D82" i="15"/>
  <c r="D97" i="28" s="1"/>
  <c r="E34" i="34" s="1"/>
  <c r="F82" i="15"/>
  <c r="F97" i="28" s="1"/>
  <c r="G34" i="34" s="1"/>
  <c r="D83" i="15"/>
  <c r="F83" i="15"/>
  <c r="L41" i="28"/>
  <c r="J42" i="28"/>
  <c r="M15" i="34" s="1"/>
  <c r="L59" i="28"/>
  <c r="J80" i="28"/>
  <c r="L80" i="28"/>
  <c r="J83" i="28"/>
  <c r="L83" i="28"/>
  <c r="L90" i="28"/>
  <c r="J91" i="28"/>
  <c r="L91" i="28"/>
  <c r="J92" i="28"/>
  <c r="L92" i="28"/>
  <c r="J94" i="28"/>
  <c r="L94" i="28"/>
  <c r="J95" i="28"/>
  <c r="L95" i="28"/>
  <c r="F21" i="28"/>
  <c r="F59" i="28"/>
  <c r="F60" i="28"/>
  <c r="F61" i="28"/>
  <c r="F62" i="28"/>
  <c r="F63" i="28"/>
  <c r="F80" i="28"/>
  <c r="F83" i="28"/>
  <c r="F93" i="28"/>
  <c r="F96" i="28"/>
  <c r="D6" i="28"/>
  <c r="D19" i="28"/>
  <c r="D22" i="28"/>
  <c r="D28" i="28"/>
  <c r="D29" i="28"/>
  <c r="D33" i="28"/>
  <c r="D39" i="28"/>
  <c r="D36" i="28" s="1"/>
  <c r="D59" i="28"/>
  <c r="D60" i="28"/>
  <c r="D61" i="28"/>
  <c r="D62" i="28"/>
  <c r="D63" i="28"/>
  <c r="D68" i="28"/>
  <c r="D80" i="28"/>
  <c r="D83" i="28"/>
  <c r="D93" i="28"/>
  <c r="D96" i="28"/>
  <c r="F85" i="28" l="1"/>
  <c r="F73" i="15"/>
  <c r="O11" i="34"/>
  <c r="L2" i="22"/>
  <c r="L39" i="28"/>
  <c r="L36" i="15"/>
  <c r="D51" i="15"/>
  <c r="D44" i="15" s="1"/>
  <c r="X17" i="26"/>
  <c r="X2" i="26" s="1"/>
  <c r="F84" i="17"/>
  <c r="D66" i="28"/>
  <c r="L25" i="15"/>
  <c r="D4" i="15"/>
  <c r="D3" i="15" s="1"/>
  <c r="J60" i="28"/>
  <c r="J69" i="28"/>
  <c r="J36" i="15"/>
  <c r="D109" i="22"/>
  <c r="F4" i="15"/>
  <c r="F3" i="15" s="1"/>
  <c r="J71" i="28"/>
  <c r="E25" i="36" s="1"/>
  <c r="L94" i="16"/>
  <c r="J94" i="16"/>
  <c r="J74" i="16" s="1"/>
  <c r="D95" i="16"/>
  <c r="F57" i="16"/>
  <c r="D57" i="16"/>
  <c r="D5" i="28"/>
  <c r="F107" i="23"/>
  <c r="F118" i="23"/>
  <c r="L117" i="23"/>
  <c r="D118" i="23"/>
  <c r="F80" i="23"/>
  <c r="J58" i="16"/>
  <c r="J57" i="16" s="1"/>
  <c r="D80" i="23"/>
  <c r="F95" i="17"/>
  <c r="F57" i="17"/>
  <c r="L94" i="17"/>
  <c r="D57" i="17"/>
  <c r="J74" i="17"/>
  <c r="D3" i="17"/>
  <c r="F81" i="25"/>
  <c r="F24" i="25"/>
  <c r="D8" i="28"/>
  <c r="F57" i="18"/>
  <c r="J94" i="18"/>
  <c r="L83" i="18"/>
  <c r="L74" i="18" s="1"/>
  <c r="D57" i="18"/>
  <c r="D93" i="26"/>
  <c r="F30" i="18"/>
  <c r="P23" i="26"/>
  <c r="D35" i="18"/>
  <c r="D35" i="28" s="1"/>
  <c r="J25" i="18"/>
  <c r="L36" i="18"/>
  <c r="R23" i="26"/>
  <c r="F35" i="18"/>
  <c r="L25" i="18"/>
  <c r="L17" i="27"/>
  <c r="L5" i="19" s="1"/>
  <c r="L58" i="27"/>
  <c r="L22" i="19" s="1"/>
  <c r="J94" i="19"/>
  <c r="D64" i="28"/>
  <c r="E24" i="34" s="1"/>
  <c r="J68" i="28"/>
  <c r="F57" i="19"/>
  <c r="E11" i="36"/>
  <c r="E13" i="34"/>
  <c r="D57" i="19"/>
  <c r="L36" i="19"/>
  <c r="K36" i="44"/>
  <c r="L36" i="44"/>
  <c r="D30" i="19"/>
  <c r="D25" i="19" s="1"/>
  <c r="F79" i="27"/>
  <c r="J36" i="19"/>
  <c r="J36" i="44"/>
  <c r="D30" i="28"/>
  <c r="D3" i="19"/>
  <c r="J2" i="44"/>
  <c r="J96" i="44" s="1"/>
  <c r="J97" i="44" s="1"/>
  <c r="L71" i="44"/>
  <c r="L57" i="44" s="1"/>
  <c r="K71" i="44"/>
  <c r="K57" i="44" s="1"/>
  <c r="L25" i="19"/>
  <c r="K25" i="44"/>
  <c r="K2" i="44" s="1"/>
  <c r="L25" i="44"/>
  <c r="L2" i="44" s="1"/>
  <c r="D79" i="27"/>
  <c r="D24" i="27"/>
  <c r="F106" i="27"/>
  <c r="D106" i="27"/>
  <c r="L96" i="28"/>
  <c r="J96" i="28"/>
  <c r="L93" i="28"/>
  <c r="J78" i="15"/>
  <c r="J53" i="15"/>
  <c r="L53" i="15"/>
  <c r="F84" i="18"/>
  <c r="D25" i="15"/>
  <c r="D20" i="15"/>
  <c r="D20" i="28" s="1"/>
  <c r="D18" i="28" s="1"/>
  <c r="D73" i="28"/>
  <c r="D70" i="28" s="1"/>
  <c r="E25" i="34" s="1"/>
  <c r="J45" i="15"/>
  <c r="F64" i="28"/>
  <c r="G24" i="34" s="1"/>
  <c r="D32" i="28"/>
  <c r="D16" i="28"/>
  <c r="L36" i="28"/>
  <c r="G22" i="36" s="1"/>
  <c r="D84" i="16"/>
  <c r="F83" i="16"/>
  <c r="J18" i="26"/>
  <c r="L18" i="26" s="1"/>
  <c r="L17" i="26" s="1"/>
  <c r="D84" i="19"/>
  <c r="D74" i="19" s="1"/>
  <c r="D86" i="28"/>
  <c r="J4" i="19"/>
  <c r="J3" i="19" s="1"/>
  <c r="J20" i="28"/>
  <c r="L16" i="25"/>
  <c r="L5" i="17" s="1"/>
  <c r="L3" i="17" s="1"/>
  <c r="L70" i="28"/>
  <c r="L67" i="28"/>
  <c r="L69" i="28"/>
  <c r="F109" i="22"/>
  <c r="F20" i="15"/>
  <c r="F20" i="28" s="1"/>
  <c r="J62" i="28"/>
  <c r="L45" i="15"/>
  <c r="J25" i="15"/>
  <c r="J18" i="15"/>
  <c r="L18" i="15"/>
  <c r="J3" i="15"/>
  <c r="F131" i="26"/>
  <c r="R110" i="26"/>
  <c r="L58" i="16"/>
  <c r="L57" i="16" s="1"/>
  <c r="L3" i="23"/>
  <c r="J56" i="23"/>
  <c r="J21" i="16" s="1"/>
  <c r="J18" i="16" s="1"/>
  <c r="J3" i="23"/>
  <c r="J4" i="16"/>
  <c r="J3" i="16" s="1"/>
  <c r="F74" i="17"/>
  <c r="L19" i="19"/>
  <c r="L96" i="27"/>
  <c r="L21" i="19"/>
  <c r="J35" i="27"/>
  <c r="L4" i="19"/>
  <c r="L3" i="19" s="1"/>
  <c r="L3" i="27"/>
  <c r="J3" i="27"/>
  <c r="J96" i="27"/>
  <c r="J80" i="27"/>
  <c r="J79" i="27" s="1"/>
  <c r="J21" i="19"/>
  <c r="J66" i="19"/>
  <c r="J67" i="28"/>
  <c r="L71" i="28"/>
  <c r="O25" i="34" s="1"/>
  <c r="J65" i="19"/>
  <c r="J58" i="19" s="1"/>
  <c r="J18" i="27"/>
  <c r="J7" i="19" s="1"/>
  <c r="F24" i="27"/>
  <c r="F96" i="27"/>
  <c r="D96" i="27"/>
  <c r="D2" i="27"/>
  <c r="F3" i="27"/>
  <c r="D7" i="28"/>
  <c r="F95" i="19"/>
  <c r="F3" i="19"/>
  <c r="J74" i="19"/>
  <c r="L68" i="28"/>
  <c r="L156" i="22"/>
  <c r="L157" i="22" s="1"/>
  <c r="J36" i="18"/>
  <c r="V69" i="26"/>
  <c r="L5" i="18"/>
  <c r="X110" i="26"/>
  <c r="L62" i="18"/>
  <c r="L62" i="28" s="1"/>
  <c r="J5" i="18"/>
  <c r="J5" i="28" s="1"/>
  <c r="V40" i="26"/>
  <c r="V12" i="26"/>
  <c r="J65" i="18"/>
  <c r="P2" i="26"/>
  <c r="P132" i="26" s="1"/>
  <c r="R2" i="26"/>
  <c r="R132" i="26" s="1"/>
  <c r="F27" i="18"/>
  <c r="F27" i="28" s="1"/>
  <c r="J58" i="18"/>
  <c r="J57" i="18" s="1"/>
  <c r="J69" i="26"/>
  <c r="J21" i="18" s="1"/>
  <c r="J3" i="26"/>
  <c r="L19" i="18"/>
  <c r="J22" i="28"/>
  <c r="D4" i="18"/>
  <c r="D3" i="18" s="1"/>
  <c r="D23" i="26"/>
  <c r="D2" i="26" s="1"/>
  <c r="D27" i="18"/>
  <c r="D110" i="26"/>
  <c r="F31" i="18"/>
  <c r="D84" i="18"/>
  <c r="D74" i="18" s="1"/>
  <c r="F4" i="18"/>
  <c r="F3" i="18" s="1"/>
  <c r="F95" i="18"/>
  <c r="J74" i="18"/>
  <c r="J156" i="22"/>
  <c r="J35" i="25"/>
  <c r="J55" i="25"/>
  <c r="J19" i="17"/>
  <c r="L19" i="17"/>
  <c r="J4" i="17"/>
  <c r="J3" i="25"/>
  <c r="L82" i="25"/>
  <c r="L81" i="25" s="1"/>
  <c r="J89" i="25"/>
  <c r="J65" i="17" s="1"/>
  <c r="J17" i="25"/>
  <c r="J7" i="17" s="1"/>
  <c r="L17" i="25"/>
  <c r="L7" i="17" s="1"/>
  <c r="L3" i="25"/>
  <c r="L58" i="17"/>
  <c r="L57" i="17" s="1"/>
  <c r="L20" i="17"/>
  <c r="F25" i="17"/>
  <c r="D84" i="17"/>
  <c r="D74" i="17" s="1"/>
  <c r="D98" i="28"/>
  <c r="F98" i="25"/>
  <c r="D2" i="25"/>
  <c r="D120" i="25" s="1"/>
  <c r="F2" i="25"/>
  <c r="D25" i="17"/>
  <c r="D2" i="17" s="1"/>
  <c r="F3" i="17"/>
  <c r="L74" i="17"/>
  <c r="L61" i="28"/>
  <c r="L97" i="23"/>
  <c r="J97" i="23"/>
  <c r="J80" i="23"/>
  <c r="L18" i="16"/>
  <c r="L2" i="23"/>
  <c r="L3" i="16"/>
  <c r="F97" i="23"/>
  <c r="D97" i="23"/>
  <c r="D23" i="23"/>
  <c r="D2" i="23" s="1"/>
  <c r="D27" i="16"/>
  <c r="D31" i="16"/>
  <c r="F23" i="23"/>
  <c r="F2" i="23" s="1"/>
  <c r="F27" i="16"/>
  <c r="F31" i="16"/>
  <c r="F98" i="28"/>
  <c r="D74" i="16"/>
  <c r="L74" i="16"/>
  <c r="F39" i="28"/>
  <c r="F36" i="28" s="1"/>
  <c r="G13" i="34" s="1"/>
  <c r="F135" i="22"/>
  <c r="D84" i="15"/>
  <c r="D61" i="15" s="1"/>
  <c r="F84" i="15"/>
  <c r="D85" i="28"/>
  <c r="D88" i="28" s="1"/>
  <c r="L3" i="15"/>
  <c r="J25" i="28"/>
  <c r="L31" i="28"/>
  <c r="L25" i="28" s="1"/>
  <c r="O13" i="34" s="1"/>
  <c r="J36" i="28"/>
  <c r="E22" i="36" s="1"/>
  <c r="D18" i="15"/>
  <c r="D58" i="28"/>
  <c r="E23" i="34" s="1"/>
  <c r="F73" i="28"/>
  <c r="F70" i="28" s="1"/>
  <c r="G25" i="34" s="1"/>
  <c r="F58" i="28"/>
  <c r="G23" i="34" s="1"/>
  <c r="F51" i="15"/>
  <c r="F44" i="15" s="1"/>
  <c r="F25" i="15"/>
  <c r="F19" i="28"/>
  <c r="I26" i="35"/>
  <c r="C13" i="38"/>
  <c r="F9" i="30"/>
  <c r="F99" i="28" l="1"/>
  <c r="O90" i="40"/>
  <c r="P90" i="40" s="1"/>
  <c r="G33" i="34"/>
  <c r="G35" i="34" s="1"/>
  <c r="G37" i="34" s="1"/>
  <c r="F88" i="28"/>
  <c r="F76" i="28" s="1"/>
  <c r="F84" i="16"/>
  <c r="F74" i="16" s="1"/>
  <c r="F86" i="28"/>
  <c r="L144" i="22"/>
  <c r="L70" i="15" s="1"/>
  <c r="G28" i="34"/>
  <c r="J44" i="15"/>
  <c r="O14" i="34"/>
  <c r="L2" i="15"/>
  <c r="J17" i="26"/>
  <c r="L44" i="15"/>
  <c r="F18" i="28"/>
  <c r="M25" i="34"/>
  <c r="J66" i="28"/>
  <c r="E24" i="36" s="1"/>
  <c r="J2" i="15"/>
  <c r="G21" i="36"/>
  <c r="M14" i="34"/>
  <c r="E9" i="36"/>
  <c r="E11" i="34"/>
  <c r="E21" i="36"/>
  <c r="M13" i="34"/>
  <c r="D4" i="28"/>
  <c r="D3" i="28" s="1"/>
  <c r="E10" i="34" s="1"/>
  <c r="F2" i="17"/>
  <c r="F96" i="17" s="1"/>
  <c r="K97" i="17" s="1"/>
  <c r="D25" i="18"/>
  <c r="F25" i="18"/>
  <c r="L145" i="22"/>
  <c r="L135" i="22" s="1"/>
  <c r="L159" i="22" s="1"/>
  <c r="G11" i="36"/>
  <c r="F4" i="28"/>
  <c r="F3" i="28" s="1"/>
  <c r="G10" i="34" s="1"/>
  <c r="D2" i="19"/>
  <c r="J57" i="19"/>
  <c r="E28" i="34"/>
  <c r="L96" i="44"/>
  <c r="L97" i="44" s="1"/>
  <c r="K96" i="44"/>
  <c r="J65" i="28"/>
  <c r="J58" i="28" s="1"/>
  <c r="D96" i="19"/>
  <c r="E15" i="36"/>
  <c r="E29" i="36" s="1"/>
  <c r="E33" i="34"/>
  <c r="E35" i="34" s="1"/>
  <c r="E37" i="34" s="1"/>
  <c r="G25" i="36"/>
  <c r="L66" i="28"/>
  <c r="O24" i="34" s="1"/>
  <c r="D57" i="28"/>
  <c r="E13" i="36" s="1"/>
  <c r="D2" i="15"/>
  <c r="D85" i="15" s="1"/>
  <c r="F57" i="28"/>
  <c r="D100" i="28"/>
  <c r="D119" i="23"/>
  <c r="V3" i="26"/>
  <c r="X12" i="26"/>
  <c r="F18" i="15"/>
  <c r="F2" i="15" s="1"/>
  <c r="F74" i="18"/>
  <c r="J4" i="18"/>
  <c r="J3" i="18" s="1"/>
  <c r="L119" i="23"/>
  <c r="J21" i="23"/>
  <c r="J2" i="23" s="1"/>
  <c r="J119" i="23" s="1"/>
  <c r="J2" i="16"/>
  <c r="J96" i="16" s="1"/>
  <c r="J21" i="17"/>
  <c r="J21" i="28" s="1"/>
  <c r="L55" i="25"/>
  <c r="L21" i="17" s="1"/>
  <c r="L82" i="15"/>
  <c r="L97" i="28" s="1"/>
  <c r="L98" i="28" s="1"/>
  <c r="F2" i="27"/>
  <c r="F118" i="27" s="1"/>
  <c r="J64" i="27"/>
  <c r="J19" i="19"/>
  <c r="L80" i="27"/>
  <c r="L79" i="27" s="1"/>
  <c r="L18" i="27"/>
  <c r="L7" i="19" s="1"/>
  <c r="D118" i="27"/>
  <c r="L58" i="18"/>
  <c r="L21" i="18"/>
  <c r="X21" i="26"/>
  <c r="V94" i="26"/>
  <c r="V93" i="26" s="1"/>
  <c r="V17" i="26"/>
  <c r="J19" i="18"/>
  <c r="V73" i="26"/>
  <c r="V78" i="26" s="1"/>
  <c r="V21" i="26" s="1"/>
  <c r="F25" i="28"/>
  <c r="G12" i="34" s="1"/>
  <c r="L3" i="26"/>
  <c r="L4" i="18"/>
  <c r="J78" i="26"/>
  <c r="D2" i="18"/>
  <c r="D96" i="18" s="1"/>
  <c r="D132" i="26"/>
  <c r="F2" i="18"/>
  <c r="L58" i="28"/>
  <c r="J70" i="15"/>
  <c r="J71" i="15" s="1"/>
  <c r="D99" i="28"/>
  <c r="J157" i="22"/>
  <c r="J82" i="15"/>
  <c r="J22" i="25"/>
  <c r="J2" i="25" s="1"/>
  <c r="J120" i="25" s="1"/>
  <c r="J3" i="17"/>
  <c r="J4" i="28"/>
  <c r="J3" i="28" s="1"/>
  <c r="J58" i="17"/>
  <c r="J57" i="17" s="1"/>
  <c r="J82" i="25"/>
  <c r="J81" i="25" s="1"/>
  <c r="L23" i="17"/>
  <c r="L22" i="25"/>
  <c r="L2" i="25" s="1"/>
  <c r="L120" i="25" s="1"/>
  <c r="F120" i="25"/>
  <c r="D96" i="17"/>
  <c r="L2" i="16"/>
  <c r="L96" i="16" s="1"/>
  <c r="F25" i="16"/>
  <c r="F2" i="16" s="1"/>
  <c r="F119" i="23"/>
  <c r="D25" i="16"/>
  <c r="D2" i="16" s="1"/>
  <c r="D96" i="16" s="1"/>
  <c r="J98" i="16" s="1"/>
  <c r="D27" i="28"/>
  <c r="D25" i="28" s="1"/>
  <c r="F61" i="15"/>
  <c r="E13" i="30"/>
  <c r="G13" i="36" l="1"/>
  <c r="O23" i="34"/>
  <c r="O28" i="34" s="1"/>
  <c r="G30" i="34" s="1"/>
  <c r="L57" i="28"/>
  <c r="K97" i="44"/>
  <c r="K105" i="28"/>
  <c r="D105" i="28"/>
  <c r="G9" i="36"/>
  <c r="G11" i="34"/>
  <c r="G17" i="34" s="1"/>
  <c r="L98" i="16"/>
  <c r="L121" i="23"/>
  <c r="M24" i="34"/>
  <c r="E8" i="36"/>
  <c r="J121" i="23"/>
  <c r="L71" i="15"/>
  <c r="F100" i="28"/>
  <c r="J23" i="19"/>
  <c r="L64" i="27"/>
  <c r="L23" i="19" s="1"/>
  <c r="L18" i="19" s="1"/>
  <c r="D76" i="28"/>
  <c r="G10" i="36"/>
  <c r="E23" i="36"/>
  <c r="M23" i="34"/>
  <c r="E18" i="36"/>
  <c r="M10" i="34"/>
  <c r="G23" i="36"/>
  <c r="G8" i="36"/>
  <c r="D2" i="28"/>
  <c r="D74" i="28" s="1"/>
  <c r="E10" i="36"/>
  <c r="E12" i="34"/>
  <c r="E17" i="34" s="1"/>
  <c r="J57" i="28"/>
  <c r="J135" i="22"/>
  <c r="J159" i="22" s="1"/>
  <c r="J19" i="28"/>
  <c r="G24" i="36"/>
  <c r="L83" i="15"/>
  <c r="F85" i="15"/>
  <c r="J23" i="17"/>
  <c r="J18" i="17" s="1"/>
  <c r="J2" i="17" s="1"/>
  <c r="J96" i="17" s="1"/>
  <c r="J97" i="17" s="1"/>
  <c r="L59" i="25"/>
  <c r="L2" i="19"/>
  <c r="L97" i="19" s="1"/>
  <c r="L22" i="27"/>
  <c r="L2" i="27" s="1"/>
  <c r="L118" i="27" s="1"/>
  <c r="L120" i="27" s="1"/>
  <c r="J22" i="27"/>
  <c r="J2" i="27" s="1"/>
  <c r="J118" i="27" s="1"/>
  <c r="J120" i="27" s="1"/>
  <c r="J18" i="19"/>
  <c r="J2" i="19" s="1"/>
  <c r="J96" i="19" s="1"/>
  <c r="X132" i="26"/>
  <c r="L7" i="18"/>
  <c r="V2" i="26"/>
  <c r="V132" i="26" s="1"/>
  <c r="J7" i="18"/>
  <c r="J7" i="28" s="1"/>
  <c r="J23" i="18"/>
  <c r="J18" i="18" s="1"/>
  <c r="J21" i="26"/>
  <c r="J2" i="26" s="1"/>
  <c r="J132" i="26" s="1"/>
  <c r="L23" i="18"/>
  <c r="L18" i="18" s="1"/>
  <c r="L21" i="26"/>
  <c r="L2" i="26" s="1"/>
  <c r="L132" i="26" s="1"/>
  <c r="L3" i="28"/>
  <c r="L3" i="18"/>
  <c r="J85" i="28"/>
  <c r="J86" i="28" s="1"/>
  <c r="J83" i="15"/>
  <c r="J61" i="15" s="1"/>
  <c r="J85" i="15" s="1"/>
  <c r="J97" i="28"/>
  <c r="J98" i="28" s="1"/>
  <c r="F2" i="28"/>
  <c r="F101" i="28" s="1"/>
  <c r="L18" i="17"/>
  <c r="L2" i="17" s="1"/>
  <c r="L96" i="17" s="1"/>
  <c r="L97" i="17" s="1"/>
  <c r="I106" i="22"/>
  <c r="O10" i="34" l="1"/>
  <c r="F74" i="28"/>
  <c r="J87" i="15"/>
  <c r="J88" i="15"/>
  <c r="E16" i="36"/>
  <c r="M28" i="34"/>
  <c r="E30" i="34" s="1"/>
  <c r="F105" i="28"/>
  <c r="J97" i="19"/>
  <c r="L2" i="18"/>
  <c r="L85" i="28"/>
  <c r="L61" i="15"/>
  <c r="D101" i="28"/>
  <c r="G16" i="36"/>
  <c r="G18" i="36"/>
  <c r="E19" i="36"/>
  <c r="M11" i="34"/>
  <c r="J76" i="28"/>
  <c r="J2" i="18"/>
  <c r="J96" i="18" s="1"/>
  <c r="J97" i="18" s="1"/>
  <c r="J23" i="28"/>
  <c r="J18" i="28" s="1"/>
  <c r="L96" i="18"/>
  <c r="L97" i="18" s="1"/>
  <c r="L18" i="28"/>
  <c r="O12" i="34" s="1"/>
  <c r="O17" i="34" s="1"/>
  <c r="G31" i="34" s="1"/>
  <c r="J100" i="28"/>
  <c r="J105" i="28" s="1"/>
  <c r="L2" i="28" l="1"/>
  <c r="L86" i="28"/>
  <c r="L76" i="28" s="1"/>
  <c r="L100" i="28"/>
  <c r="L107" i="28" s="1"/>
  <c r="G19" i="34"/>
  <c r="L85" i="15"/>
  <c r="L88" i="15" s="1"/>
  <c r="G19" i="36"/>
  <c r="J2" i="28"/>
  <c r="J74" i="28" s="1"/>
  <c r="E20" i="36"/>
  <c r="E27" i="36" s="1"/>
  <c r="E33" i="36" s="1"/>
  <c r="M12" i="34"/>
  <c r="M17" i="34" s="1"/>
  <c r="G20" i="36"/>
  <c r="T20" i="40"/>
  <c r="L74" i="28" l="1"/>
  <c r="L101" i="28"/>
  <c r="L102" i="28" s="1"/>
  <c r="L105" i="28"/>
  <c r="L87" i="15"/>
  <c r="G28" i="36"/>
  <c r="G27" i="36"/>
  <c r="J101" i="28"/>
  <c r="J102" i="28" s="1"/>
  <c r="E31" i="34"/>
  <c r="E19" i="34"/>
  <c r="E28" i="36"/>
  <c r="H29" i="36" l="1"/>
  <c r="I81" i="22"/>
  <c r="I17" i="22"/>
  <c r="I128" i="22"/>
  <c r="I121" i="22"/>
  <c r="I119" i="22" s="1"/>
  <c r="I117" i="22"/>
  <c r="I114" i="22"/>
  <c r="I82" i="22" l="1"/>
  <c r="I64" i="22"/>
  <c r="I62" i="22"/>
  <c r="I61" i="22"/>
  <c r="I60" i="22"/>
  <c r="I48" i="22"/>
  <c r="I38" i="22"/>
  <c r="I53" i="23"/>
  <c r="I37" i="23"/>
  <c r="I64" i="25"/>
  <c r="I51" i="25"/>
  <c r="U69" i="26" l="1"/>
  <c r="U62" i="26"/>
  <c r="U60" i="26"/>
  <c r="U52" i="26"/>
  <c r="U55" i="26"/>
  <c r="U54" i="26"/>
  <c r="U53" i="26"/>
  <c r="U50" i="26"/>
  <c r="U37" i="26"/>
  <c r="U35" i="26"/>
  <c r="U34" i="26"/>
  <c r="U33" i="26"/>
  <c r="I33" i="26"/>
  <c r="I60" i="26"/>
  <c r="I53" i="26"/>
  <c r="I53" i="27"/>
  <c r="I47" i="27"/>
  <c r="AE52" i="40"/>
  <c r="J28" i="35"/>
  <c r="D26" i="35"/>
  <c r="E26" i="35"/>
  <c r="H24" i="35"/>
  <c r="J29" i="35"/>
  <c r="I108" i="22"/>
  <c r="C39" i="22"/>
  <c r="I4" i="26"/>
  <c r="F18" i="30" l="1"/>
  <c r="E18" i="30"/>
  <c r="F17" i="30"/>
  <c r="E17" i="30" s="1"/>
  <c r="D44" i="38" l="1"/>
  <c r="G45" i="38"/>
  <c r="I92" i="22"/>
  <c r="I87" i="22"/>
  <c r="I86" i="22" s="1"/>
  <c r="M44" i="38" l="1"/>
  <c r="M45" i="38" s="1"/>
  <c r="D45" i="38"/>
  <c r="D46" i="38" s="1"/>
  <c r="F10" i="30"/>
  <c r="F11" i="30"/>
  <c r="E11" i="30"/>
  <c r="E10" i="30"/>
  <c r="F14" i="30"/>
  <c r="E14" i="30" s="1"/>
  <c r="F15" i="30"/>
  <c r="E15" i="30" s="1"/>
  <c r="F16" i="30"/>
  <c r="E16" i="30" s="1"/>
  <c r="T40" i="40"/>
  <c r="T37" i="40" s="1"/>
  <c r="AR43" i="40"/>
  <c r="AF22" i="40"/>
  <c r="M28" i="38"/>
  <c r="I58" i="22" l="1"/>
  <c r="I107" i="22" l="1"/>
  <c r="C45" i="38" l="1"/>
  <c r="C47" i="38" s="1"/>
  <c r="I4" i="23"/>
  <c r="C46" i="38" l="1"/>
  <c r="C23" i="41"/>
  <c r="C11" i="41"/>
  <c r="E9" i="41"/>
  <c r="D9" i="41"/>
  <c r="C9" i="41"/>
  <c r="E21" i="41"/>
  <c r="D21" i="41"/>
  <c r="C21" i="41"/>
  <c r="I24" i="35" l="1"/>
  <c r="P13" i="35"/>
  <c r="Q13" i="35" s="1"/>
  <c r="D24" i="35"/>
  <c r="D29" i="35"/>
  <c r="F28" i="35"/>
  <c r="D28" i="35"/>
  <c r="I28" i="35"/>
  <c r="H28" i="35"/>
  <c r="F26" i="35"/>
  <c r="G26" i="35"/>
  <c r="O26" i="35" l="1"/>
  <c r="O25" i="35"/>
  <c r="N25" i="35"/>
  <c r="L25" i="35"/>
  <c r="D25" i="35"/>
  <c r="G11" i="35"/>
  <c r="F11" i="35"/>
  <c r="D11" i="35"/>
  <c r="O10" i="35"/>
  <c r="L10" i="35"/>
  <c r="F10" i="35"/>
  <c r="K34" i="34"/>
  <c r="C35" i="34"/>
  <c r="C28" i="34"/>
  <c r="C33" i="34"/>
  <c r="K28" i="34"/>
  <c r="J28" i="34"/>
  <c r="K35" i="34"/>
  <c r="J35" i="34"/>
  <c r="B33" i="34"/>
  <c r="B35" i="34" s="1"/>
  <c r="L35" i="34" l="1"/>
  <c r="D28" i="29" l="1"/>
  <c r="D5" i="29"/>
  <c r="F10" i="29"/>
  <c r="E7" i="29"/>
  <c r="E5" i="29" s="1"/>
  <c r="E8" i="29"/>
  <c r="F8" i="29" s="1"/>
  <c r="E9" i="29"/>
  <c r="F9" i="29" s="1"/>
  <c r="F6" i="29"/>
  <c r="E6" i="29"/>
  <c r="D35" i="30"/>
  <c r="E51" i="30"/>
  <c r="F51" i="30" s="1"/>
  <c r="E41" i="30"/>
  <c r="F41" i="30" s="1"/>
  <c r="E43" i="30"/>
  <c r="F43" i="30" s="1"/>
  <c r="E44" i="30"/>
  <c r="F44" i="30" s="1"/>
  <c r="E45" i="30"/>
  <c r="F45" i="30" s="1"/>
  <c r="E46" i="30"/>
  <c r="F46" i="30" s="1"/>
  <c r="E47" i="30"/>
  <c r="F47" i="30" s="1"/>
  <c r="E42" i="30"/>
  <c r="F42" i="30" s="1"/>
  <c r="E37" i="30"/>
  <c r="F37" i="30" s="1"/>
  <c r="E38" i="30"/>
  <c r="F38" i="30" s="1"/>
  <c r="E39" i="30"/>
  <c r="F39" i="30" s="1"/>
  <c r="E40" i="30"/>
  <c r="F40" i="30" s="1"/>
  <c r="E36" i="30"/>
  <c r="F36" i="30" s="1"/>
  <c r="F35" i="30" s="1"/>
  <c r="D29" i="30"/>
  <c r="F31" i="30"/>
  <c r="E31" i="30" s="1"/>
  <c r="E32" i="30"/>
  <c r="F32" i="30"/>
  <c r="D22" i="30"/>
  <c r="F25" i="30"/>
  <c r="E25" i="30" s="1"/>
  <c r="F26" i="30"/>
  <c r="E26" i="30" s="1"/>
  <c r="F7" i="30"/>
  <c r="E7" i="30" s="1"/>
  <c r="F8" i="30"/>
  <c r="F5" i="30" s="1"/>
  <c r="E35" i="30" l="1"/>
  <c r="F7" i="29"/>
  <c r="F5" i="29"/>
  <c r="C61" i="22" l="1"/>
  <c r="C63" i="22"/>
  <c r="P68" i="40" l="1"/>
  <c r="P69" i="40"/>
  <c r="P70" i="40"/>
  <c r="P71" i="40"/>
  <c r="P72" i="40"/>
  <c r="P73" i="40"/>
  <c r="P67" i="40"/>
  <c r="P61" i="40"/>
  <c r="P56" i="40"/>
  <c r="P57" i="40"/>
  <c r="P58" i="40"/>
  <c r="P59" i="40"/>
  <c r="P49" i="40"/>
  <c r="P40" i="40"/>
  <c r="P39" i="40"/>
  <c r="P38" i="40"/>
  <c r="P35" i="40"/>
  <c r="U88" i="40" l="1"/>
  <c r="V88" i="40"/>
  <c r="W88" i="40"/>
  <c r="X88" i="40"/>
  <c r="U76" i="40"/>
  <c r="U66" i="40" s="1"/>
  <c r="V76" i="40"/>
  <c r="W76" i="40"/>
  <c r="W66" i="40" s="1"/>
  <c r="AR68" i="40"/>
  <c r="AR69" i="40"/>
  <c r="AR70" i="40"/>
  <c r="AR71" i="40"/>
  <c r="AR72" i="40"/>
  <c r="AR73" i="40"/>
  <c r="AR78" i="40"/>
  <c r="AR79" i="40"/>
  <c r="AR80" i="40"/>
  <c r="AR81" i="40"/>
  <c r="AR82" i="40"/>
  <c r="AR83" i="40"/>
  <c r="AR84" i="40"/>
  <c r="AR85" i="40"/>
  <c r="AR86" i="40"/>
  <c r="AR89" i="40"/>
  <c r="AR67" i="40"/>
  <c r="AR63" i="40"/>
  <c r="U56" i="40"/>
  <c r="V56" i="40"/>
  <c r="W56" i="40"/>
  <c r="X56" i="40"/>
  <c r="AR62" i="40"/>
  <c r="AR61" i="40"/>
  <c r="AR59" i="40"/>
  <c r="AR58" i="40"/>
  <c r="U48" i="40"/>
  <c r="U47" i="40" s="1"/>
  <c r="U64" i="40" s="1"/>
  <c r="V48" i="40"/>
  <c r="W48" i="40"/>
  <c r="X48" i="40"/>
  <c r="Y48" i="40"/>
  <c r="Z48" i="40"/>
  <c r="W47" i="40"/>
  <c r="AR39" i="40"/>
  <c r="AR40" i="40"/>
  <c r="AR41" i="40"/>
  <c r="AR42" i="40"/>
  <c r="AR44" i="40"/>
  <c r="AR45" i="40"/>
  <c r="AR46" i="40"/>
  <c r="AR38" i="40"/>
  <c r="AR36" i="40"/>
  <c r="AR35" i="40"/>
  <c r="AR34" i="40"/>
  <c r="AR33" i="40"/>
  <c r="AR32" i="40"/>
  <c r="AR31" i="40"/>
  <c r="AR30" i="40"/>
  <c r="AR29" i="40"/>
  <c r="AR28" i="40"/>
  <c r="AR27" i="40"/>
  <c r="W24" i="40"/>
  <c r="AR25" i="40"/>
  <c r="AR18" i="40"/>
  <c r="AR17" i="40"/>
  <c r="AR16" i="40"/>
  <c r="AR15" i="40"/>
  <c r="AR14" i="40"/>
  <c r="AR13" i="40"/>
  <c r="AR12" i="40"/>
  <c r="AR11" i="40"/>
  <c r="AR10" i="40"/>
  <c r="AR9" i="40"/>
  <c r="AR7" i="40"/>
  <c r="AR50" i="40"/>
  <c r="AR6" i="40"/>
  <c r="T60" i="40"/>
  <c r="AR60" i="40" s="1"/>
  <c r="T57" i="40"/>
  <c r="AR57" i="40" s="1"/>
  <c r="T23" i="40"/>
  <c r="AR23" i="40" s="1"/>
  <c r="AE23" i="40"/>
  <c r="AE22" i="40"/>
  <c r="AE21" i="40"/>
  <c r="AF55" i="40"/>
  <c r="AC21" i="40"/>
  <c r="AC22" i="40"/>
  <c r="Z22" i="40"/>
  <c r="Z20" i="40"/>
  <c r="AC20" i="40"/>
  <c r="AB20" i="40"/>
  <c r="AA20" i="40"/>
  <c r="AC5" i="40"/>
  <c r="AA5" i="40"/>
  <c r="AR5" i="40" s="1"/>
  <c r="AB5" i="40"/>
  <c r="AR24" i="40" l="1"/>
  <c r="T19" i="40"/>
  <c r="V66" i="40"/>
  <c r="V47" i="40"/>
  <c r="AR21" i="40"/>
  <c r="X47" i="40"/>
  <c r="AR20" i="40"/>
  <c r="AH22" i="40"/>
  <c r="L45" i="38"/>
  <c r="L47" i="38" s="1"/>
  <c r="I126" i="22"/>
  <c r="I131" i="22" s="1"/>
  <c r="I57" i="15" s="1"/>
  <c r="E37" i="40"/>
  <c r="F37" i="40"/>
  <c r="G37" i="40"/>
  <c r="H37" i="40"/>
  <c r="I37" i="40"/>
  <c r="L37" i="40"/>
  <c r="M37" i="40"/>
  <c r="N37" i="40"/>
  <c r="O37" i="40"/>
  <c r="D37" i="40"/>
  <c r="M28" i="40"/>
  <c r="AR22" i="40" l="1"/>
  <c r="I125" i="22"/>
  <c r="P17" i="40"/>
  <c r="C66" i="22" l="1"/>
  <c r="C75" i="22" s="1"/>
  <c r="L6" i="38"/>
  <c r="D6" i="38" s="1"/>
  <c r="H15" i="38"/>
  <c r="C10" i="38" l="1"/>
  <c r="C6" i="38"/>
  <c r="M6" i="38" s="1"/>
  <c r="C15" i="38"/>
  <c r="D22" i="38"/>
  <c r="M22" i="38" s="1"/>
  <c r="D23" i="38"/>
  <c r="M23" i="38" s="1"/>
  <c r="M8" i="38" l="1"/>
  <c r="D20" i="38"/>
  <c r="M20" i="38" s="1"/>
  <c r="B45" i="38" l="1"/>
  <c r="D10" i="38" l="1"/>
  <c r="C156" i="22" l="1"/>
  <c r="I111" i="22"/>
  <c r="I75" i="22"/>
  <c r="I57" i="25"/>
  <c r="I15" i="22" l="1"/>
  <c r="U49" i="26" l="1"/>
  <c r="U58" i="26"/>
  <c r="U8" i="26" l="1"/>
  <c r="C30" i="26" l="1"/>
  <c r="C29" i="26"/>
  <c r="I99" i="22" l="1"/>
  <c r="C26" i="25" l="1"/>
  <c r="C59" i="23"/>
  <c r="C28" i="15" l="1"/>
  <c r="I22" i="22"/>
  <c r="I113" i="22" l="1"/>
  <c r="I112" i="22" s="1"/>
  <c r="I103" i="22"/>
  <c r="I102" i="22" s="1"/>
  <c r="I100" i="22"/>
  <c r="I98" i="22"/>
  <c r="I96" i="22" l="1"/>
  <c r="I51" i="22" l="1"/>
  <c r="I39" i="23"/>
  <c r="I36" i="22" l="1"/>
  <c r="I47" i="22" l="1"/>
  <c r="I8" i="23" l="1"/>
  <c r="I8" i="22"/>
  <c r="I12" i="22" s="1"/>
  <c r="C16" i="22"/>
  <c r="C82" i="16" l="1"/>
  <c r="I35" i="23" l="1"/>
  <c r="I36" i="23"/>
  <c r="I25" i="25" l="1"/>
  <c r="I8" i="25"/>
  <c r="U26" i="26"/>
  <c r="C118" i="26"/>
  <c r="I72" i="26" l="1"/>
  <c r="I51" i="27" l="1"/>
  <c r="I43" i="27"/>
  <c r="I11" i="27"/>
  <c r="I4" i="27"/>
  <c r="I27" i="26" l="1"/>
  <c r="I32" i="27" l="1"/>
  <c r="I8" i="27"/>
  <c r="I64" i="23" l="1"/>
  <c r="I51" i="23"/>
  <c r="I37" i="22"/>
  <c r="C17" i="27" l="1"/>
  <c r="I8" i="26" l="1"/>
  <c r="I12" i="26" l="1"/>
  <c r="I20" i="26"/>
  <c r="I19" i="26"/>
  <c r="I85" i="23"/>
  <c r="C26" i="23"/>
  <c r="I63" i="27" l="1"/>
  <c r="I16" i="27"/>
  <c r="I9" i="27"/>
  <c r="C22" i="22" l="1"/>
  <c r="C29" i="22"/>
  <c r="C42" i="22"/>
  <c r="C24" i="15" s="1"/>
  <c r="C32" i="22"/>
  <c r="C23" i="15"/>
  <c r="C68" i="22"/>
  <c r="C79" i="22"/>
  <c r="I76" i="22"/>
  <c r="I53" i="22"/>
  <c r="I52" i="22"/>
  <c r="I57" i="22"/>
  <c r="I50" i="22" l="1"/>
  <c r="C31" i="15"/>
  <c r="I59" i="22"/>
  <c r="I78" i="22"/>
  <c r="C28" i="22"/>
  <c r="C21" i="22" s="1"/>
  <c r="C21" i="15"/>
  <c r="I13" i="22"/>
  <c r="I73" i="22" l="1"/>
  <c r="I16" i="22"/>
  <c r="I3" i="22" s="1"/>
  <c r="I35" i="22"/>
  <c r="I49" i="22" s="1"/>
  <c r="I18" i="22" l="1"/>
  <c r="C60" i="22"/>
  <c r="I7" i="15" l="1"/>
  <c r="C27" i="15"/>
  <c r="I28" i="23"/>
  <c r="I60" i="16"/>
  <c r="C39" i="16"/>
  <c r="C39" i="28" s="1"/>
  <c r="C36" i="28" s="1"/>
  <c r="I84" i="23"/>
  <c r="I88" i="23" s="1"/>
  <c r="I15" i="23"/>
  <c r="I10" i="23"/>
  <c r="C29" i="23"/>
  <c r="I61" i="16" l="1"/>
  <c r="I19" i="23"/>
  <c r="I12" i="23"/>
  <c r="I20" i="23"/>
  <c r="C25" i="23"/>
  <c r="C40" i="40"/>
  <c r="C37" i="40" s="1"/>
  <c r="I65" i="16"/>
  <c r="I50" i="23"/>
  <c r="I62" i="16"/>
  <c r="D11" i="36" l="1"/>
  <c r="C42" i="23"/>
  <c r="I4" i="16"/>
  <c r="I61" i="18"/>
  <c r="I61" i="23" l="1"/>
  <c r="C31" i="16"/>
  <c r="U77" i="26"/>
  <c r="I44" i="26"/>
  <c r="U72" i="26"/>
  <c r="I22" i="18" s="1"/>
  <c r="U43" i="26"/>
  <c r="U98" i="26"/>
  <c r="U15" i="26"/>
  <c r="U16" i="26" s="1"/>
  <c r="I58" i="26"/>
  <c r="I52" i="26"/>
  <c r="I31" i="26"/>
  <c r="I26" i="26" s="1"/>
  <c r="I22" i="26"/>
  <c r="I40" i="26" s="1"/>
  <c r="I18" i="26"/>
  <c r="I62" i="18" l="1"/>
  <c r="U101" i="26"/>
  <c r="I69" i="26"/>
  <c r="U12" i="26"/>
  <c r="I17" i="26"/>
  <c r="U3" i="26" l="1"/>
  <c r="I58" i="27"/>
  <c r="I39" i="27"/>
  <c r="I23" i="27"/>
  <c r="I49" i="27"/>
  <c r="I84" i="27"/>
  <c r="I87" i="27" s="1"/>
  <c r="I37" i="27"/>
  <c r="I36" i="27"/>
  <c r="I38" i="27" s="1"/>
  <c r="I27" i="27"/>
  <c r="I15" i="27"/>
  <c r="I17" i="27" s="1"/>
  <c r="I12" i="27"/>
  <c r="I21" i="27" l="1"/>
  <c r="I20" i="27"/>
  <c r="I35" i="27"/>
  <c r="I55" i="27"/>
  <c r="I59" i="27" s="1"/>
  <c r="I64" i="27" l="1"/>
  <c r="I22" i="27" s="1"/>
  <c r="C104" i="27"/>
  <c r="I61" i="17" l="1"/>
  <c r="I65" i="25"/>
  <c r="I63" i="25" s="1"/>
  <c r="I86" i="25"/>
  <c r="I89" i="25" s="1"/>
  <c r="I65" i="17" s="1"/>
  <c r="I58" i="25"/>
  <c r="I49" i="25"/>
  <c r="I47" i="25"/>
  <c r="I27" i="25"/>
  <c r="I40" i="25" l="1"/>
  <c r="I39" i="25" s="1"/>
  <c r="I55" i="25" s="1"/>
  <c r="I37" i="25"/>
  <c r="I23" i="25"/>
  <c r="I35" i="25" s="1"/>
  <c r="B116" i="33"/>
  <c r="E116" i="33" s="1"/>
  <c r="E115" i="33" s="1"/>
  <c r="E121" i="33" s="1"/>
  <c r="E48" i="33"/>
  <c r="E42" i="33"/>
  <c r="E40" i="33"/>
  <c r="B36" i="33"/>
  <c r="E22" i="33"/>
  <c r="E21" i="33"/>
  <c r="E19" i="33"/>
  <c r="E16" i="33"/>
  <c r="E17" i="33" s="1"/>
  <c r="E15" i="33"/>
  <c r="E12" i="33"/>
  <c r="E13" i="33" s="1"/>
  <c r="E11" i="33"/>
  <c r="E9" i="33"/>
  <c r="E4" i="33"/>
  <c r="E5" i="33" s="1"/>
  <c r="E29" i="33" s="1"/>
  <c r="B4" i="33"/>
  <c r="I38" i="25" l="1"/>
  <c r="I59" i="25" s="1"/>
  <c r="I66" i="25" s="1"/>
  <c r="I23" i="17" s="1"/>
  <c r="I19" i="25"/>
  <c r="I17" i="25" s="1"/>
  <c r="I20" i="25"/>
  <c r="E7" i="33"/>
  <c r="E24" i="33" s="1"/>
  <c r="E6" i="33"/>
  <c r="AR55" i="40" l="1"/>
  <c r="AR52" i="40"/>
  <c r="AR53" i="40"/>
  <c r="AR49" i="40"/>
  <c r="P27" i="35"/>
  <c r="K17" i="34" l="1"/>
  <c r="C17" i="34"/>
  <c r="P28" i="40" l="1"/>
  <c r="P29" i="40"/>
  <c r="P30" i="40"/>
  <c r="P31" i="40"/>
  <c r="P32" i="40"/>
  <c r="P33" i="40"/>
  <c r="P34" i="40"/>
  <c r="P36" i="40"/>
  <c r="P27" i="40"/>
  <c r="C83" i="18"/>
  <c r="AQ88" i="40" l="1"/>
  <c r="AQ76" i="40"/>
  <c r="AQ56" i="40"/>
  <c r="AQ47" i="40" s="1"/>
  <c r="AP48" i="40"/>
  <c r="AQ48" i="40"/>
  <c r="AQ37" i="40"/>
  <c r="AQ4" i="40"/>
  <c r="AP26" i="40"/>
  <c r="AQ26" i="40"/>
  <c r="AP19" i="40"/>
  <c r="AQ19" i="40"/>
  <c r="V37" i="40"/>
  <c r="W37" i="40"/>
  <c r="X37" i="40"/>
  <c r="Y37" i="40"/>
  <c r="Z37" i="40"/>
  <c r="AA37" i="40"/>
  <c r="AB37" i="40"/>
  <c r="AC37" i="40"/>
  <c r="AE37" i="40"/>
  <c r="AF37" i="40"/>
  <c r="AG37" i="40"/>
  <c r="AH37" i="40"/>
  <c r="AI37" i="40"/>
  <c r="AJ37" i="40"/>
  <c r="AK37" i="40"/>
  <c r="AL37" i="40"/>
  <c r="AM37" i="40"/>
  <c r="AN37" i="40"/>
  <c r="AP37" i="40"/>
  <c r="AP3" i="40" s="1"/>
  <c r="AR65" i="40"/>
  <c r="AR54" i="40"/>
  <c r="P81" i="40"/>
  <c r="P82" i="40"/>
  <c r="P83" i="40"/>
  <c r="P84" i="40"/>
  <c r="P85" i="40"/>
  <c r="P86" i="40"/>
  <c r="P87" i="40"/>
  <c r="P88" i="40"/>
  <c r="P80" i="40"/>
  <c r="P62" i="40"/>
  <c r="P63" i="40"/>
  <c r="P65" i="40"/>
  <c r="P55" i="40"/>
  <c r="P50" i="40"/>
  <c r="P51" i="40"/>
  <c r="P52" i="40"/>
  <c r="P53" i="40"/>
  <c r="P20" i="40"/>
  <c r="P21" i="40"/>
  <c r="P22" i="40"/>
  <c r="P23" i="40"/>
  <c r="P24" i="40"/>
  <c r="P25" i="40"/>
  <c r="M4" i="40"/>
  <c r="N4" i="40"/>
  <c r="O4" i="40"/>
  <c r="P6" i="40"/>
  <c r="P7" i="40"/>
  <c r="P8" i="40"/>
  <c r="P9" i="40"/>
  <c r="T88" i="40"/>
  <c r="Y88" i="40"/>
  <c r="Z88" i="40"/>
  <c r="AA88" i="40"/>
  <c r="AB88" i="40"/>
  <c r="AC88" i="40"/>
  <c r="AE88" i="40"/>
  <c r="AF88" i="40"/>
  <c r="AG88" i="40"/>
  <c r="AH88" i="40"/>
  <c r="AI88" i="40"/>
  <c r="AJ88" i="40"/>
  <c r="AK88" i="40"/>
  <c r="AL88" i="40"/>
  <c r="AM88" i="40"/>
  <c r="AN88" i="40"/>
  <c r="T76" i="40"/>
  <c r="X76" i="40"/>
  <c r="X66" i="40" s="1"/>
  <c r="Y76" i="40"/>
  <c r="Z76" i="40"/>
  <c r="AA76" i="40"/>
  <c r="AB76" i="40"/>
  <c r="AC76" i="40"/>
  <c r="AE76" i="40"/>
  <c r="AF76" i="40"/>
  <c r="AG76" i="40"/>
  <c r="AH76" i="40"/>
  <c r="AI76" i="40"/>
  <c r="AJ76" i="40"/>
  <c r="AK76" i="40"/>
  <c r="AL76" i="40"/>
  <c r="AM76" i="40"/>
  <c r="AN76" i="40"/>
  <c r="AP56" i="40"/>
  <c r="AP47" i="40" s="1"/>
  <c r="AN26" i="40"/>
  <c r="T56" i="40"/>
  <c r="Y56" i="40"/>
  <c r="Y47" i="40" s="1"/>
  <c r="Z56" i="40"/>
  <c r="Z47" i="40" s="1"/>
  <c r="AA56" i="40"/>
  <c r="AB56" i="40"/>
  <c r="AC56" i="40"/>
  <c r="AE56" i="40"/>
  <c r="AF56" i="40"/>
  <c r="AG56" i="40"/>
  <c r="AH56" i="40"/>
  <c r="AI56" i="40"/>
  <c r="AJ56" i="40"/>
  <c r="AK56" i="40"/>
  <c r="AL56" i="40"/>
  <c r="AM56" i="40"/>
  <c r="AN56" i="40"/>
  <c r="T48" i="40"/>
  <c r="T47" i="40" s="1"/>
  <c r="AA48" i="40"/>
  <c r="AB48" i="40"/>
  <c r="AC48" i="40"/>
  <c r="AF48" i="40"/>
  <c r="AG48" i="40"/>
  <c r="AH48" i="40"/>
  <c r="AI48" i="40"/>
  <c r="AJ48" i="40"/>
  <c r="AK48" i="40"/>
  <c r="AL48" i="40"/>
  <c r="AM48" i="40"/>
  <c r="AN48" i="40"/>
  <c r="T26" i="40"/>
  <c r="V26" i="40"/>
  <c r="W26" i="40"/>
  <c r="X26" i="40"/>
  <c r="Y26" i="40"/>
  <c r="Z26" i="40"/>
  <c r="AA26" i="40"/>
  <c r="AB26" i="40"/>
  <c r="AC26" i="40"/>
  <c r="AE26" i="40"/>
  <c r="AF26" i="40"/>
  <c r="AG26" i="40"/>
  <c r="AH26" i="40"/>
  <c r="AI26" i="40"/>
  <c r="AJ26" i="40"/>
  <c r="AK26" i="40"/>
  <c r="AL26" i="40"/>
  <c r="AM26" i="40"/>
  <c r="AN19" i="40"/>
  <c r="V19" i="40"/>
  <c r="W19" i="40"/>
  <c r="X19" i="40"/>
  <c r="Y19" i="40"/>
  <c r="Z19" i="40"/>
  <c r="AA19" i="40"/>
  <c r="AB19" i="40"/>
  <c r="AC19" i="40"/>
  <c r="AE19" i="40"/>
  <c r="AF19" i="40"/>
  <c r="AG19" i="40"/>
  <c r="AH19" i="40"/>
  <c r="AI19" i="40"/>
  <c r="AJ19" i="40"/>
  <c r="AK19" i="40"/>
  <c r="AL19" i="40"/>
  <c r="AM19" i="40"/>
  <c r="Z4" i="40"/>
  <c r="T4" i="40"/>
  <c r="T3" i="40" s="1"/>
  <c r="AR3" i="40" s="1"/>
  <c r="V4" i="40"/>
  <c r="W4" i="40"/>
  <c r="X4" i="40"/>
  <c r="Y4" i="40"/>
  <c r="AA4" i="40"/>
  <c r="AB4" i="40"/>
  <c r="AC4" i="40"/>
  <c r="AE4" i="40"/>
  <c r="AE3" i="40" s="1"/>
  <c r="AF4" i="40"/>
  <c r="AG4" i="40"/>
  <c r="AH4" i="40"/>
  <c r="AI4" i="40"/>
  <c r="AJ4" i="40"/>
  <c r="AK4" i="40"/>
  <c r="AL4" i="40"/>
  <c r="AM4" i="40"/>
  <c r="AN4" i="40"/>
  <c r="D89" i="40"/>
  <c r="E89" i="40"/>
  <c r="F89" i="40"/>
  <c r="G89" i="40"/>
  <c r="H89" i="40"/>
  <c r="I89" i="40"/>
  <c r="K89" i="40"/>
  <c r="L89" i="40"/>
  <c r="M89" i="40"/>
  <c r="N89" i="40"/>
  <c r="O89" i="40"/>
  <c r="D78" i="40"/>
  <c r="D66" i="40" s="1"/>
  <c r="E78" i="40"/>
  <c r="F78" i="40"/>
  <c r="G78" i="40"/>
  <c r="H78" i="40"/>
  <c r="I78" i="40"/>
  <c r="K78" i="40"/>
  <c r="K66" i="40" s="1"/>
  <c r="L78" i="40"/>
  <c r="L66" i="40" s="1"/>
  <c r="M19" i="40"/>
  <c r="N19" i="40"/>
  <c r="O19" i="40"/>
  <c r="L4" i="40"/>
  <c r="L19" i="40"/>
  <c r="L48" i="40"/>
  <c r="L54" i="40"/>
  <c r="L60" i="40"/>
  <c r="N48" i="40"/>
  <c r="N54" i="40"/>
  <c r="N60" i="40"/>
  <c r="D60" i="40"/>
  <c r="E60" i="40"/>
  <c r="F60" i="40"/>
  <c r="G60" i="40"/>
  <c r="H60" i="40"/>
  <c r="I60" i="40"/>
  <c r="K60" i="40"/>
  <c r="M60" i="40"/>
  <c r="O60" i="40"/>
  <c r="D54" i="40"/>
  <c r="E54" i="40"/>
  <c r="F54" i="40"/>
  <c r="G54" i="40"/>
  <c r="H54" i="40"/>
  <c r="I54" i="40"/>
  <c r="K54" i="40"/>
  <c r="M54" i="40"/>
  <c r="O54" i="40"/>
  <c r="D48" i="40"/>
  <c r="E48" i="40"/>
  <c r="F48" i="40"/>
  <c r="G48" i="40"/>
  <c r="H48" i="40"/>
  <c r="I48" i="40"/>
  <c r="K48" i="40"/>
  <c r="M48" i="40"/>
  <c r="O48" i="40"/>
  <c r="H4" i="40"/>
  <c r="I4" i="40"/>
  <c r="D19" i="40"/>
  <c r="E19" i="40"/>
  <c r="F19" i="40"/>
  <c r="G19" i="40"/>
  <c r="H19" i="40"/>
  <c r="I19" i="40"/>
  <c r="F4" i="40"/>
  <c r="G4" i="40"/>
  <c r="D36" i="38"/>
  <c r="AR26" i="40" l="1"/>
  <c r="AI47" i="40"/>
  <c r="T64" i="40"/>
  <c r="AR64" i="40" s="1"/>
  <c r="AP64" i="40"/>
  <c r="AR56" i="40"/>
  <c r="AG66" i="40"/>
  <c r="AB66" i="40"/>
  <c r="I66" i="40"/>
  <c r="E66" i="40"/>
  <c r="AQ66" i="40"/>
  <c r="D47" i="40"/>
  <c r="AM47" i="40"/>
  <c r="AK47" i="40"/>
  <c r="AG47" i="40"/>
  <c r="AB47" i="40"/>
  <c r="AF47" i="40"/>
  <c r="I3" i="40"/>
  <c r="AK3" i="40"/>
  <c r="AK64" i="40" s="1"/>
  <c r="AL47" i="40"/>
  <c r="AQ3" i="40"/>
  <c r="AQ64" i="40" s="1"/>
  <c r="AN47" i="40"/>
  <c r="AJ47" i="40"/>
  <c r="AN66" i="40"/>
  <c r="AJ66" i="40"/>
  <c r="P60" i="40"/>
  <c r="AH3" i="40"/>
  <c r="P89" i="40"/>
  <c r="P19" i="40"/>
  <c r="P48" i="40"/>
  <c r="O3" i="40"/>
  <c r="AL66" i="40"/>
  <c r="AE66" i="40"/>
  <c r="Z66" i="40"/>
  <c r="AH66" i="40"/>
  <c r="Y66" i="40"/>
  <c r="AH47" i="40"/>
  <c r="AC47" i="40"/>
  <c r="AK66" i="40"/>
  <c r="AC66" i="40"/>
  <c r="T66" i="40"/>
  <c r="AC3" i="40"/>
  <c r="P54" i="40"/>
  <c r="AA47" i="40"/>
  <c r="AM66" i="40"/>
  <c r="AI66" i="40"/>
  <c r="AF66" i="40"/>
  <c r="AA66" i="40"/>
  <c r="P5" i="40"/>
  <c r="P37" i="40"/>
  <c r="N3" i="40"/>
  <c r="AR48" i="40"/>
  <c r="AR37" i="40"/>
  <c r="AR4" i="40"/>
  <c r="AN3" i="40"/>
  <c r="AJ3" i="40"/>
  <c r="AG3" i="40"/>
  <c r="AG64" i="40" s="1"/>
  <c r="X3" i="40"/>
  <c r="AA3" i="40"/>
  <c r="AM3" i="40"/>
  <c r="AI3" i="40"/>
  <c r="AI64" i="40" s="1"/>
  <c r="AF3" i="40"/>
  <c r="W3" i="40"/>
  <c r="AL3" i="40"/>
  <c r="AE64" i="40"/>
  <c r="V3" i="40"/>
  <c r="V64" i="40" s="1"/>
  <c r="AB3" i="40"/>
  <c r="Y3" i="40"/>
  <c r="Z3" i="40"/>
  <c r="L3" i="40"/>
  <c r="H66" i="40"/>
  <c r="G66" i="40"/>
  <c r="F66" i="40"/>
  <c r="M3" i="40"/>
  <c r="N47" i="40"/>
  <c r="L47" i="40"/>
  <c r="O47" i="40"/>
  <c r="I47" i="40"/>
  <c r="E47" i="40"/>
  <c r="K3" i="40"/>
  <c r="D3" i="40"/>
  <c r="H3" i="40"/>
  <c r="H47" i="40"/>
  <c r="M47" i="40"/>
  <c r="G47" i="40"/>
  <c r="K47" i="40"/>
  <c r="F47" i="40"/>
  <c r="G3" i="40"/>
  <c r="F3" i="40"/>
  <c r="E4" i="40"/>
  <c r="AR47" i="40" l="1"/>
  <c r="AM64" i="40"/>
  <c r="K64" i="40"/>
  <c r="Z64" i="40"/>
  <c r="W64" i="40"/>
  <c r="AB64" i="40"/>
  <c r="AN64" i="40"/>
  <c r="AJ64" i="40"/>
  <c r="AH64" i="40"/>
  <c r="AL64" i="40"/>
  <c r="D64" i="40"/>
  <c r="O64" i="40"/>
  <c r="AF64" i="40"/>
  <c r="X64" i="40"/>
  <c r="H64" i="40"/>
  <c r="I64" i="40"/>
  <c r="AC64" i="40"/>
  <c r="Y64" i="40"/>
  <c r="G64" i="40"/>
  <c r="F64" i="40"/>
  <c r="P47" i="40"/>
  <c r="N64" i="40"/>
  <c r="L64" i="40"/>
  <c r="AA64" i="40"/>
  <c r="M64" i="40"/>
  <c r="E3" i="40"/>
  <c r="P3" i="40" s="1"/>
  <c r="P4" i="40"/>
  <c r="E64" i="40" l="1"/>
  <c r="P64" i="40" s="1"/>
  <c r="D13" i="38"/>
  <c r="C86" i="40"/>
  <c r="S85" i="40"/>
  <c r="S84" i="40"/>
  <c r="C83" i="40"/>
  <c r="S82" i="40"/>
  <c r="S81" i="40"/>
  <c r="S73" i="40"/>
  <c r="C73" i="40"/>
  <c r="S70" i="40"/>
  <c r="C70" i="40"/>
  <c r="C53" i="40"/>
  <c r="C52" i="40"/>
  <c r="C51" i="40"/>
  <c r="C50" i="40"/>
  <c r="C49" i="40"/>
  <c r="I132" i="22"/>
  <c r="I109" i="22" s="1"/>
  <c r="C48" i="40" l="1"/>
  <c r="S86" i="40"/>
  <c r="F30" i="30" l="1"/>
  <c r="F24" i="30"/>
  <c r="F23" i="30"/>
  <c r="F6" i="30"/>
  <c r="E30" i="30" l="1"/>
  <c r="E29" i="30" s="1"/>
  <c r="F29" i="30"/>
  <c r="E6" i="30"/>
  <c r="E24" i="30"/>
  <c r="F22" i="30"/>
  <c r="I32" i="22"/>
  <c r="C83" i="17"/>
  <c r="C82" i="17"/>
  <c r="C82" i="19" l="1"/>
  <c r="C82" i="18"/>
  <c r="C55" i="15"/>
  <c r="C58" i="40" s="1"/>
  <c r="C68" i="28" l="1"/>
  <c r="C4" i="27" l="1"/>
  <c r="C3" i="27" s="1"/>
  <c r="C83" i="19"/>
  <c r="C32" i="18" l="1"/>
  <c r="C26" i="18"/>
  <c r="C27" i="40" s="1"/>
  <c r="C16" i="18"/>
  <c r="C7" i="18"/>
  <c r="C5" i="18"/>
  <c r="C94" i="17"/>
  <c r="I62" i="17"/>
  <c r="C94" i="18" l="1"/>
  <c r="I101" i="26"/>
  <c r="I65" i="18" s="1"/>
  <c r="I41" i="26"/>
  <c r="C94" i="16" l="1"/>
  <c r="F24" i="29" l="1"/>
  <c r="E24" i="29"/>
  <c r="D24" i="29"/>
  <c r="F20" i="29"/>
  <c r="E20" i="29"/>
  <c r="D20" i="29"/>
  <c r="F16" i="29"/>
  <c r="E16" i="29"/>
  <c r="D16" i="29"/>
  <c r="F12" i="29"/>
  <c r="E12" i="29"/>
  <c r="D12" i="29"/>
  <c r="E28" i="29" l="1"/>
  <c r="F28" i="29"/>
  <c r="C83" i="16" l="1"/>
  <c r="I144" i="22" s="1"/>
  <c r="I145" i="22" l="1"/>
  <c r="N144" i="22"/>
  <c r="C76" i="40"/>
  <c r="I93" i="23"/>
  <c r="C60" i="15" l="1"/>
  <c r="C63" i="40" s="1"/>
  <c r="C60" i="40" s="1"/>
  <c r="C8" i="15" l="1"/>
  <c r="C4" i="26"/>
  <c r="C6" i="15"/>
  <c r="C7" i="40" s="1"/>
  <c r="C4" i="23" l="1"/>
  <c r="I30" i="22" l="1"/>
  <c r="I26" i="22" s="1"/>
  <c r="I34" i="22" s="1"/>
  <c r="I21" i="22" s="1"/>
  <c r="I2" i="22" l="1"/>
  <c r="C63" i="28"/>
  <c r="C62" i="28"/>
  <c r="C61" i="28"/>
  <c r="C60" i="28"/>
  <c r="C59" i="28"/>
  <c r="C6" i="28"/>
  <c r="C53" i="15" l="1"/>
  <c r="M40" i="38"/>
  <c r="M15" i="38"/>
  <c r="M42" i="38"/>
  <c r="M29" i="38"/>
  <c r="M30" i="38"/>
  <c r="M13" i="38"/>
  <c r="C66" i="28" l="1"/>
  <c r="C56" i="40"/>
  <c r="C54" i="40" s="1"/>
  <c r="C47" i="40" s="1"/>
  <c r="D35" i="38"/>
  <c r="M36" i="38"/>
  <c r="M17" i="38"/>
  <c r="M26" i="38"/>
  <c r="M10" i="38"/>
  <c r="P30" i="35"/>
  <c r="H10" i="35"/>
  <c r="B9" i="35"/>
  <c r="M35" i="38" l="1"/>
  <c r="D47" i="38" l="1"/>
  <c r="N45" i="38"/>
  <c r="K45" i="38"/>
  <c r="M32" i="35" l="1"/>
  <c r="I32" i="35"/>
  <c r="G32" i="35"/>
  <c r="F32" i="35"/>
  <c r="E32" i="35"/>
  <c r="P31" i="35"/>
  <c r="P29" i="35"/>
  <c r="P28" i="35"/>
  <c r="P26" i="35"/>
  <c r="O32" i="35"/>
  <c r="K32" i="35"/>
  <c r="H32" i="35"/>
  <c r="J32" i="35"/>
  <c r="O19" i="35"/>
  <c r="L19" i="35"/>
  <c r="P18" i="35"/>
  <c r="P17" i="35"/>
  <c r="P16" i="35"/>
  <c r="P12" i="35"/>
  <c r="P11" i="35"/>
  <c r="N19" i="35"/>
  <c r="M19" i="35"/>
  <c r="K19" i="35"/>
  <c r="J19" i="35"/>
  <c r="I19" i="35"/>
  <c r="H19" i="35"/>
  <c r="G19" i="35"/>
  <c r="E19" i="35"/>
  <c r="B10" i="35"/>
  <c r="B11" i="35" s="1"/>
  <c r="B12" i="35" s="1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P9" i="35"/>
  <c r="B28" i="34"/>
  <c r="J17" i="34"/>
  <c r="B17" i="34"/>
  <c r="N32" i="35" l="1"/>
  <c r="D32" i="35"/>
  <c r="P23" i="35"/>
  <c r="P25" i="35"/>
  <c r="P10" i="35"/>
  <c r="L32" i="35"/>
  <c r="P32" i="35" s="1"/>
  <c r="F19" i="35"/>
  <c r="P22" i="35"/>
  <c r="P24" i="35"/>
  <c r="C94" i="19" l="1"/>
  <c r="I156" i="22" s="1"/>
  <c r="I42" i="15"/>
  <c r="C86" i="28" l="1"/>
  <c r="D40" i="32"/>
  <c r="D12" i="32"/>
  <c r="C82" i="15"/>
  <c r="C97" i="28" s="1"/>
  <c r="D34" i="34" s="1"/>
  <c r="C70" i="15"/>
  <c r="C73" i="15" s="1"/>
  <c r="C85" i="28" l="1"/>
  <c r="C75" i="40"/>
  <c r="C78" i="40" s="1"/>
  <c r="C87" i="40"/>
  <c r="F54" i="30"/>
  <c r="N75" i="40" l="1"/>
  <c r="N78" i="40" s="1"/>
  <c r="N66" i="40" s="1"/>
  <c r="C88" i="28"/>
  <c r="D33" i="34"/>
  <c r="D35" i="34" s="1"/>
  <c r="D37" i="34" s="1"/>
  <c r="D15" i="36"/>
  <c r="D29" i="36" s="1"/>
  <c r="P76" i="40"/>
  <c r="O78" i="40"/>
  <c r="O66" i="40" s="1"/>
  <c r="I55" i="15"/>
  <c r="I54" i="15"/>
  <c r="I47" i="15"/>
  <c r="I60" i="28" s="1"/>
  <c r="I48" i="15"/>
  <c r="I49" i="15"/>
  <c r="I50" i="15"/>
  <c r="I51" i="15"/>
  <c r="I52" i="15"/>
  <c r="I65" i="28" s="1"/>
  <c r="I46" i="15"/>
  <c r="I70" i="15"/>
  <c r="I82" i="15"/>
  <c r="I39" i="15"/>
  <c r="I56" i="15"/>
  <c r="M70" i="15" l="1"/>
  <c r="AP75" i="40"/>
  <c r="AR75" i="40" s="1"/>
  <c r="P75" i="40"/>
  <c r="I71" i="15"/>
  <c r="S87" i="40"/>
  <c r="AP87" i="40"/>
  <c r="P66" i="40"/>
  <c r="P91" i="40" s="1"/>
  <c r="P78" i="40"/>
  <c r="I45" i="15"/>
  <c r="I39" i="28"/>
  <c r="S40" i="40"/>
  <c r="I61" i="28"/>
  <c r="S51" i="40"/>
  <c r="I64" i="28"/>
  <c r="S54" i="40"/>
  <c r="S50" i="40"/>
  <c r="I59" i="28"/>
  <c r="S49" i="40"/>
  <c r="I85" i="28"/>
  <c r="I86" i="28" s="1"/>
  <c r="S75" i="40"/>
  <c r="C73" i="28"/>
  <c r="C70" i="28" s="1"/>
  <c r="D25" i="34" s="1"/>
  <c r="I97" i="28"/>
  <c r="I95" i="28"/>
  <c r="I94" i="28"/>
  <c r="I91" i="28"/>
  <c r="I92" i="28"/>
  <c r="I42" i="28"/>
  <c r="L15" i="34" s="1"/>
  <c r="C96" i="28"/>
  <c r="C93" i="28"/>
  <c r="I83" i="28"/>
  <c r="C83" i="28"/>
  <c r="I80" i="28"/>
  <c r="C80" i="28"/>
  <c r="C64" i="28"/>
  <c r="D24" i="34" s="1"/>
  <c r="I41" i="15"/>
  <c r="I36" i="15" s="1"/>
  <c r="I27" i="15"/>
  <c r="I28" i="15"/>
  <c r="I29" i="15"/>
  <c r="I30" i="15"/>
  <c r="I31" i="15"/>
  <c r="I26" i="15"/>
  <c r="AP90" i="40" l="1"/>
  <c r="AR90" i="40" s="1"/>
  <c r="AP76" i="40"/>
  <c r="AR87" i="40"/>
  <c r="AP88" i="40"/>
  <c r="AR88" i="40" s="1"/>
  <c r="S90" i="40"/>
  <c r="I26" i="28"/>
  <c r="S27" i="40"/>
  <c r="I28" i="28"/>
  <c r="S29" i="40"/>
  <c r="I29" i="28"/>
  <c r="S30" i="40"/>
  <c r="I30" i="28"/>
  <c r="S31" i="40"/>
  <c r="I41" i="28"/>
  <c r="I36" i="28" s="1"/>
  <c r="S42" i="40"/>
  <c r="S37" i="40" s="1"/>
  <c r="I31" i="28"/>
  <c r="S32" i="40"/>
  <c r="I27" i="28"/>
  <c r="S28" i="40"/>
  <c r="I100" i="28"/>
  <c r="S76" i="40"/>
  <c r="I96" i="28"/>
  <c r="AP66" i="40" l="1"/>
  <c r="AR76" i="40"/>
  <c r="L14" i="34"/>
  <c r="D22" i="36"/>
  <c r="AR66" i="40"/>
  <c r="AR91" i="40" s="1"/>
  <c r="I25" i="28"/>
  <c r="S26" i="40"/>
  <c r="I75" i="15"/>
  <c r="C83" i="15"/>
  <c r="L13" i="34" l="1"/>
  <c r="D21" i="36"/>
  <c r="I90" i="28"/>
  <c r="I93" i="28" s="1"/>
  <c r="I98" i="28" s="1"/>
  <c r="I76" i="28" s="1"/>
  <c r="S80" i="40"/>
  <c r="C98" i="28"/>
  <c r="C88" i="40"/>
  <c r="C90" i="40" s="1"/>
  <c r="S83" i="40" l="1"/>
  <c r="C100" i="28"/>
  <c r="C99" i="28"/>
  <c r="C76" i="28" s="1"/>
  <c r="C89" i="40"/>
  <c r="C66" i="40" s="1"/>
  <c r="C32" i="15"/>
  <c r="C33" i="15"/>
  <c r="C34" i="15"/>
  <c r="C16" i="15"/>
  <c r="C28" i="16"/>
  <c r="C28" i="28" s="1"/>
  <c r="C5" i="16"/>
  <c r="C31" i="17"/>
  <c r="C16" i="17"/>
  <c r="C8" i="17"/>
  <c r="C9" i="40" s="1"/>
  <c r="I7" i="17"/>
  <c r="C26" i="28"/>
  <c r="C58" i="28"/>
  <c r="I68" i="19"/>
  <c r="I69" i="19"/>
  <c r="I70" i="19"/>
  <c r="I67" i="19"/>
  <c r="I65" i="19"/>
  <c r="I62" i="19"/>
  <c r="I25" i="15"/>
  <c r="I36" i="17"/>
  <c r="I25" i="17"/>
  <c r="S88" i="40" l="1"/>
  <c r="S55" i="40"/>
  <c r="S58" i="40"/>
  <c r="I68" i="28"/>
  <c r="C8" i="28"/>
  <c r="C34" i="28"/>
  <c r="C35" i="40"/>
  <c r="I62" i="28"/>
  <c r="S52" i="40"/>
  <c r="S59" i="40"/>
  <c r="I69" i="28"/>
  <c r="C29" i="28"/>
  <c r="C30" i="40"/>
  <c r="I70" i="28"/>
  <c r="S60" i="40"/>
  <c r="C29" i="40"/>
  <c r="C32" i="28"/>
  <c r="C33" i="40"/>
  <c r="I67" i="28"/>
  <c r="S57" i="40"/>
  <c r="C33" i="28"/>
  <c r="C34" i="40"/>
  <c r="C57" i="28"/>
  <c r="D13" i="36" s="1"/>
  <c r="D23" i="34"/>
  <c r="D28" i="34" s="1"/>
  <c r="U128" i="26"/>
  <c r="O128" i="26"/>
  <c r="U125" i="26"/>
  <c r="O125" i="26"/>
  <c r="U117" i="26"/>
  <c r="O117" i="26"/>
  <c r="U114" i="26"/>
  <c r="O114" i="26"/>
  <c r="U107" i="26"/>
  <c r="O106" i="26"/>
  <c r="U102" i="26"/>
  <c r="O100" i="26"/>
  <c r="U94" i="26"/>
  <c r="O94" i="26"/>
  <c r="U86" i="26"/>
  <c r="U79" i="26"/>
  <c r="O72" i="26"/>
  <c r="O49" i="26"/>
  <c r="U44" i="26"/>
  <c r="O39" i="26"/>
  <c r="O25" i="26"/>
  <c r="U22" i="26"/>
  <c r="U40" i="26" s="1"/>
  <c r="O21" i="26"/>
  <c r="U17" i="26"/>
  <c r="I7" i="18" s="1"/>
  <c r="O4" i="26"/>
  <c r="O3" i="26" s="1"/>
  <c r="U73" i="26" l="1"/>
  <c r="U78" i="26" s="1"/>
  <c r="U21" i="26" s="1"/>
  <c r="S66" i="40"/>
  <c r="S48" i="40"/>
  <c r="I66" i="28"/>
  <c r="S56" i="40"/>
  <c r="O120" i="26"/>
  <c r="O131" i="26"/>
  <c r="U93" i="26"/>
  <c r="O93" i="26"/>
  <c r="U130" i="26"/>
  <c r="U119" i="26"/>
  <c r="O23" i="26"/>
  <c r="O2" i="26" s="1"/>
  <c r="U110" i="26" l="1"/>
  <c r="L23" i="34"/>
  <c r="D23" i="36"/>
  <c r="L24" i="34"/>
  <c r="D24" i="36"/>
  <c r="O110" i="26"/>
  <c r="O132" i="26" s="1"/>
  <c r="C7" i="15"/>
  <c r="C5" i="15"/>
  <c r="C4" i="15" l="1"/>
  <c r="C3" i="15" s="1"/>
  <c r="C6" i="40"/>
  <c r="C5" i="28"/>
  <c r="U2" i="26"/>
  <c r="U132" i="26" s="1"/>
  <c r="C16" i="19" l="1"/>
  <c r="C17" i="40" s="1"/>
  <c r="C16" i="28" l="1"/>
  <c r="C44" i="27"/>
  <c r="C34" i="27"/>
  <c r="C30" i="19" s="1"/>
  <c r="C26" i="27"/>
  <c r="C24" i="27" s="1"/>
  <c r="C49" i="26"/>
  <c r="C35" i="18" s="1"/>
  <c r="C39" i="26"/>
  <c r="C30" i="18" s="1"/>
  <c r="C25" i="26"/>
  <c r="C44" i="25"/>
  <c r="C34" i="25"/>
  <c r="C24" i="25" s="1"/>
  <c r="C27" i="17"/>
  <c r="C46" i="23"/>
  <c r="C35" i="16" s="1"/>
  <c r="C33" i="23"/>
  <c r="C23" i="23" s="1"/>
  <c r="C27" i="16"/>
  <c r="C35" i="15"/>
  <c r="C30" i="15"/>
  <c r="C19" i="15"/>
  <c r="C96" i="22"/>
  <c r="C30" i="28" l="1"/>
  <c r="C27" i="18"/>
  <c r="C27" i="28" s="1"/>
  <c r="C36" i="40"/>
  <c r="C21" i="28"/>
  <c r="C22" i="40"/>
  <c r="C19" i="28"/>
  <c r="C20" i="40"/>
  <c r="C24" i="28"/>
  <c r="C25" i="40"/>
  <c r="C23" i="28"/>
  <c r="C24" i="40"/>
  <c r="C22" i="15"/>
  <c r="C20" i="15" s="1"/>
  <c r="C18" i="15" s="1"/>
  <c r="C35" i="28"/>
  <c r="C45" i="26"/>
  <c r="C31" i="18" s="1"/>
  <c r="C36" i="15"/>
  <c r="D13" i="34"/>
  <c r="C7" i="19"/>
  <c r="C8" i="40" s="1"/>
  <c r="C32" i="40" l="1"/>
  <c r="C31" i="28"/>
  <c r="C25" i="28" s="1"/>
  <c r="C23" i="26"/>
  <c r="C20" i="28"/>
  <c r="C18" i="28" s="1"/>
  <c r="C21" i="40"/>
  <c r="C19" i="40" s="1"/>
  <c r="C22" i="28"/>
  <c r="C23" i="40"/>
  <c r="C31" i="40"/>
  <c r="C28" i="40"/>
  <c r="C7" i="28"/>
  <c r="C4" i="28" s="1"/>
  <c r="C3" i="28" s="1"/>
  <c r="I114" i="27"/>
  <c r="C114" i="27"/>
  <c r="I111" i="27"/>
  <c r="C111" i="27"/>
  <c r="I103" i="27"/>
  <c r="C103" i="27"/>
  <c r="I100" i="27"/>
  <c r="C100" i="27"/>
  <c r="I93" i="27"/>
  <c r="I71" i="19" s="1"/>
  <c r="C92" i="27"/>
  <c r="I88" i="27"/>
  <c r="C86" i="27"/>
  <c r="I80" i="27"/>
  <c r="C80" i="27"/>
  <c r="I72" i="27"/>
  <c r="I36" i="19" s="1"/>
  <c r="I65" i="27"/>
  <c r="I25" i="19" s="1"/>
  <c r="I22" i="19"/>
  <c r="C58" i="27"/>
  <c r="I20" i="19"/>
  <c r="C22" i="27"/>
  <c r="I3" i="27"/>
  <c r="I4" i="19"/>
  <c r="I128" i="26"/>
  <c r="C128" i="26"/>
  <c r="I125" i="26"/>
  <c r="C125" i="26"/>
  <c r="I117" i="26"/>
  <c r="C117" i="26"/>
  <c r="I114" i="26"/>
  <c r="C114" i="26"/>
  <c r="I107" i="26"/>
  <c r="C106" i="26"/>
  <c r="I102" i="26"/>
  <c r="C100" i="26"/>
  <c r="I94" i="26"/>
  <c r="C94" i="26"/>
  <c r="I86" i="26"/>
  <c r="I36" i="18" s="1"/>
  <c r="I79" i="26"/>
  <c r="I25" i="18" s="1"/>
  <c r="C72" i="26"/>
  <c r="I21" i="18"/>
  <c r="I43" i="26"/>
  <c r="C21" i="26"/>
  <c r="I16" i="26"/>
  <c r="I4" i="18"/>
  <c r="C3" i="26"/>
  <c r="I116" i="25"/>
  <c r="C116" i="25"/>
  <c r="I113" i="25"/>
  <c r="C113" i="25"/>
  <c r="I105" i="25"/>
  <c r="C105" i="25"/>
  <c r="I102" i="25"/>
  <c r="C102" i="25"/>
  <c r="I95" i="25"/>
  <c r="C94" i="25"/>
  <c r="I90" i="25"/>
  <c r="C88" i="25"/>
  <c r="I82" i="25"/>
  <c r="C82" i="25"/>
  <c r="I74" i="25"/>
  <c r="I67" i="25"/>
  <c r="I22" i="17"/>
  <c r="C58" i="25"/>
  <c r="I20" i="17"/>
  <c r="C22" i="25"/>
  <c r="I16" i="25"/>
  <c r="I5" i="17" s="1"/>
  <c r="I12" i="25"/>
  <c r="C4" i="25"/>
  <c r="C3" i="25" s="1"/>
  <c r="I115" i="23"/>
  <c r="C115" i="23"/>
  <c r="I112" i="23"/>
  <c r="C112" i="23"/>
  <c r="I104" i="23"/>
  <c r="C104" i="23"/>
  <c r="I101" i="23"/>
  <c r="C101" i="23"/>
  <c r="I94" i="23"/>
  <c r="C93" i="23"/>
  <c r="I89" i="23"/>
  <c r="C87" i="23"/>
  <c r="I81" i="23"/>
  <c r="C81" i="23"/>
  <c r="I73" i="23"/>
  <c r="I36" i="16" s="1"/>
  <c r="I66" i="23"/>
  <c r="I25" i="16" s="1"/>
  <c r="I59" i="23"/>
  <c r="I22" i="16" s="1"/>
  <c r="I41" i="23"/>
  <c r="I56" i="23" s="1"/>
  <c r="I21" i="16" s="1"/>
  <c r="I40" i="23"/>
  <c r="I20" i="16" s="1"/>
  <c r="I26" i="23"/>
  <c r="I34" i="23" s="1"/>
  <c r="I22" i="23"/>
  <c r="C21" i="23"/>
  <c r="I16" i="23"/>
  <c r="I3" i="23" s="1"/>
  <c r="C3" i="23"/>
  <c r="D11" i="34" l="1"/>
  <c r="D9" i="36"/>
  <c r="H9" i="36" s="1"/>
  <c r="I9" i="36" s="1"/>
  <c r="I5" i="18"/>
  <c r="I3" i="26"/>
  <c r="I20" i="18"/>
  <c r="I73" i="26"/>
  <c r="I74" i="26" s="1"/>
  <c r="D10" i="36"/>
  <c r="H10" i="36" s="1"/>
  <c r="I10" i="36" s="1"/>
  <c r="D10" i="34"/>
  <c r="D8" i="36"/>
  <c r="C26" i="40"/>
  <c r="I3" i="18"/>
  <c r="I19" i="16"/>
  <c r="I60" i="23"/>
  <c r="I65" i="23" s="1"/>
  <c r="I5" i="16"/>
  <c r="I3" i="16" s="1"/>
  <c r="I18" i="23"/>
  <c r="I17" i="23" s="1"/>
  <c r="I3" i="19"/>
  <c r="I19" i="27"/>
  <c r="C117" i="27"/>
  <c r="C108" i="25"/>
  <c r="I117" i="23"/>
  <c r="C2" i="28"/>
  <c r="D12" i="34"/>
  <c r="C81" i="25"/>
  <c r="I119" i="26"/>
  <c r="I116" i="27"/>
  <c r="C131" i="26"/>
  <c r="I80" i="23"/>
  <c r="I81" i="25"/>
  <c r="I107" i="25"/>
  <c r="I118" i="25"/>
  <c r="C2" i="25"/>
  <c r="C80" i="23"/>
  <c r="I3" i="25"/>
  <c r="I4" i="17"/>
  <c r="I3" i="17" s="1"/>
  <c r="C2" i="26"/>
  <c r="C79" i="27"/>
  <c r="C120" i="26"/>
  <c r="I130" i="26"/>
  <c r="I79" i="27"/>
  <c r="I21" i="17"/>
  <c r="I19" i="18"/>
  <c r="I93" i="26"/>
  <c r="C119" i="25"/>
  <c r="C2" i="27"/>
  <c r="I105" i="27"/>
  <c r="C2" i="23"/>
  <c r="I106" i="23"/>
  <c r="I97" i="23" s="1"/>
  <c r="C107" i="23"/>
  <c r="C118" i="23"/>
  <c r="C93" i="26"/>
  <c r="C106" i="27"/>
  <c r="I21" i="19"/>
  <c r="I19" i="19"/>
  <c r="I155" i="22"/>
  <c r="C155" i="22"/>
  <c r="I152" i="22"/>
  <c r="C152" i="22"/>
  <c r="I142" i="22"/>
  <c r="C142" i="22"/>
  <c r="I139" i="22"/>
  <c r="C139" i="22"/>
  <c r="I58" i="15"/>
  <c r="C131" i="22"/>
  <c r="C123" i="22"/>
  <c r="C110" i="22"/>
  <c r="I22" i="15"/>
  <c r="I20" i="15"/>
  <c r="I5" i="15"/>
  <c r="I4" i="15"/>
  <c r="I92" i="19"/>
  <c r="C92" i="19"/>
  <c r="I89" i="19"/>
  <c r="I94" i="19" s="1"/>
  <c r="C89" i="19"/>
  <c r="I81" i="19"/>
  <c r="C81" i="19"/>
  <c r="I78" i="19"/>
  <c r="C78" i="19"/>
  <c r="C70" i="19"/>
  <c r="I66" i="19"/>
  <c r="C64" i="19"/>
  <c r="I58" i="19"/>
  <c r="C58" i="19"/>
  <c r="C36" i="19"/>
  <c r="C25" i="19"/>
  <c r="C18" i="19"/>
  <c r="C4" i="19"/>
  <c r="I92" i="18"/>
  <c r="C92" i="18"/>
  <c r="I89" i="18"/>
  <c r="C89" i="18"/>
  <c r="I81" i="18"/>
  <c r="C81" i="18"/>
  <c r="I78" i="18"/>
  <c r="C78" i="18"/>
  <c r="C70" i="18"/>
  <c r="I66" i="18"/>
  <c r="C64" i="18"/>
  <c r="I58" i="18"/>
  <c r="I57" i="18" s="1"/>
  <c r="C58" i="18"/>
  <c r="C36" i="18"/>
  <c r="C25" i="18"/>
  <c r="C18" i="18"/>
  <c r="C4" i="18"/>
  <c r="C3" i="18" s="1"/>
  <c r="I92" i="17"/>
  <c r="C92" i="17"/>
  <c r="I89" i="17"/>
  <c r="I94" i="17" s="1"/>
  <c r="C89" i="17"/>
  <c r="I81" i="17"/>
  <c r="C81" i="17"/>
  <c r="I78" i="17"/>
  <c r="C78" i="17"/>
  <c r="C70" i="17"/>
  <c r="I66" i="17"/>
  <c r="C64" i="17"/>
  <c r="I58" i="17"/>
  <c r="C58" i="17"/>
  <c r="C36" i="17"/>
  <c r="C25" i="17"/>
  <c r="C18" i="17"/>
  <c r="C4" i="17"/>
  <c r="C3" i="17" s="1"/>
  <c r="I92" i="16"/>
  <c r="C92" i="16"/>
  <c r="I89" i="16"/>
  <c r="C89" i="16"/>
  <c r="I81" i="16"/>
  <c r="C81" i="16"/>
  <c r="I78" i="16"/>
  <c r="C78" i="16"/>
  <c r="C70" i="16"/>
  <c r="I66" i="16"/>
  <c r="C64" i="16"/>
  <c r="I58" i="16"/>
  <c r="C58" i="16"/>
  <c r="C36" i="16"/>
  <c r="C25" i="16"/>
  <c r="C18" i="16"/>
  <c r="C4" i="16"/>
  <c r="C3" i="16" s="1"/>
  <c r="I81" i="15"/>
  <c r="C81" i="15"/>
  <c r="I78" i="15"/>
  <c r="C78" i="15"/>
  <c r="I68" i="15"/>
  <c r="C68" i="15"/>
  <c r="I65" i="15"/>
  <c r="C65" i="15"/>
  <c r="C57" i="15"/>
  <c r="I53" i="15"/>
  <c r="C51" i="15"/>
  <c r="C45" i="15"/>
  <c r="C25" i="15"/>
  <c r="S5" i="40" l="1"/>
  <c r="C3" i="19"/>
  <c r="C4" i="40" s="1"/>
  <c r="C3" i="40" s="1"/>
  <c r="C5" i="40"/>
  <c r="C74" i="28"/>
  <c r="C101" i="28"/>
  <c r="D16" i="36"/>
  <c r="H8" i="36"/>
  <c r="I8" i="36" s="1"/>
  <c r="D17" i="34"/>
  <c r="E8" i="41"/>
  <c r="E11" i="41" s="1"/>
  <c r="E23" i="41" s="1"/>
  <c r="D8" i="41"/>
  <c r="D11" i="41" s="1"/>
  <c r="D23" i="41" s="1"/>
  <c r="C97" i="23"/>
  <c r="I157" i="22"/>
  <c r="I135" i="22" s="1"/>
  <c r="I159" i="22" s="1"/>
  <c r="I23" i="16"/>
  <c r="I7" i="16"/>
  <c r="I18" i="27"/>
  <c r="I2" i="27" s="1"/>
  <c r="I98" i="25"/>
  <c r="C84" i="18"/>
  <c r="C95" i="18"/>
  <c r="I20" i="28"/>
  <c r="S21" i="40"/>
  <c r="I22" i="28"/>
  <c r="S23" i="40"/>
  <c r="I71" i="28"/>
  <c r="L25" i="34" s="1"/>
  <c r="S61" i="40"/>
  <c r="I5" i="28"/>
  <c r="S6" i="40"/>
  <c r="I4" i="28"/>
  <c r="I19" i="17"/>
  <c r="C110" i="26"/>
  <c r="C132" i="26" s="1"/>
  <c r="I57" i="17"/>
  <c r="C95" i="17"/>
  <c r="C57" i="18"/>
  <c r="C109" i="22"/>
  <c r="C57" i="17"/>
  <c r="I110" i="26"/>
  <c r="I83" i="18"/>
  <c r="I94" i="18"/>
  <c r="I3" i="15"/>
  <c r="S4" i="40" s="1"/>
  <c r="I96" i="27"/>
  <c r="I57" i="16"/>
  <c r="C84" i="16"/>
  <c r="C95" i="16"/>
  <c r="C57" i="16"/>
  <c r="C98" i="25"/>
  <c r="C120" i="25" s="1"/>
  <c r="I94" i="16"/>
  <c r="I44" i="15"/>
  <c r="C84" i="15"/>
  <c r="C61" i="15" s="1"/>
  <c r="C158" i="22"/>
  <c r="C2" i="18"/>
  <c r="C57" i="19"/>
  <c r="C96" i="27"/>
  <c r="C118" i="27" s="1"/>
  <c r="C119" i="23"/>
  <c r="C2" i="17"/>
  <c r="I83" i="17"/>
  <c r="I74" i="17" s="1"/>
  <c r="C2" i="19"/>
  <c r="I83" i="19"/>
  <c r="I74" i="19" s="1"/>
  <c r="C2" i="15"/>
  <c r="C44" i="15"/>
  <c r="I83" i="15"/>
  <c r="C2" i="16"/>
  <c r="I83" i="16"/>
  <c r="C84" i="17"/>
  <c r="I57" i="19"/>
  <c r="C84" i="19"/>
  <c r="C95" i="19"/>
  <c r="C91" i="40" l="1"/>
  <c r="C64" i="40"/>
  <c r="I16" i="36"/>
  <c r="H16" i="36"/>
  <c r="L28" i="34"/>
  <c r="D30" i="34" s="1"/>
  <c r="S47" i="40"/>
  <c r="I74" i="18"/>
  <c r="I7" i="19"/>
  <c r="S8" i="40" s="1"/>
  <c r="I78" i="26"/>
  <c r="I57" i="28"/>
  <c r="I3" i="28"/>
  <c r="I23" i="19"/>
  <c r="C74" i="17"/>
  <c r="C96" i="17" s="1"/>
  <c r="C74" i="18"/>
  <c r="I18" i="17"/>
  <c r="I2" i="17" s="1"/>
  <c r="I96" i="17" s="1"/>
  <c r="I22" i="25"/>
  <c r="I2" i="25" s="1"/>
  <c r="I120" i="25" s="1"/>
  <c r="I19" i="15"/>
  <c r="I74" i="16"/>
  <c r="C74" i="16"/>
  <c r="C96" i="16" s="1"/>
  <c r="I21" i="15"/>
  <c r="I61" i="15"/>
  <c r="C85" i="15"/>
  <c r="C159" i="22"/>
  <c r="C74" i="19"/>
  <c r="C96" i="19" s="1"/>
  <c r="I21" i="23"/>
  <c r="C105" i="28" l="1"/>
  <c r="I97" i="17"/>
  <c r="I21" i="28"/>
  <c r="S22" i="40"/>
  <c r="I18" i="19"/>
  <c r="I2" i="19" s="1"/>
  <c r="I96" i="19" s="1"/>
  <c r="I7" i="28"/>
  <c r="L10" i="34"/>
  <c r="D18" i="36"/>
  <c r="I120" i="27"/>
  <c r="I2" i="23"/>
  <c r="I119" i="23" s="1"/>
  <c r="I21" i="26"/>
  <c r="I2" i="26" s="1"/>
  <c r="I132" i="26" s="1"/>
  <c r="I23" i="18"/>
  <c r="I18" i="18" s="1"/>
  <c r="I19" i="28"/>
  <c r="S20" i="40"/>
  <c r="I18" i="16"/>
  <c r="I2" i="16" s="1"/>
  <c r="I96" i="16" s="1"/>
  <c r="I98" i="16" s="1"/>
  <c r="I97" i="19" l="1"/>
  <c r="L11" i="34"/>
  <c r="D19" i="36"/>
  <c r="H19" i="36" s="1"/>
  <c r="I19" i="36" s="1"/>
  <c r="H18" i="36"/>
  <c r="I121" i="23"/>
  <c r="I134" i="26"/>
  <c r="I23" i="15"/>
  <c r="S24" i="40" s="1"/>
  <c r="S19" i="40" s="1"/>
  <c r="S3" i="40" s="1"/>
  <c r="S91" i="40" s="1"/>
  <c r="I18" i="36" l="1"/>
  <c r="I23" i="28"/>
  <c r="I18" i="28" s="1"/>
  <c r="I18" i="15"/>
  <c r="I2" i="15" s="1"/>
  <c r="I85" i="15" s="1"/>
  <c r="I105" i="28" l="1"/>
  <c r="I88" i="15"/>
  <c r="I87" i="15"/>
  <c r="L12" i="34"/>
  <c r="L17" i="34" s="1"/>
  <c r="D31" i="34" s="1"/>
  <c r="D20" i="36"/>
  <c r="I2" i="28"/>
  <c r="I74" i="28" s="1"/>
  <c r="D27" i="36" l="1"/>
  <c r="D28" i="36"/>
  <c r="I101" i="28"/>
  <c r="I102" i="28" s="1"/>
  <c r="D19" i="34"/>
  <c r="H20" i="36"/>
  <c r="E23" i="30"/>
  <c r="I20" i="36" l="1"/>
  <c r="I27" i="36" s="1"/>
  <c r="H27" i="36"/>
  <c r="H28" i="36" s="1"/>
  <c r="E22" i="30"/>
  <c r="E54" i="30" s="1"/>
  <c r="S64" i="40"/>
  <c r="C94" i="40" l="1"/>
  <c r="D19" i="35"/>
  <c r="I162" i="22" l="1"/>
  <c r="P19" i="35"/>
  <c r="P33" i="35" s="1"/>
  <c r="D159" i="22" l="1"/>
  <c r="J162" i="22" s="1"/>
  <c r="F4" i="22"/>
  <c r="F3" i="22" s="1"/>
  <c r="F2" i="22" s="1"/>
  <c r="E3" i="22"/>
  <c r="E2" i="22" s="1"/>
  <c r="E159" i="22" s="1"/>
  <c r="K162" i="22" s="1"/>
  <c r="F159" i="22" l="1"/>
  <c r="L162" i="22" s="1"/>
</calcChain>
</file>

<file path=xl/sharedStrings.xml><?xml version="1.0" encoding="utf-8"?>
<sst xmlns="http://schemas.openxmlformats.org/spreadsheetml/2006/main" count="3903" uniqueCount="1156">
  <si>
    <t>Jogszabályi hivatkozás</t>
  </si>
  <si>
    <t>Kapott támogatás</t>
  </si>
  <si>
    <t xml:space="preserve">Működési </t>
  </si>
  <si>
    <t>Előirányzat csoport</t>
  </si>
  <si>
    <t>Működési célú támogatásértékű bevétel</t>
  </si>
  <si>
    <t xml:space="preserve"> -elkülönített állami pénzalapból </t>
  </si>
  <si>
    <t>-társadalombiztosítás pénzügyi alapjaiból</t>
  </si>
  <si>
    <t>-nemzetiségi önkormányzattól</t>
  </si>
  <si>
    <t>-többcélú kistérségi társulástól</t>
  </si>
  <si>
    <t>Közhatalmi bevételek</t>
  </si>
  <si>
    <t>-jogi személyiségű társulástól</t>
  </si>
  <si>
    <t>-térségi fejlesztési tanácstól</t>
  </si>
  <si>
    <t xml:space="preserve">-európai uniós forrásból </t>
  </si>
  <si>
    <t>-fejezeti kezelésű előirányzatból</t>
  </si>
  <si>
    <t>-központi költségvetésből</t>
  </si>
  <si>
    <t>-központi költségvetéstől kapott támogatás</t>
  </si>
  <si>
    <t>-irányító szervtől kapott támogatás</t>
  </si>
  <si>
    <t>-adók</t>
  </si>
  <si>
    <t>-illetékek</t>
  </si>
  <si>
    <t>-járulékok</t>
  </si>
  <si>
    <t>-hozzájárulások</t>
  </si>
  <si>
    <t>-bírságok, díjak</t>
  </si>
  <si>
    <t>-egyéb fizetési kötelezettségek</t>
  </si>
  <si>
    <t>I.</t>
  </si>
  <si>
    <t>Bevétel (kiemelt előirányzatai)</t>
  </si>
  <si>
    <t>Intézményi működési bevétel</t>
  </si>
  <si>
    <t>-áru és készletértékesítés</t>
  </si>
  <si>
    <t>-nyújtott szolgáltatások ellenértéke</t>
  </si>
  <si>
    <t>-bérleti díj bevételek</t>
  </si>
  <si>
    <t>-intézményi ellátási díjak</t>
  </si>
  <si>
    <t>-alkalmazottak térítése</t>
  </si>
  <si>
    <t>-Áfa bevételek</t>
  </si>
  <si>
    <t>-hozam és kamatbevételek</t>
  </si>
  <si>
    <t>Működési célú átvett pénzeszköz</t>
  </si>
  <si>
    <t>Előző évi működési célú maradvány átvétele</t>
  </si>
  <si>
    <t>I/1.</t>
  </si>
  <si>
    <t>I/2.</t>
  </si>
  <si>
    <t>Előző évi működési célú pénzmaradvány igénybevétele</t>
  </si>
  <si>
    <t>Kiadás (kiemelt előirányzatai)</t>
  </si>
  <si>
    <t>Felhalmozási bevételek</t>
  </si>
  <si>
    <t>-tárgyi eszközök és immateriális javak értékesítése</t>
  </si>
  <si>
    <t>-pénzügyi befektetések bevételei</t>
  </si>
  <si>
    <t>Felhalmozási célú átvett pénzeszköz</t>
  </si>
  <si>
    <t>Felhalmozási célú támogatásértékű bevétel</t>
  </si>
  <si>
    <t>Előző évi felhalmozási célú pénzmaradvány igénybevétele</t>
  </si>
  <si>
    <t>II.</t>
  </si>
  <si>
    <t xml:space="preserve">Felhalmozási </t>
  </si>
  <si>
    <t>I/3.</t>
  </si>
  <si>
    <t>I/4.</t>
  </si>
  <si>
    <t>I/5.</t>
  </si>
  <si>
    <t>I/6.</t>
  </si>
  <si>
    <t>I/7.</t>
  </si>
  <si>
    <t>II/1.</t>
  </si>
  <si>
    <t>II/2.</t>
  </si>
  <si>
    <t>II/3.</t>
  </si>
  <si>
    <t>II/4.</t>
  </si>
  <si>
    <t>III.</t>
  </si>
  <si>
    <t>Kölcsönök</t>
  </si>
  <si>
    <t>III/1.</t>
  </si>
  <si>
    <t>III/2.</t>
  </si>
  <si>
    <t>Működési célú kölcsönök</t>
  </si>
  <si>
    <t>-Kapott kölcsönök</t>
  </si>
  <si>
    <t>-Kölcsön visszatérülése</t>
  </si>
  <si>
    <t>Felhalmozási célú kölcsönök</t>
  </si>
  <si>
    <t>IV.</t>
  </si>
  <si>
    <t>Finanszírozási célú pénzügyi műveletek bevételei</t>
  </si>
  <si>
    <t>-működési célú</t>
  </si>
  <si>
    <t>-felhalmozási célú</t>
  </si>
  <si>
    <t>Előző évi felhalmozási célú maradvány átvétele</t>
  </si>
  <si>
    <t>II/5.</t>
  </si>
  <si>
    <t>Ávr. 2.§ a)</t>
  </si>
  <si>
    <t>Ávr. 2.§ b)</t>
  </si>
  <si>
    <t>Ávr. 2.§ c); Áht. 5. § (1) a)</t>
  </si>
  <si>
    <t>Ávr. 2.§ d)</t>
  </si>
  <si>
    <t>Ávr. 2. § f)</t>
  </si>
  <si>
    <t>Ávr. 2. § g)</t>
  </si>
  <si>
    <t>Ávr. 2. § i)</t>
  </si>
  <si>
    <t>Ávr. 2. § e)</t>
  </si>
  <si>
    <t>Ávr. 2. § h)</t>
  </si>
  <si>
    <t>Áht. 6.§ (3)</t>
  </si>
  <si>
    <t>Személyi juttatások</t>
  </si>
  <si>
    <t>Munkaadókat terhelő járulékok</t>
  </si>
  <si>
    <t>Szociális hozzájárulások</t>
  </si>
  <si>
    <t>Dologi kiadások</t>
  </si>
  <si>
    <t>Ellátottak pénzbeli juttatásai</t>
  </si>
  <si>
    <t>Egyéb működési célú kiadások</t>
  </si>
  <si>
    <t>Intézményi beruházások</t>
  </si>
  <si>
    <t>Felújítások</t>
  </si>
  <si>
    <t>Kormányzati beruházások</t>
  </si>
  <si>
    <t>Lakástámogatás</t>
  </si>
  <si>
    <t>Egyéb felhalmozási kiadások</t>
  </si>
  <si>
    <t>-Kölcsön nyújtás</t>
  </si>
  <si>
    <t>-Kölcsön törlesztése</t>
  </si>
  <si>
    <t>Mindösszesen</t>
  </si>
  <si>
    <t>Finanszírozási célú pénzügyi műveletek kiadásai</t>
  </si>
  <si>
    <t>Tartalékok</t>
  </si>
  <si>
    <t>Általános tartalék</t>
  </si>
  <si>
    <t>Céltartalék</t>
  </si>
  <si>
    <t>Áht. 23.§ (4)</t>
  </si>
  <si>
    <t>Áht. 23. 2) § e)</t>
  </si>
  <si>
    <t>V.</t>
  </si>
  <si>
    <t>IV/1.</t>
  </si>
  <si>
    <t>IV/2.</t>
  </si>
  <si>
    <t xml:space="preserve">Bevételek </t>
  </si>
  <si>
    <t>Kiadások</t>
  </si>
  <si>
    <t>1.</t>
  </si>
  <si>
    <t>2.</t>
  </si>
  <si>
    <t>3.</t>
  </si>
  <si>
    <t>4.</t>
  </si>
  <si>
    <t>5.</t>
  </si>
  <si>
    <t>6.</t>
  </si>
  <si>
    <t>7.</t>
  </si>
  <si>
    <t>Befektetési vagy forgatási célú hitelviszonyt megtestesítő értékpapír kibocsátása, értékesítése, beváltása az eladási árban elismert kamat kivételével</t>
  </si>
  <si>
    <t>Hosszú lejáratú hitel felvétele</t>
  </si>
  <si>
    <t>Rövid lejáratú hitel felvétele</t>
  </si>
  <si>
    <t>Kölcsön felvétele</t>
  </si>
  <si>
    <t>Szabad pénzeszközök betétként való elhelyezése</t>
  </si>
  <si>
    <t>Költségvetési maradvány, vállalkozási maradvány</t>
  </si>
  <si>
    <t>Irányító szervi támogatásként folyósított támogatás fizetési számlán történő jóváírása</t>
  </si>
  <si>
    <t>Áht. 73. § (1) aa)</t>
  </si>
  <si>
    <t>Áht. 73. § (1) ab)</t>
  </si>
  <si>
    <t>Áht. 73. § (1) ac)</t>
  </si>
  <si>
    <t>Áht. 73. § (1) ad)</t>
  </si>
  <si>
    <t>Áht. 73. § (1) ae)</t>
  </si>
  <si>
    <t xml:space="preserve"> Befektetési vagy forgatási célú hitelviszonyt megtestesítő értékpapír kibocsátása, értékesítése, beváltása az eladási árban elismert kamat kivételével</t>
  </si>
  <si>
    <t>Beruházások</t>
  </si>
  <si>
    <t>Befektetési vagy forgatási célú hitelviszonyt megtestesítő értékpapír vásárlása a vételárban elismert kamat kivételével</t>
  </si>
  <si>
    <t>Hosszú lejáratú hitel tőkeösszegének törlesztése</t>
  </si>
  <si>
    <t>Rövid lejáratú hitel tőkeösszegének törlesztése</t>
  </si>
  <si>
    <t>Kölcsön tőkeösszegének törlesztése</t>
  </si>
  <si>
    <t>Szabad pénzeszközök betétként való visszavonása</t>
  </si>
  <si>
    <t>Irányító szervi támogatásként folyósított támogatás kiutalása</t>
  </si>
  <si>
    <t>Pénzügyi lízing lízingbevevői félként a lízíingszerződésben kikötött tőkerész törlesztésére teljesített kiadások</t>
  </si>
  <si>
    <t>Áht. 73. § (1) af)</t>
  </si>
  <si>
    <t>Áht. 6. § (3)</t>
  </si>
  <si>
    <t>Adók</t>
  </si>
  <si>
    <t>Illetékek</t>
  </si>
  <si>
    <t>Járulékok</t>
  </si>
  <si>
    <t>Hozzájárulások</t>
  </si>
  <si>
    <t>Bírságok</t>
  </si>
  <si>
    <t>Díjak</t>
  </si>
  <si>
    <t>Más fizetési kötelezettségek</t>
  </si>
  <si>
    <t>Munkaadókat terhelő járulékok és szociális hozzájárulási adó</t>
  </si>
  <si>
    <t>BEVÉTELEK MINDÖSSZESEN</t>
  </si>
  <si>
    <t>KIADÁSOK MINDÖSSZESEN</t>
  </si>
  <si>
    <t>Helyi önkormányzatok működésének általános támogatása</t>
  </si>
  <si>
    <t>Települési önkormányzatok egyes köznevelési feladatainak támogatása</t>
  </si>
  <si>
    <t>Települési önkormányzatok szociális és gyermekjóléti  feladatainak támogatása</t>
  </si>
  <si>
    <t>Települési önkormányzatok kulturális feladatainak támogatása</t>
  </si>
  <si>
    <t>Működési célú központosított előirányzatok</t>
  </si>
  <si>
    <t>Helyi önkormányzatok kiegészítő támogatásai</t>
  </si>
  <si>
    <t>Áhsz. 15. melléklet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</si>
  <si>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</si>
  <si>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</si>
  <si>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</si>
  <si>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</si>
  <si>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</si>
  <si>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Működési célú támogatások Áht.-on belülről (1+2….+6)</t>
  </si>
  <si>
    <t>Áht. 5. § (1) a)</t>
  </si>
  <si>
    <t>Működési bevételek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</si>
  <si>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</si>
  <si>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</si>
  <si>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</si>
  <si>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</si>
  <si>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</si>
  <si>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</si>
  <si>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</si>
  <si>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</si>
  <si>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</si>
  <si>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</si>
  <si>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</si>
  <si>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</si>
  <si>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</si>
  <si>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</t>
  </si>
  <si>
    <t>Felhalmozási célú támogatások Áht.-on belülről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</si>
  <si>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</si>
  <si>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</si>
  <si>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</si>
  <si>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</si>
  <si>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</si>
  <si>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MŰKÖDÉSI KÖLTSÉGVETÉSI BEVÉTELEK (I+II+III+IV)</t>
  </si>
  <si>
    <t>VI.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</si>
  <si>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</si>
  <si>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</si>
  <si>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</si>
  <si>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</si>
  <si>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</si>
  <si>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Felhalmozási célú átvett pénzeszközök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</si>
  <si>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</si>
  <si>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</si>
  <si>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</si>
  <si>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VII.</t>
  </si>
  <si>
    <t>FELHALMOZÁSI KÖLTSÉGVETÉSI BEVÉTELEK (V+VI+VII)</t>
  </si>
  <si>
    <t>MŰKÖDÉSI FINANSZÍROZÁSI BEVÉTELEK (1+2+….+7)</t>
  </si>
  <si>
    <t>FELHALMOZÁSI FINANSZÍROZÁSI BEVÉTELEK (1+2+….+7)</t>
  </si>
  <si>
    <r>
      <t xml:space="preserve">Egyéb működési célú kiadások </t>
    </r>
    <r>
      <rPr>
        <sz val="11"/>
        <color theme="1"/>
        <rFont val="Times New Roman"/>
        <family val="1"/>
        <charset val="238"/>
      </rPr>
      <t>(tartalékokkal együtt K512 rovatszám)</t>
    </r>
  </si>
  <si>
    <t>MŰKÖDÉSI KÖLTSÉGVETÉSI KIADÁSOK (I+II+….V)</t>
  </si>
  <si>
    <t>MŰKÖDÉSI FINANSZÍROZÁSI KIADÁSOK (1+2+….+7)</t>
  </si>
  <si>
    <t>FELHALMOZÁSI FINANSZÍROZÁSI KIADÁSOK (1+2+….+7)</t>
  </si>
  <si>
    <t>VIII.</t>
  </si>
  <si>
    <t>FELHALMOZÁSI KÖLTSÉGVETÉSI KIADÁSOK (VI+VII+VIII)</t>
  </si>
  <si>
    <t>Önkormányzatok működési támogatásai</t>
  </si>
  <si>
    <t>K42. Családi támogatások</t>
  </si>
  <si>
    <t>K44. Betegséggel kapcsolatos (nem TB) ellátások</t>
  </si>
  <si>
    <t>K45. Foglalkoztatással, munkanélküliséggel kapcsolatos ellátások</t>
  </si>
  <si>
    <t>K46. Lakhatással kapcsolatos ellátások</t>
  </si>
  <si>
    <t>K47. Intézményi ellátottak pénzbeli juttatásai</t>
  </si>
  <si>
    <t>K48. Egyéb nem intézményi ellátások</t>
  </si>
  <si>
    <t>K502. Elvonások és befizetések</t>
  </si>
  <si>
    <t>K506. Egyéb működési célú támogatások államháztartáson belülre</t>
  </si>
  <si>
    <t>K505. Működési c.visszatérítendő támogatások, kölcsönök törlesztése áht.belül</t>
  </si>
  <si>
    <t>K508. Működési c.visszatérítendő támogatások, kölcsönök törlesztése áht.kívül</t>
  </si>
  <si>
    <t>K512. Tartalékok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</si>
  <si>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</si>
  <si>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</si>
  <si>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</si>
  <si>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</si>
  <si>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K6. Beruházások</t>
  </si>
  <si>
    <t>K61. Immateriális javak beszerzése</t>
  </si>
  <si>
    <t>K62. Ingatlanok beszerzése</t>
  </si>
  <si>
    <t>K63. Informatikai eszközök beszerzése</t>
  </si>
  <si>
    <t>K64. Egyéb tárgyi eszközök beszerzése</t>
  </si>
  <si>
    <t>K65. Részesedések</t>
  </si>
  <si>
    <t>K66. Meglévő részesedések növeléséhez kapcsolódó kiadás</t>
  </si>
  <si>
    <t>K67. Beruházási célú előzetesen felszámított ÁFA</t>
  </si>
  <si>
    <t>K7. Felújítások</t>
  </si>
  <si>
    <t>K71. Ingatlanok felújítása</t>
  </si>
  <si>
    <t>K72. Informatikai eszközök felújítása</t>
  </si>
  <si>
    <t>K73. Egyéb tárgyi eszközök felújítása</t>
  </si>
  <si>
    <t>K74. Felújítási célú előzetesen felszámított ÁFA</t>
  </si>
  <si>
    <t>K8. Egyéb felhalmozási célú kiadások</t>
  </si>
  <si>
    <t>K9111. Hosszú lejáratú hitelek, kölcsönök törlesztése</t>
  </si>
  <si>
    <t>K9112. Likviditási célú hitelek, kölcsönök törlesztése pénzügyi vállalkozásnak</t>
  </si>
  <si>
    <t>K9113. Rövid lejáratú hitelek, kölcsönök törlesztése</t>
  </si>
  <si>
    <t>K9122. Forgatási célú belföldi értékpapír beváltása</t>
  </si>
  <si>
    <t>K9121. Forgatási célú belföldi értékpapír vásárlása</t>
  </si>
  <si>
    <t>K915. Központi, irányító szervi támogatás folyósítása</t>
  </si>
  <si>
    <t>K5. Egyéb működési célú kiadások (tartalékokkal együtt)</t>
  </si>
  <si>
    <t>K31. Készletbeszerzés összesen</t>
  </si>
  <si>
    <t>K32. Kommunikációs szolgáltatások összesen</t>
  </si>
  <si>
    <t>K33. Szolgáltatási kiadások összesen</t>
  </si>
  <si>
    <t>K34. Kiküldetés, reklám- és propaganda kiadások összesen</t>
  </si>
  <si>
    <t>K35. Különféle befizetések és egyéb dologi kiadások összesen</t>
  </si>
  <si>
    <t>K911. Hitel-, kölcsöntörlesztés államháztartáson kívülre összesen</t>
  </si>
  <si>
    <t>K912. Belföldi értékpapírok kiadásai összesen</t>
  </si>
  <si>
    <t>K91. Belföldi finanszírozás kiadásai (működési) összesen</t>
  </si>
  <si>
    <t>K91. Belföldi finanszírozás kiadásai (felhalmozási) összesen</t>
  </si>
  <si>
    <t>B11. Önkormányzatok működési támogatásai</t>
  </si>
  <si>
    <t>B111. Helyi önkormányzatok működésének általános támogatása</t>
  </si>
  <si>
    <t>B112. Települési önkormányzatok egyes köznevelési feladatainak támogatása</t>
  </si>
  <si>
    <t>B113. Települési önkormányzatok szociális és gyermekjóléti  feladatainak támogatása</t>
  </si>
  <si>
    <t>B114. Települési önkormányzatok kulturális feladatainak támogatása</t>
  </si>
  <si>
    <t>B115. Működési célú központosított előirányzatok</t>
  </si>
  <si>
    <t>nem tervezhető!</t>
  </si>
  <si>
    <t>B116. Helyi önkormányzatok kiegészítő támogatásai</t>
  </si>
  <si>
    <t>B12. Elvonások és befizetések bevételei</t>
  </si>
  <si>
    <t>B13. Működési célú garancia- és kezességvállalásból származó megtérülések államháztartáson belülről</t>
  </si>
  <si>
    <t>B14. Működési célú visszatérítendő támogatások, kölcsönök visszatérülése államháztartáson belülről</t>
  </si>
  <si>
    <t>B15. Működési célú visszatérítendő támogatások, kölcsönök igénybevétele államháztartáson belülről</t>
  </si>
  <si>
    <t>B16. Egyéb működési célú támogatások bevételei államháztartáson belülről</t>
  </si>
  <si>
    <t>B2. Felhalmozási célú támogatások Áht.-on belülről</t>
  </si>
  <si>
    <t>B21. Felhalmozási célú önkormányzati támogatások</t>
  </si>
  <si>
    <t>B22. Felhalmozási célú garancia- és kezességvállalásból származó megtérülések államháztartáson belülről</t>
  </si>
  <si>
    <t>B23. Felhalmozási célú visszatérítendő támogatások, kölcsönök visszatérülése államháztartáson belülről</t>
  </si>
  <si>
    <t>B24. Felhalmozási célú visszatérítendő támogatások, kölcsönök igénybevétele államháztartáson belülről</t>
  </si>
  <si>
    <t>B25. Egyéb felhalmozási célú támogatások bevételei államháztartáson belülről</t>
  </si>
  <si>
    <t>B3. Közhatalmi bevételek</t>
  </si>
  <si>
    <t>B34. Vagyoni típusú adók</t>
  </si>
  <si>
    <t>B35. Termékek és szolgáltatások adói</t>
  </si>
  <si>
    <t>B351. Értékesítési és forgalmi adók</t>
  </si>
  <si>
    <t>B354. Gépjárműadó</t>
  </si>
  <si>
    <t>B355. Egyéb áruhasználati és szolgáltatási adók</t>
  </si>
  <si>
    <t>B36. Egyéb közhatalmi bevételek</t>
  </si>
  <si>
    <t>B4. Működési bevételek</t>
  </si>
  <si>
    <t>B401. Áru- és készletértékesítés ellenértéke</t>
  </si>
  <si>
    <t>B402. Szolgáltatások ellenértéke</t>
  </si>
  <si>
    <t>B403. Közvetített szolgáltatások értéke</t>
  </si>
  <si>
    <t>B404. Tulajdonosi bevételek</t>
  </si>
  <si>
    <t>B405. Ellátási díjak</t>
  </si>
  <si>
    <t>B406. Kiszámlázott általános forgalmi adó</t>
  </si>
  <si>
    <t>B407. Általános forgalmi adó visszatérítése</t>
  </si>
  <si>
    <t>B408. Kamatbevételek</t>
  </si>
  <si>
    <t>B409. Egyéb pénzügyi műveletek bevételei</t>
  </si>
  <si>
    <t>B410. Egyéb működési bevételek</t>
  </si>
  <si>
    <t>B5. Felhalmozási bevételek</t>
  </si>
  <si>
    <t>B51. Immateriális javak értékesítése</t>
  </si>
  <si>
    <t>B52. Ingatlanok értékesítése</t>
  </si>
  <si>
    <t>B53. Egyéb tárgyi eszközök értékesítése</t>
  </si>
  <si>
    <t>B54. Részesedések értékesítése</t>
  </si>
  <si>
    <t>B55. Részesedések megszűnéséhez kapcsolódó bevételek</t>
  </si>
  <si>
    <t>B6. Működési célú átvett pénzeszközök</t>
  </si>
  <si>
    <t>B61. Működési célú garancia- és kezességvállalásból származó megtérülések államháztartáson kívülről</t>
  </si>
  <si>
    <t>B62. Működési célú visszatérítendő támogatások, kölcsönök visszatérülése államháztartáson kívülről</t>
  </si>
  <si>
    <t>B63. Egyéb működési célú átvett pénzeszközök</t>
  </si>
  <si>
    <t>B7. Felhalmozási célú átvett pénzeszközök</t>
  </si>
  <si>
    <t>B71. Felhalmozási célú garancia- és kezességvállalásból származó megtérülések államháztartáson kívülről</t>
  </si>
  <si>
    <t>B72. Felhalmozási célú visszatérítendő támogatások, kölcsönök visszatérülése államháztartáson kívülről</t>
  </si>
  <si>
    <t>B73. Egyéb felhalmozási célú átvett pénzeszközök</t>
  </si>
  <si>
    <t>B8. FINANSZÍROZÁSI BEVÉTELEK (1+2+….+7)</t>
  </si>
  <si>
    <t xml:space="preserve">K9. FINANSZÍROZÁSI KIADÁSOK </t>
  </si>
  <si>
    <t>B8111. Hosszú lejáratú hitelek, kölcsönök felvétele</t>
  </si>
  <si>
    <t>B8112. Likviditási célú hitelek, kölcsönök felvétele pénzügyi vállalkozástól</t>
  </si>
  <si>
    <t>B8113. Rövid lejáratú hitelek, kölcsönök felvétele</t>
  </si>
  <si>
    <t>B811. Hitel-, kölcsönfelvétel államháztartáson kívülről összesenn</t>
  </si>
  <si>
    <t>B8121. Forgatási célú belföldi értékpapírok beváltása, értékesítése</t>
  </si>
  <si>
    <t>B8122. Forgatási célú belföldi értékpapír kibocsátása</t>
  </si>
  <si>
    <t>B812. Belföldi értékpapírok bevételei</t>
  </si>
  <si>
    <t>B813. Maradvány igénybevétele (működési)</t>
  </si>
  <si>
    <t>B816. Központi, irányító szervi támogatás</t>
  </si>
  <si>
    <t>B81. Belföldi finanszírozás bevételei (működési) összesen</t>
  </si>
  <si>
    <t>B81. Belföldi finanszírozás bevételei (felhalmozási) összesen</t>
  </si>
  <si>
    <t>B813. Maradvány igénybevétele (felhalmozási)</t>
  </si>
  <si>
    <t xml:space="preserve">B1. Működési célú támogatások Áht.-on belülről </t>
  </si>
  <si>
    <t>051. Személyi juttatások</t>
  </si>
  <si>
    <t>0511041. Készenlét, ügyelet, helyettesítés, túlóra</t>
  </si>
  <si>
    <t>0511051. Végkielégítés</t>
  </si>
  <si>
    <t>0511061. Jubileumi jutalom</t>
  </si>
  <si>
    <t>0511071. Béren kívüli juttatások</t>
  </si>
  <si>
    <t>0511091. Közlekedési költségtérítés</t>
  </si>
  <si>
    <t>0511101. Egyéb költségtérítés</t>
  </si>
  <si>
    <t>0511131. Foglalkoztatottak egyéb személyi juttatásai</t>
  </si>
  <si>
    <t>0511. Foglalkoztatottak személyi juttatásai összesen</t>
  </si>
  <si>
    <t>051211. Választott tisztségviselők juttatásai</t>
  </si>
  <si>
    <t>051221. Munkavégzésre irányuló nem saját foglalkoztatottnak fizetett juttatás</t>
  </si>
  <si>
    <t>051231. Egyéb külső személyi juttatás</t>
  </si>
  <si>
    <t>0512. Külső személyi juttatások összesen</t>
  </si>
  <si>
    <t>05211. Munkaadókat terhelő járulékok és szociális hozzájárulási adó</t>
  </si>
  <si>
    <t>053. Dologi kiadások</t>
  </si>
  <si>
    <t>053111. Szakmai anyag beszerzés</t>
  </si>
  <si>
    <t xml:space="preserve"> - gyógyszer</t>
  </si>
  <si>
    <t xml:space="preserve"> - könyv, folyóirat</t>
  </si>
  <si>
    <t xml:space="preserve"> - kisértékű informatikai és tárgyi eszközök, szellemi termékek</t>
  </si>
  <si>
    <t xml:space="preserve"> - élelmiszer, élelmezési nyersanyag</t>
  </si>
  <si>
    <t xml:space="preserve"> - papír, nyomtatvány, irodai anyag</t>
  </si>
  <si>
    <t xml:space="preserve"> - nyomtatási festék, festékpatron</t>
  </si>
  <si>
    <t xml:space="preserve"> - tüzelő-, hajtó-, és kenőanyag</t>
  </si>
  <si>
    <t xml:space="preserve"> - munka- és védőruha</t>
  </si>
  <si>
    <t xml:space="preserve"> - egyéb üzemeltetési anyagok</t>
  </si>
  <si>
    <t>053121. Üzemeltetési anyag beszerzés</t>
  </si>
  <si>
    <t>053131. Árubeszerzés</t>
  </si>
  <si>
    <t>0531. Készletbeszerzés összesen</t>
  </si>
  <si>
    <t>0532. Kommunikációs szolgáltatások összesen</t>
  </si>
  <si>
    <t>053211. Informatikai szolgáltatások igénybevétele</t>
  </si>
  <si>
    <t>053221. Egyéb kommunikációs szolgáltatás</t>
  </si>
  <si>
    <t>0533. Szolgáltatási kiadások összesen</t>
  </si>
  <si>
    <t>053311. Közüzemi díjak</t>
  </si>
  <si>
    <t xml:space="preserve"> - villamosenergia</t>
  </si>
  <si>
    <t xml:space="preserve"> - víz- és csatornadíj</t>
  </si>
  <si>
    <t xml:space="preserve"> - gázdíj</t>
  </si>
  <si>
    <t>053321. Vásárolt élelmezés</t>
  </si>
  <si>
    <t>053331. Bérleti és lízingdíj</t>
  </si>
  <si>
    <t>053341. Karbantartás, kisjavítás</t>
  </si>
  <si>
    <t>053351. Közvetített szolgáltatás</t>
  </si>
  <si>
    <t>053361. Szakmai tevékenységet segítő szolgáltatások</t>
  </si>
  <si>
    <t>053371. Egyéb szolgáltatások</t>
  </si>
  <si>
    <t xml:space="preserve"> - postaköltség</t>
  </si>
  <si>
    <t xml:space="preserve"> - biztosítási díjak</t>
  </si>
  <si>
    <t>053411. Kiküldetés</t>
  </si>
  <si>
    <t>053421. Reklám- és propaganda</t>
  </si>
  <si>
    <t>0534. Kiküldetés, reklám- és propaganda kiadások összesen</t>
  </si>
  <si>
    <t>0535. Különféle befizetések és egyéb dologi kiadások összesen</t>
  </si>
  <si>
    <t>053511. Működési célú előzetesen felszámított ÁFA</t>
  </si>
  <si>
    <t>053521. Fizetendő ÁFA</t>
  </si>
  <si>
    <t>053531. Kamatkiadások</t>
  </si>
  <si>
    <t>053541. Egyéb pénzügyi műveletek kiadásai</t>
  </si>
  <si>
    <t>053551. Egyéb dologi kiadások (adók, díjak, illetékek, ajánlati biztosíték, kés.kamat)</t>
  </si>
  <si>
    <t>054. Ellátottak pénzbeli juttatásai</t>
  </si>
  <si>
    <t>05421. Családi támogatások</t>
  </si>
  <si>
    <t>05441. Betegséggel kapcsolatos (nem TB) ellátások</t>
  </si>
  <si>
    <t>05451. Foglalkoztatással, munkanélküliséggel kapcsolatos ellátások</t>
  </si>
  <si>
    <t>05461. Lakhatással kapcsolatos ellátások</t>
  </si>
  <si>
    <t>05471. Intézményi ellátottak pénzbeli juttatásai</t>
  </si>
  <si>
    <t>05481. Egyéb nem intézményi ellátások</t>
  </si>
  <si>
    <t>055021. Elvonások és befizetések</t>
  </si>
  <si>
    <t>055051. Működési c.visszatérítendő támogatások, kölcsönök törlesztése áht.belül</t>
  </si>
  <si>
    <t>055061. Egyéb működési célú támogatások államháztartáson belülre</t>
  </si>
  <si>
    <t>055081. Működési c.visszatérítendő támogatások, kölcsönök törlesztése áht.kívül</t>
  </si>
  <si>
    <t>K511. Egyéb működési célú támogatások államháztartáson kívülre</t>
  </si>
  <si>
    <t>05611. Immateriális javak beszerzése</t>
  </si>
  <si>
    <t>05621. Ingatlanok beszerzése</t>
  </si>
  <si>
    <t>056. Beruházások</t>
  </si>
  <si>
    <t>05631. Informatikai eszközök beszerzése</t>
  </si>
  <si>
    <t>05641. Egyéb tárgyi eszközök beszerzése</t>
  </si>
  <si>
    <t>05651. Részesedések</t>
  </si>
  <si>
    <t>05661. Meglévő részesedések növeléséhez kapcsolódó kiadás</t>
  </si>
  <si>
    <t>05671. Beruházási célú előzetesen felszámított ÁFA</t>
  </si>
  <si>
    <t>057. Felújítások</t>
  </si>
  <si>
    <t>05711. Ingatlanok felújítása</t>
  </si>
  <si>
    <t>05721. Informatikai eszközök felújítása</t>
  </si>
  <si>
    <t>05731. Egyéb tárgyi eszközök felújítása</t>
  </si>
  <si>
    <t>05741. Felújítási célú előzetesen felszámított ÁFA</t>
  </si>
  <si>
    <t>058. Egyéb felhalmozási célú kiadások</t>
  </si>
  <si>
    <t>05881. Egyéb felhalmozási célú támogatások államháztartáson kívülre</t>
  </si>
  <si>
    <t>05841. Egyéb felhalmozási célú támogatások államháztartáson belülre</t>
  </si>
  <si>
    <t>0591111. Hosszú lejáratú hitelek, kölcsönök törlesztése</t>
  </si>
  <si>
    <t>0591121. Likviditási célú hitelek, kölcsönök törlesztése pénzügyi vállalkozásnak</t>
  </si>
  <si>
    <t>0591131. Rövid lejáratú hitelek, kölcsönök törlesztése</t>
  </si>
  <si>
    <t xml:space="preserve">059. FINANSZÍROZÁSI KIADÁSOK </t>
  </si>
  <si>
    <t>05911. Hitel-, kölcsöntörlesztés államháztartáson kívülre összesen</t>
  </si>
  <si>
    <t>0591211. Forgatási célú belföldi értékpapír vásárlása</t>
  </si>
  <si>
    <t>0591221. Forgatási célú belföldi értékpapír beváltása</t>
  </si>
  <si>
    <t>05912. Belföldi értékpapírok kiadásai összesen</t>
  </si>
  <si>
    <t>059151. Központi, irányító szervi támogatás folyósítása</t>
  </si>
  <si>
    <t>0591. Belföldi finanszírozás kiadásai (működési) összesen</t>
  </si>
  <si>
    <t>0591. Belföldi finanszírozás kiadásai (felhalmozási) összesen</t>
  </si>
  <si>
    <t xml:space="preserve">091. Működési célú támogatások Áht.-on belülről </t>
  </si>
  <si>
    <t>0911. Önkormányzatok működési támogatásai</t>
  </si>
  <si>
    <t>091111. Helyi önkormányzatok működésének általános támogatása</t>
  </si>
  <si>
    <t>091121. Települési önkormányzatok egyes köznevelési feladatainak támogatása</t>
  </si>
  <si>
    <t>091141. Települési önkormányzatok kulturális feladatainak támogatása</t>
  </si>
  <si>
    <t>091151. Működési célú központosított előirányzatok</t>
  </si>
  <si>
    <t>091161. Helyi önkormányzatok kiegészítő támogatásai</t>
  </si>
  <si>
    <t>09121. Elvonások és befizetések bevételei</t>
  </si>
  <si>
    <t>09131. Működési célú garancia- és kezességvállalásból származó megtérülések államháztartáson belülről</t>
  </si>
  <si>
    <t>09141. Működési célú visszatérítendő támogatások, kölcsönök visszatérülése államháztartáson belülről</t>
  </si>
  <si>
    <t>09151. Működési célú visszatérítendő támogatások, kölcsönök igénybevétele államháztartáson belülről</t>
  </si>
  <si>
    <t>09161. Egyéb működési célú támogatások bevételei államháztartáson belülről</t>
  </si>
  <si>
    <t>092. Felhalmozási célú támogatások Áht.-on belülről</t>
  </si>
  <si>
    <t>09211. Felhalmozási célú önkormányzati támogatások</t>
  </si>
  <si>
    <t>09221. Felhalmozási célú garancia- és kezességvállalásból származó megtérülések államháztartáson belülről</t>
  </si>
  <si>
    <t>09231. Felhalmozási célú visszatérítendő támogatások, kölcsönök visszatérülése államháztartáson belülről</t>
  </si>
  <si>
    <t>09241. Felhalmozási célú visszatérítendő támogatások, kölcsönök igénybevétele államháztartáson belülről</t>
  </si>
  <si>
    <t>09251. Egyéb felhalmozási célú támogatások bevételei államháztartáson belülről</t>
  </si>
  <si>
    <t>095. Felhalmozási bevételek</t>
  </si>
  <si>
    <t>09511. Immateriális javak értékesítése</t>
  </si>
  <si>
    <t>09521. Ingatlanok értékesítése</t>
  </si>
  <si>
    <t>09531. Egyéb tárgyi eszközök értékesítése</t>
  </si>
  <si>
    <t>09541. Részesedések értékesítése</t>
  </si>
  <si>
    <t>09551. Részesedések megszűnéséhez kapcsolódó bevételek</t>
  </si>
  <si>
    <t>097. Felhalmozási célú átvett pénzeszközök</t>
  </si>
  <si>
    <t>09711. Felhalmozási célú garancia- és kezességvállalásból származó megtérülések államháztartáson kívülről</t>
  </si>
  <si>
    <t>09721. Felhalmozási célú visszatérítendő támogatások, kölcsönök visszatérülése államháztartáson kívülről</t>
  </si>
  <si>
    <t>09731. Egyéb felhalmozási célú átvett pénzeszközök</t>
  </si>
  <si>
    <t>098. FINANSZÍROZÁSI BEVÉTELEK (1+2+….+7)</t>
  </si>
  <si>
    <t>0981111. Hosszú lejáratú hitelek, kölcsönök felvétele</t>
  </si>
  <si>
    <t>0981121. Likviditási célú hitelek, kölcsönök felvétele pénzügyi vállalkozástól</t>
  </si>
  <si>
    <t>0981131. Rövid lejáratú hitelek, kölcsönök felvétele</t>
  </si>
  <si>
    <t>09811. Hitel-, kölcsönfelvétel államháztartáson kívülről összesenn</t>
  </si>
  <si>
    <t>0981211. Forgatási célú belföldi értékpapírok beváltása, értékesítése</t>
  </si>
  <si>
    <t>0981221. Forgatási célú belföldi értékpapír kibocsátása</t>
  </si>
  <si>
    <t>09812. Belföldi értékpapírok bevételei</t>
  </si>
  <si>
    <t>0981311. Maradvány igénybevétele (működési)</t>
  </si>
  <si>
    <t>098161. Központi, irányító szervi támogatás</t>
  </si>
  <si>
    <t>0981. Belföldi finanszírozás bevételei (működési) összesen</t>
  </si>
  <si>
    <t>0981311. Maradvány igénybevétele (felhalmozási)</t>
  </si>
  <si>
    <t>0981. Belföldi finanszírozás bevételei (felhalmozási) összesen</t>
  </si>
  <si>
    <t>0911. Önkormányzatok működési támogatása összesen</t>
  </si>
  <si>
    <t>094. Működési bevételek</t>
  </si>
  <si>
    <t>093. Közhatalmi bevételek</t>
  </si>
  <si>
    <t>094011. Áru- és készletértékesítés ellenértéke</t>
  </si>
  <si>
    <t>094021. Szolgáltatások ellenértéke</t>
  </si>
  <si>
    <t>094031. Közvetített szolgáltatások értéke</t>
  </si>
  <si>
    <t>094041. Tulajdonosi bevételek</t>
  </si>
  <si>
    <t>094051. Ellátási díjak</t>
  </si>
  <si>
    <t xml:space="preserve"> - gondozási díj</t>
  </si>
  <si>
    <t>094061. Kiszámlázott általános forgalmi adó</t>
  </si>
  <si>
    <t>094071. Általános forgalmi adó visszatérítése</t>
  </si>
  <si>
    <t>094081. Kamatbevételek</t>
  </si>
  <si>
    <t>094091. Egyéb pénzügyi műveletek bevételei</t>
  </si>
  <si>
    <t>094101. Egyéb működési bevételek</t>
  </si>
  <si>
    <t xml:space="preserve"> - ajánlati biztosíték</t>
  </si>
  <si>
    <t xml:space="preserve"> - végrehajtási költség visszatérülése</t>
  </si>
  <si>
    <t xml:space="preserve"> - kártérítés, bánatpénz</t>
  </si>
  <si>
    <t>096. Működési célú átvett pénzeszközök</t>
  </si>
  <si>
    <t>09611. Működési célú garancia- és kezességvállalásból származó megtérülések államháztartáson kívülről</t>
  </si>
  <si>
    <t>09621. Működési célú visszatérítendő támogatások, kölcsönök visszatérülése államháztartáson kívülről</t>
  </si>
  <si>
    <t>09631. Egyéb működési célú átvett pénzeszközök</t>
  </si>
  <si>
    <t xml:space="preserve"> - hírdetési díj</t>
  </si>
  <si>
    <t xml:space="preserve"> - tárgyi eszköz bérbeadásából származó bevétel</t>
  </si>
  <si>
    <t xml:space="preserve"> - terembérlet</t>
  </si>
  <si>
    <t>09341. Vagyoni típusú adók</t>
  </si>
  <si>
    <t xml:space="preserve"> - építményadó</t>
  </si>
  <si>
    <t xml:space="preserve"> - épület után fizetett idegenforgalmi adó</t>
  </si>
  <si>
    <t xml:space="preserve"> - magánszemélyek kommunális idója</t>
  </si>
  <si>
    <t xml:space="preserve"> - telekadó</t>
  </si>
  <si>
    <t xml:space="preserve"> - luxusadó</t>
  </si>
  <si>
    <t>0935. Termékek és szolgáltatások adói</t>
  </si>
  <si>
    <t>093511. Értékesítési és forgalmi adók</t>
  </si>
  <si>
    <t xml:space="preserve"> - állandó jelleggel végzett tevékenység után fizetett helyi iparűzési adó</t>
  </si>
  <si>
    <t xml:space="preserve"> - ideiglenes jelleggel végzett tevékenység után fizetett helyi iparűzési adó</t>
  </si>
  <si>
    <t>093541. Gépjárműadó</t>
  </si>
  <si>
    <t xml:space="preserve"> - belföldi gépjármű adójának központi költségvetést megillető része</t>
  </si>
  <si>
    <t xml:space="preserve"> - belföldi gépjármű adójának önkormányzatot megillető része</t>
  </si>
  <si>
    <t xml:space="preserve"> - külföldi gépjármű adója</t>
  </si>
  <si>
    <t xml:space="preserve"> - gépjármű túlsúlydíja</t>
  </si>
  <si>
    <t>093551. Egyéb áruhasználati és szolgáltatási adók</t>
  </si>
  <si>
    <t xml:space="preserve"> - tartózkodás után fizetett idegenforgalmi adó</t>
  </si>
  <si>
    <t xml:space="preserve"> - talajterhelési díj</t>
  </si>
  <si>
    <t>09361. Egyéb közhatalmi bevételek</t>
  </si>
  <si>
    <t xml:space="preserve"> - eljárási illetékek</t>
  </si>
  <si>
    <t xml:space="preserve"> - igazgatási szolgáltatási díjak</t>
  </si>
  <si>
    <t xml:space="preserve"> - bírságok</t>
  </si>
  <si>
    <t>053221. Egyéb kommunikációs szolgáltatás (telefon)</t>
  </si>
  <si>
    <t xml:space="preserve"> - egyéb közhatalmi bevételek (késedelmi pótlék)</t>
  </si>
  <si>
    <t xml:space="preserve"> - étkezési térítési díj (foglalkoztatotti)</t>
  </si>
  <si>
    <t xml:space="preserve"> - étkezési térítési díj (külsős)</t>
  </si>
  <si>
    <t xml:space="preserve"> - szociális étkeztetés</t>
  </si>
  <si>
    <t xml:space="preserve"> - óvodai intézményi étkeztetés</t>
  </si>
  <si>
    <t xml:space="preserve"> - iskolai intézményi étkeztetés</t>
  </si>
  <si>
    <t xml:space="preserve"> - ellátottak részére nyújtott szolgáltatások</t>
  </si>
  <si>
    <t xml:space="preserve"> - étkezési térítési díj </t>
  </si>
  <si>
    <t xml:space="preserve"> - könyvtári szolgáltatás</t>
  </si>
  <si>
    <t>055. Egyéb működési célú kiadások (tartalékokkal együtt)</t>
  </si>
  <si>
    <t>Bevételi előirányzatok étkeztetés</t>
  </si>
  <si>
    <t>Kiadási előirányzatok étkeztetés</t>
  </si>
  <si>
    <t>Kiadási előirányzatok intézményüzemeltetés</t>
  </si>
  <si>
    <t>Bevételi előirányzatok intézményüzemeltetés</t>
  </si>
  <si>
    <t>K11. Foglalkoztatottak személyi juttatásai</t>
  </si>
  <si>
    <t xml:space="preserve">K12. Külső személyi juttatások </t>
  </si>
  <si>
    <t>Polgármesteri Hivatal bevételi előirányzata</t>
  </si>
  <si>
    <t>Polgármesteri Hivatal kiadási előirányzata</t>
  </si>
  <si>
    <t>Önkormányzat kiadási előirányzata</t>
  </si>
  <si>
    <t>Művelődési Ház és Könyvtár bevételi előirányzata</t>
  </si>
  <si>
    <t>Művelődési Ház és Könyvtár kiadási előirányzata</t>
  </si>
  <si>
    <t>Forrás Intézményüzemeltető Központ bevételi előirányzata</t>
  </si>
  <si>
    <t>Forrás Intézményüzemeltető Központ kiadási előirányzata</t>
  </si>
  <si>
    <t>Önkormányzat bevételi előirányzata</t>
  </si>
  <si>
    <t>B351. Értékesítési és forgalmi adók (iparűzési)</t>
  </si>
  <si>
    <t>B355. Egyéb áruhasználati és szolgáltatási adók (talajterhelés)</t>
  </si>
  <si>
    <t>Szociális és Gyermekjóléti Szolgálat bevételi előirányzata</t>
  </si>
  <si>
    <t>Szociális és Gyermekjóléti Szolgálat kiadási előirányzata</t>
  </si>
  <si>
    <t>Felújítási kiadások célonként (adatok e Ftban)</t>
  </si>
  <si>
    <t>sorszám</t>
  </si>
  <si>
    <t>Feladat megnevezése</t>
  </si>
  <si>
    <t>Nettó</t>
  </si>
  <si>
    <t>ÁFA</t>
  </si>
  <si>
    <t>Bruttó</t>
  </si>
  <si>
    <t>Önkormányzat</t>
  </si>
  <si>
    <t>1.1.</t>
  </si>
  <si>
    <t>1.2.</t>
  </si>
  <si>
    <t>2.1.</t>
  </si>
  <si>
    <t>2.2.</t>
  </si>
  <si>
    <t>3.1.</t>
  </si>
  <si>
    <t>3.2.</t>
  </si>
  <si>
    <t>Forrás Intézményüzemeltető Központ</t>
  </si>
  <si>
    <t>4.1.</t>
  </si>
  <si>
    <t>4.2.</t>
  </si>
  <si>
    <t>Petőfi Sándor Művelődési Ház és Könyvtár</t>
  </si>
  <si>
    <t>5.1.</t>
  </si>
  <si>
    <t>5.2.</t>
  </si>
  <si>
    <t>Polgármesteri Hivatal</t>
  </si>
  <si>
    <t>Beruházási kiadások feladatonként (adatok e Ftban)</t>
  </si>
  <si>
    <t>Szociális és Gyermekjóléti Szolgálat</t>
  </si>
  <si>
    <t>Bevétel</t>
  </si>
  <si>
    <t>Kiadás</t>
  </si>
  <si>
    <t>Megnevezés</t>
  </si>
  <si>
    <t>Projekt azonosító</t>
  </si>
  <si>
    <t>Támogatást biztosító megnevezése</t>
  </si>
  <si>
    <t>Önkormányzaton belül megvalósuló projektek</t>
  </si>
  <si>
    <t>Összesen:</t>
  </si>
  <si>
    <t>Európai Uniós támogatással megvalósuló projektek (adatok ezer Ft)</t>
  </si>
  <si>
    <t>Támogatás összege</t>
  </si>
  <si>
    <t>Terv évben</t>
  </si>
  <si>
    <t>További években</t>
  </si>
  <si>
    <t>Beruházási kiadások összesen</t>
  </si>
  <si>
    <t>10.sz. melléklet</t>
  </si>
  <si>
    <t>Polgármester</t>
  </si>
  <si>
    <t>Jegyző</t>
  </si>
  <si>
    <t>Intézményvezető</t>
  </si>
  <si>
    <t>Főfoglalkozású előadó</t>
  </si>
  <si>
    <t xml:space="preserve">  Intézményvezető</t>
  </si>
  <si>
    <t xml:space="preserve">  Élelmezésvezető</t>
  </si>
  <si>
    <t xml:space="preserve">  Főfoglalkozású szakács</t>
  </si>
  <si>
    <t xml:space="preserve">  Konyhai kisegítő</t>
  </si>
  <si>
    <t xml:space="preserve">  Takarító</t>
  </si>
  <si>
    <t xml:space="preserve">  Karbantartó</t>
  </si>
  <si>
    <t>Közfoglalkoztatás</t>
  </si>
  <si>
    <t>Fizikai dolgozó</t>
  </si>
  <si>
    <t>Önkormányzat összesen</t>
  </si>
  <si>
    <t xml:space="preserve">  Védőnő</t>
  </si>
  <si>
    <t>Köztisztviselő</t>
  </si>
  <si>
    <t xml:space="preserve">  Szociális munkatárs</t>
  </si>
  <si>
    <t>Összesen</t>
  </si>
  <si>
    <t>Jogcím</t>
  </si>
  <si>
    <t>mennyiségi egység</t>
  </si>
  <si>
    <t>I.1.a) Önkormányzati hivatal működésének támogatása</t>
  </si>
  <si>
    <t>I.1.a) Önkormányzati hivatal működésének támogatása - elismert hivatali létszám alapján</t>
  </si>
  <si>
    <t>fő</t>
  </si>
  <si>
    <t xml:space="preserve">I.1.a) - V. Önkormányzati hivatal működésének támogatása - beszámítás után
</t>
  </si>
  <si>
    <t>I.1.b) Település-üzemeltetéshez kapcsolódó feladatellátás támogatása összesen</t>
  </si>
  <si>
    <t>I.1.b) - V. Támogatás összesen - beszámítás után</t>
  </si>
  <si>
    <t>I.1.ba) A zöldterület-gazdálkodással kapcsolatos feladatok ellátásának támogatása</t>
  </si>
  <si>
    <t>I.1.ba) - V. A zöldterület-gazdálkodással kapcsolatos feladatok ellátásának támogatása - beszámítás után</t>
  </si>
  <si>
    <t>I.1.bb) Közvilágítás fenntartásának támogatása</t>
  </si>
  <si>
    <t xml:space="preserve">I.1.bb) - V. Közvilágítás fenntartásának támogatása - beszámítás után
</t>
  </si>
  <si>
    <t>I.1.bc) Köztemető fenntartással kapcsolatos feladatok támogatása</t>
  </si>
  <si>
    <t>I.1.bc) - V. Köztemető fenntartással kapcsolatos feladatok támogatása - beszámítás után</t>
  </si>
  <si>
    <t>I.1.bd) Közutak fenntartásának támogatása</t>
  </si>
  <si>
    <t>I.1.bd) - V. Közutak fenntartásának támogatása - beszámítás után</t>
  </si>
  <si>
    <t>I.1.c) Egyéb önkormányzati feladatok támogatása</t>
  </si>
  <si>
    <t xml:space="preserve">I.1.c) - V. Egyéb önkormányzati feladatok támogatása - beszámítás után	
</t>
  </si>
  <si>
    <t xml:space="preserve">I.2. Nem közművel összegyűjtött háztartási szennyvíz ártalmatlanítása	
</t>
  </si>
  <si>
    <t>V. Info Beszámítás</t>
  </si>
  <si>
    <t>III.3. Egyes szociális és gyermekjóléti feladatok támogatása</t>
  </si>
  <si>
    <t>III.3.a (1) Szociális és gyermekjóléti alapszolgáltatások általános feladatai - családsegítés</t>
  </si>
  <si>
    <t>III.3.a (2) Szociális és gyermekjóléti alapszolgáltatások általános feladatai - gyermekjóléti szolgálat</t>
  </si>
  <si>
    <t>III.3.ad (2) társulási kiegészítés	 - gyermekjóléti szolgálat</t>
  </si>
  <si>
    <t>III.3.b gyermekjóléti központ</t>
  </si>
  <si>
    <t>III.3.c (1) szociális étkeztetés</t>
  </si>
  <si>
    <t>III.3.c (2) szociális étkeztetés - társulás által történő feladatellátás</t>
  </si>
  <si>
    <t>III.3.d (1) házi segítségnyújtás</t>
  </si>
  <si>
    <t>III.3.d (2) házi segítségnyújtás - társulás által történő feladatellátás</t>
  </si>
  <si>
    <t>III.3.e falugondnoki vagy tanyagondnoki szolgáltatás összesen</t>
  </si>
  <si>
    <t>III.3.e (1) falugondnoki szolgáltatás</t>
  </si>
  <si>
    <t>III.3.e (2) tanyagondnoki szolgáltatás</t>
  </si>
  <si>
    <t>III.3.f Időskorúak nappali intézményi ellátása</t>
  </si>
  <si>
    <t>III.3.f (1) időskorúak nappali intézményi ellátása</t>
  </si>
  <si>
    <t>III.3.f (2) időskorúak nappali intézményi ellátása - társulás által történő feladatellátás</t>
  </si>
  <si>
    <t>III.3.f (3) foglalkoztatási támogatásban részesülő időskorúak nappali intézményében ellátottak száma</t>
  </si>
  <si>
    <t>III.3.f (4) foglalkoztatási támogatásban részesülő időskorúak nappali intézményben ellátottak száma - társulás által történő feladatellátás</t>
  </si>
  <si>
    <t xml:space="preserve">III.3.g Fogyatékos és demens személyek nappali intézményi ellátása </t>
  </si>
  <si>
    <t>III.3.g (1) fogyatékos személyek nappali intézményi ellátása</t>
  </si>
  <si>
    <t>III.3.g (2) fogyatékos személyek nappali intézményi ellátása - társulás által történő feladatellátás</t>
  </si>
  <si>
    <t>III.3.g (3) foglalkoztatási támogatásban részesülő fogyatékos nappali intézményben ellátottak száma</t>
  </si>
  <si>
    <t>III.3.g (4) foglalkoztatási támogatásban részesülő fogyatékos nappali intézményben ellátottak száma - társulás által történő feladatellátás</t>
  </si>
  <si>
    <t>III.3.g (5) demens személyek nappali intézményi ellátása</t>
  </si>
  <si>
    <t>III.3.g (6) demens személyek nappali intézményi ellátása - társulás által történő feladatellátás</t>
  </si>
  <si>
    <t>III.3.g (7) foglalkoztatási támogatásban részesülő, nappali intézményben ellátott demens személyek száma</t>
  </si>
  <si>
    <t>III.3.g (8) foglalkoztatási támogatásban részesülő, nappali intézményben ellátott demens személyek száma - társulás által történő feladatellátás</t>
  </si>
  <si>
    <t>III.3.h Pszichiátriai és szenvedélybetegek, hajléktalanok nappali intézményi ellátása</t>
  </si>
  <si>
    <t>III.3.h (1) pszichiátriai betegek nappali intézményi ellátása</t>
  </si>
  <si>
    <t>III.3.h (2) pszichiátriai betegek nappali intézményi ellátása - társulás által történő feladatellátás</t>
  </si>
  <si>
    <t>III.3.h (3) foglalkoztatási támogatásban részesülő, nappali intézményben ellátott pszichiátriai betegek száma</t>
  </si>
  <si>
    <t>III.3.h (4) foglalkoztatási támogatásban részesülő, nappali intézményben ellátott pszichiátriai betegek száma - társulás által történő feladatellátás</t>
  </si>
  <si>
    <t>III.3.h (5) szenvedélybetegek nappali intézményi ellátása</t>
  </si>
  <si>
    <t>III.3.h (6) szenvedélybetegek nappali intézményi ellátása - társulás által történő feladatellátás</t>
  </si>
  <si>
    <t>III.3.h (7) foglalkoztatási támogatásban részesülő, nappali intézményben ellátott szenvedélybetegek száma</t>
  </si>
  <si>
    <t>III.3.h (8) foglalkoztatási támogatásban részesülő, nappali intézményben ellátott szenvedélybetegek száma - társulás által történő feladatellátás</t>
  </si>
  <si>
    <t>III.3.i Hajléktalanok nappali intézményi ellátása</t>
  </si>
  <si>
    <t>III.3.i (1) hajléktalanok nappali intézményi ellátása</t>
  </si>
  <si>
    <t>III.3.i (2) hajléktalanok nappali intézményi ellátása - társulás által történő feladatellátás</t>
  </si>
  <si>
    <t>III.3.i (3) foglalkoztatási támogatásban részesülő hajléktalanok nappali intézményben ellátottak száma</t>
  </si>
  <si>
    <t>III.3.i (4) foglalkoztatási támogatásban részesülő hajléktalanok nappali intézményben ellátottak száma - társulás által történő feladatellátás</t>
  </si>
  <si>
    <t>III.3.j Gyermekek napközbeni ellátása</t>
  </si>
  <si>
    <t>III.3.ja Bölcsődei ellátás</t>
  </si>
  <si>
    <t>III.3.ja (1) bölcsődei ellátás - nem fogyatékos, nem hátrányos helyzetű gyermek</t>
  </si>
  <si>
    <t>III.3.ja (2) bölcsődei ellátás - nem fogyatékos, hátrányos helyzetű gyermek</t>
  </si>
  <si>
    <t>III.3.ja (3) bölcsődei ellátás - nem fogyatékos, halmozottan hátrányos helyzetű gyermek</t>
  </si>
  <si>
    <t>III.3.ja (4) bölcsődei ellátás - fogyatékos gyermek</t>
  </si>
  <si>
    <t>III.3.jb Családi napközi ellátás és -gyermekfelügyelet</t>
  </si>
  <si>
    <t>III.3.jb (1) családi napközi ellátás, családi gyermekfelügyelet - ha a napi nyitvatartási idő összességében a heti 20 órát eléri</t>
  </si>
  <si>
    <t>III.3.jb (2) családi napközi ellátás, családi gyermekfelügyelet - ha a napi nyitvatartási idő összességében a heti 20 órát nem éri el</t>
  </si>
  <si>
    <t>III.3.jb (3) családi napközi ellátás, családi gyermekfelügyelet - ha a napi nyitvatartási idő összességében a heti 20 órát eléri - társulás által történő feladatellátás</t>
  </si>
  <si>
    <t>III.3.jb (4) családi napközi ellátás, családi gyermekfelügyelet - ha a napi nyitvatartási idő összességében a heti 20 órát nem éri el - társulás által történő feladatellátás</t>
  </si>
  <si>
    <t>III.3.k Hajléktalanok átmeneti intézményei</t>
  </si>
  <si>
    <t xml:space="preserve">III.3.k (1) hajléktalanok átmeneti szállása, éjjeli menedékhely összesen		
</t>
  </si>
  <si>
    <t xml:space="preserve">III.3.k (2) hajléktalanok átmeneti szállása
</t>
  </si>
  <si>
    <t xml:space="preserve">III.3.k (3) hajléktalanok átmeneti szállása időszakos férőhely
</t>
  </si>
  <si>
    <t xml:space="preserve">III.3.k (4) hajléktalanok éjjeli menedékhelye
</t>
  </si>
  <si>
    <t>III.3.k (5) hajléktalanok éjjeli menedékhelye időszakos férőhely</t>
  </si>
  <si>
    <t>III.3.k (6) hajléktalanok átmeneti szállása, éjjeli menedékhely összesen - társulás által történő feladatellátás</t>
  </si>
  <si>
    <t>III.3.k (7) hajléktalanok átmeneti szállása - társulás által történő feladatellátás</t>
  </si>
  <si>
    <t>III.3.k (8) hajléktalanok átmeneti szállása időszakos férőhely - társulás által történő feladatellátás</t>
  </si>
  <si>
    <t>III.3.k (9) hajléktalanok éjjeli menedékhelye - társulás által történő feladatellátás</t>
  </si>
  <si>
    <t>III.3.k (10) hajléktalanok éjjeli menedékhelye időszakos férőhely - társulás által történő feladatellátás</t>
  </si>
  <si>
    <t xml:space="preserve"> A finanszírozás szempontjából elismert szakmai dolgozók bértámogatása</t>
  </si>
  <si>
    <t>L (1) időskorúak ápoló-gondozó otthoni ellátása nem demens személyek</t>
  </si>
  <si>
    <t xml:space="preserve">L (2) időskorúak ápoló-gondozó otthoni ellátása demens személyek		
</t>
  </si>
  <si>
    <t>L (3) időskorúak gondozóháza nem demens személyek</t>
  </si>
  <si>
    <t xml:space="preserve">L (4) időskorúak gondozóháza demens személyek
</t>
  </si>
  <si>
    <t>L (5) hajléktalanok ápoló-gondozó otthona</t>
  </si>
  <si>
    <t>L (6) hajléktalanok rehabilitációs intézménye</t>
  </si>
  <si>
    <t>III.4.b Intézmény-üzemeltetési támogatás</t>
  </si>
  <si>
    <t>III.5. Gyermekétkeztetés támogatása</t>
  </si>
  <si>
    <t>III.5.a) A finanszírozás szempontjából elismert dolgozók bértámogatása</t>
  </si>
  <si>
    <t>III.5.b) Gyermekétkeztetés üzemeltetési támogatása</t>
  </si>
  <si>
    <t>Intézményi kiegészítés</t>
  </si>
  <si>
    <t>Az önkormányzat és intézményei működési-, felhalmozási- és finanszírozási bevételeinek és kiadásainak mérlegszerű bemutatása</t>
  </si>
  <si>
    <t>Működési kiadások</t>
  </si>
  <si>
    <t>adatok ezer Ft</t>
  </si>
  <si>
    <t>Finanszírozási bevételek összesen:</t>
  </si>
  <si>
    <t>Finanszírozási kiadások összesen:</t>
  </si>
  <si>
    <t>Működési bevételek összesen:</t>
  </si>
  <si>
    <t>Működési kiadások összesen:</t>
  </si>
  <si>
    <t>Felhalmozási kiadások</t>
  </si>
  <si>
    <t>Felhalmozási bevételek összesen:</t>
  </si>
  <si>
    <t>Felhalmozási kiadások összesen:</t>
  </si>
  <si>
    <t>Bevételek mindösszesen:</t>
  </si>
  <si>
    <t>Kiadások mindösszesen:</t>
  </si>
  <si>
    <t>Az Önkormányzat előirányzat felhasználási ütemterve</t>
  </si>
  <si>
    <t>Ssz.</t>
  </si>
  <si>
    <t>Feladat 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</si>
  <si>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</si>
  <si>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</si>
  <si>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</si>
  <si>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</si>
  <si>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</si>
  <si>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</si>
  <si>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</si>
  <si>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</si>
  <si>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</si>
  <si>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</si>
  <si>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</si>
  <si>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</si>
  <si>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 E V É T E L E K</t>
  </si>
  <si>
    <t>Pénzmaradvány igénybevétel</t>
  </si>
  <si>
    <t>Felhalmozási bevétel</t>
  </si>
  <si>
    <t>K I A D Á S O K</t>
  </si>
  <si>
    <t>Az Önkormányzat költségvetése a költségvetési évet követő 2 évben</t>
  </si>
  <si>
    <t>eredeti előirányzat</t>
  </si>
  <si>
    <t>számított előirányzat</t>
  </si>
  <si>
    <t>IX.</t>
  </si>
  <si>
    <t>Költségvetési bevételek - kiadások egyenlege</t>
  </si>
  <si>
    <t>Finanszírozási bevételek - kiadások egyenlege</t>
  </si>
  <si>
    <t>Taksony Nagyközség Önkormányzat kötelező feladatai ellátásának költségvetési forrásai és kiadásai (Ft)</t>
  </si>
  <si>
    <t>Kötelező feladatok
(Mötv. 13. § (1) bekezdés alapján)</t>
  </si>
  <si>
    <t xml:space="preserve">Költségvetési kiadási előirányzat                         </t>
  </si>
  <si>
    <t xml:space="preserve">Költségvetési bevételi előirányzat                           </t>
  </si>
  <si>
    <t>A helyi önkormányzatok, helyi nemzetiségi önkormányzatok általános működéséhez és ágazati feladataihoz kapcsolódó támogatások</t>
  </si>
  <si>
    <t>A központi költségvetésből származó egyéb költségvetési támogatások</t>
  </si>
  <si>
    <t>Saját bevétel</t>
  </si>
  <si>
    <t>Támogatás Áht-n belülről</t>
  </si>
  <si>
    <t>Átvett pénzeszköz</t>
  </si>
  <si>
    <t>Előző évi pénzmaradvány igénybevétele</t>
  </si>
  <si>
    <t>Önkormányzati hoizzájárulás</t>
  </si>
  <si>
    <t>Működési célú</t>
  </si>
  <si>
    <t>Felhalmozási célú</t>
  </si>
  <si>
    <t>Településfejlesztés</t>
  </si>
  <si>
    <t>Településrendezés</t>
  </si>
  <si>
    <t>Önkormányzati hivatal működése</t>
  </si>
  <si>
    <t>Településüzemeltetés</t>
  </si>
  <si>
    <t xml:space="preserve">  Köztemetők kialakítása és fenntartása</t>
  </si>
  <si>
    <t xml:space="preserve">  Közvilágításról való gondoskodás</t>
  </si>
  <si>
    <t xml:space="preserve">  A helyi közutak és tartozékainak kialakítása és fenntartása</t>
  </si>
  <si>
    <t>Közterületek, valamint az önkormányzat tulajdonában álló közintézmény elnevezése</t>
  </si>
  <si>
    <t>Egészségügyi alapellátás</t>
  </si>
  <si>
    <t>Az egészséges életmód segítését célzó szolgáltatások</t>
  </si>
  <si>
    <t>Étkeztetés</t>
  </si>
  <si>
    <t>Nyilvános könyvtári ellátási és közművelődési feladatok</t>
  </si>
  <si>
    <t>Szociális, gyermekjóléti szolgáltatások és ellátások</t>
  </si>
  <si>
    <t xml:space="preserve">  Szociális étkeztetés</t>
  </si>
  <si>
    <t xml:space="preserve">  Házi segítségnyújtás</t>
  </si>
  <si>
    <t>A területén hajléktalanná váló személyek ellátásának és rehabilitációjának, valamint a hajléktalanná válás megelőzésének biztosítása</t>
  </si>
  <si>
    <t>Helyi környezet-és természetvédelem</t>
  </si>
  <si>
    <t>Vízgazdálkodás</t>
  </si>
  <si>
    <t>Szennyvíz- gyűjtése, elhelyezése</t>
  </si>
  <si>
    <t>Vízkárelhárítás</t>
  </si>
  <si>
    <t>Honvédelem</t>
  </si>
  <si>
    <t>Polgári védelem</t>
  </si>
  <si>
    <t>Katasztrófavédelem</t>
  </si>
  <si>
    <t>Helyi közfoglalkoztatás</t>
  </si>
  <si>
    <t>Helyi adóval, gazdaságszervezéssel és a turizmussal kapcsolatos feladatok</t>
  </si>
  <si>
    <t>A kistermelők, őstermelők számára értékesítési lehetőségeinek biztosítása, ideértve a hétvégi árusítás lehetőségét is</t>
  </si>
  <si>
    <t>Sport, ifjúsági ügyek</t>
  </si>
  <si>
    <t>Nemzetiségi ügyek</t>
  </si>
  <si>
    <t>Közreműködés a település közbiztonságának biztosításában</t>
  </si>
  <si>
    <t>Helyi közösségi közlekedés biztosítása</t>
  </si>
  <si>
    <t>Hulladékgazdálkodás</t>
  </si>
  <si>
    <t>Víziközmű szolgáltatás</t>
  </si>
  <si>
    <t>ÖSSZESEN</t>
  </si>
  <si>
    <t>Működési célú támogatások</t>
  </si>
  <si>
    <t xml:space="preserve">Működési bevételek </t>
  </si>
  <si>
    <t>Felhalmozási célú támogatások</t>
  </si>
  <si>
    <t>Egyéb felhalmozási célú kiadások</t>
  </si>
  <si>
    <t>Támogatásértékű működési bevétel</t>
  </si>
  <si>
    <t>Támogatási kölcsön visszatérülése</t>
  </si>
  <si>
    <t xml:space="preserve">Finanszírozási bevételek </t>
  </si>
  <si>
    <t xml:space="preserve">Finanszírozási kiadások </t>
  </si>
  <si>
    <t>Kiadások összesen:</t>
  </si>
  <si>
    <t>Bevételek összesen:</t>
  </si>
  <si>
    <t>Tartalék</t>
  </si>
  <si>
    <t>Finanszírozási bevételek</t>
  </si>
  <si>
    <t>Finanszírozás kiadások</t>
  </si>
  <si>
    <t>adatok e Ft-ban</t>
  </si>
  <si>
    <t>Személyi juttatások járulékai</t>
  </si>
  <si>
    <t xml:space="preserve">  Zöldterület karbantartás</t>
  </si>
  <si>
    <t>Egyéb kötelező önkormányzati feladatok</t>
  </si>
  <si>
    <t>Gyermekétkeztetés támogatása</t>
  </si>
  <si>
    <t>Intézményüzemeltetés</t>
  </si>
  <si>
    <t>KÖLTSÉGVETÉSI BEVÉTELEK ÖSSZESEN</t>
  </si>
  <si>
    <t>KÖLTSÉGVETÉSI KIADÁSOK ÖSSZESEN</t>
  </si>
  <si>
    <t>053221. Egyéb kommunikációs szolgáltatás (telefon+internet)</t>
  </si>
  <si>
    <t xml:space="preserve"> - bérleti díj</t>
  </si>
  <si>
    <t>059151. Központi, irányító szervi támogatás folyósítása (működési)</t>
  </si>
  <si>
    <t>059151. Központi, irányító szervi támogatás folyósítása (felhalmozási)</t>
  </si>
  <si>
    <t>Alpolgármester</t>
  </si>
  <si>
    <t>053521. Fizetendő adó</t>
  </si>
  <si>
    <t>1.3.</t>
  </si>
  <si>
    <t>1.4.</t>
  </si>
  <si>
    <t>tervdokumentáció</t>
  </si>
  <si>
    <t>1.5.</t>
  </si>
  <si>
    <t>1.6.</t>
  </si>
  <si>
    <t>szennyvíztelep felújítás</t>
  </si>
  <si>
    <t>Közhatalmi bevétel (építményadó)</t>
  </si>
  <si>
    <t>2016. évi</t>
  </si>
  <si>
    <t>1.7.</t>
  </si>
  <si>
    <t>018010</t>
  </si>
  <si>
    <t>074031</t>
  </si>
  <si>
    <t>074032</t>
  </si>
  <si>
    <t>041236</t>
  </si>
  <si>
    <t>család-, nővédelmi eü. gondozás</t>
  </si>
  <si>
    <t>ifjúság-egészségügyi gondozás</t>
  </si>
  <si>
    <t>országos közfoglalkoztatási program</t>
  </si>
  <si>
    <t>önkormányzatok elszámolásai a kpi költségvetéssel</t>
  </si>
  <si>
    <t>105010</t>
  </si>
  <si>
    <t>munkanélküli aktív korúak ellátásai</t>
  </si>
  <si>
    <t>106020</t>
  </si>
  <si>
    <t>011220</t>
  </si>
  <si>
    <t>adó-, vám és jövedéki igazgatás</t>
  </si>
  <si>
    <t>013390</t>
  </si>
  <si>
    <t>egyéb kiegészítő szolgáltatások</t>
  </si>
  <si>
    <t>107051</t>
  </si>
  <si>
    <t>szociális étkeztetés</t>
  </si>
  <si>
    <t>házi segítségnyújtás</t>
  </si>
  <si>
    <t>107052</t>
  </si>
  <si>
    <t>011130</t>
  </si>
  <si>
    <t>013350</t>
  </si>
  <si>
    <t>önkormányzati vagyonnal való gazdálkozási feladatok</t>
  </si>
  <si>
    <t>önk-ok és önk-i hivatalok jogalkotó és ált. ig. tevékenysége</t>
  </si>
  <si>
    <t>018030</t>
  </si>
  <si>
    <t>támogatási célú finanszírozási műveletek</t>
  </si>
  <si>
    <t>082092</t>
  </si>
  <si>
    <t>013360</t>
  </si>
  <si>
    <t>más szerv részére végzett pü-i, gazd-i, üzemeltetési, egyéb szolgáltatások</t>
  </si>
  <si>
    <t>104042</t>
  </si>
  <si>
    <t>066020</t>
  </si>
  <si>
    <t>közvilágítás</t>
  </si>
  <si>
    <t>086090</t>
  </si>
  <si>
    <t>052020</t>
  </si>
  <si>
    <t>104052</t>
  </si>
  <si>
    <t>családtámogatások</t>
  </si>
  <si>
    <t>lakásfenntartással, lakhatással összefüggő ellátások</t>
  </si>
  <si>
    <t>107060</t>
  </si>
  <si>
    <t>egyéb szociális pénzbeli és természetbeni ellátások, támogatások</t>
  </si>
  <si>
    <t>072112</t>
  </si>
  <si>
    <t>064010</t>
  </si>
  <si>
    <t>város- és községgazdálkodási egyéb szolgáltatások</t>
  </si>
  <si>
    <t>szennyvíz gyűjtése, tisztítása, elhelyezése</t>
  </si>
  <si>
    <t>háziorvosi ügyeleti ellátás</t>
  </si>
  <si>
    <t>082044</t>
  </si>
  <si>
    <t>könyvtári szolgáltatások</t>
  </si>
  <si>
    <t xml:space="preserve">  Ügyintéző</t>
  </si>
  <si>
    <t>Mutatószám</t>
  </si>
  <si>
    <t>Fajlagos összeg</t>
  </si>
  <si>
    <t xml:space="preserve"> ( 2015. évi C. Törvény alapján)</t>
  </si>
  <si>
    <t>ha</t>
  </si>
  <si>
    <t>km</t>
  </si>
  <si>
    <t>I.1.d) - Lakott külterülettel kapcsolatos feladatok támogatása</t>
  </si>
  <si>
    <t>I.1.d) - V. Lakott külterülettel kapcsolatos feladatok támogatása - beszámítás után</t>
  </si>
  <si>
    <t>I.1.e) Üdülőhelyi feladatok támogatása</t>
  </si>
  <si>
    <t xml:space="preserve">I.1.e) - V. Üdülőhelyi feladatok támogatása - beszámítás után	</t>
  </si>
  <si>
    <t>V. I.1. kiegészítés I.1. jogcímekhez kapcsolódó kiegészítés</t>
  </si>
  <si>
    <t>I.1. - V. A települési önkormányzatok működésének támogatása beszámítás és kiegészítés után</t>
  </si>
  <si>
    <t xml:space="preserve">I.4. Határátkelőhelyek fenntartásának támogatása	</t>
  </si>
  <si>
    <t xml:space="preserve"> III. A TELEPÜLÉSI ÖNKORMÁNYZATOK SZOCIÁLIS, GYERMEKJÓLÉTI  ÉS GYERMEKÉTKEZTETÉSI FELADATAINAK TÁMOGATÁSA</t>
  </si>
  <si>
    <t>III.2. A települési önkormányzatok szociális feladatainak egyéb támogatása</t>
  </si>
  <si>
    <t>III.4. A települési önkormányzatok által biztosított egyes szociális szakosított ellátások, valamint a gyermekek átmeneti gondozásával kapcsolatos feladatok támogatása</t>
  </si>
  <si>
    <t>III.4.a A finanszírozás szempontjából elismert szakmai dolgozók bértámogatása</t>
  </si>
  <si>
    <t xml:space="preserve"> Az időskorúak átmeneti és tartós, valamint a hajléktalanok tartós bentlakást nyújtó szociális intézményeiben, valamint a gyermekek és családok átmeneti gondozását biztosító intézményekben ellátottak száma</t>
  </si>
  <si>
    <t>L (7) gyermekek átmeneti otthona</t>
  </si>
  <si>
    <t>L (8) családok átmeneti otthona</t>
  </si>
  <si>
    <t>L (9) helyettes szülő</t>
  </si>
  <si>
    <t>IV.1.d.) Települési önkormányzatok nyílvános könyvtári és közművelödési feladatainak támogatása</t>
  </si>
  <si>
    <t>Költségvetési támogatás összesen:</t>
  </si>
  <si>
    <t xml:space="preserve">  -szociális hozzájárulási adó</t>
  </si>
  <si>
    <t xml:space="preserve">  - egészségügyi hozzájárulás </t>
  </si>
  <si>
    <t xml:space="preserve">  - munkáltatói SZJA</t>
  </si>
  <si>
    <t xml:space="preserve">  - előadó művész szolgáltatás</t>
  </si>
  <si>
    <t xml:space="preserve">  - bank ktg</t>
  </si>
  <si>
    <t xml:space="preserve"> - szék kárpitozás</t>
  </si>
  <si>
    <t>05641. Egyéb tárgyi eszközök beszerzése (mosogatógép, hűtő)</t>
  </si>
  <si>
    <t>05631. Informatikai eszközök beszerzése (laptop)</t>
  </si>
  <si>
    <t xml:space="preserve"> - gázmérő hitelesítés</t>
  </si>
  <si>
    <t>0511131. Foglalkoztatottak egyéb személyi juttatásai (eseti ill.kieg)</t>
  </si>
  <si>
    <t xml:space="preserve"> - szociális hozzájárulási adó        </t>
  </si>
  <si>
    <t xml:space="preserve"> - egészségügyi hozzájárulás       </t>
  </si>
  <si>
    <t xml:space="preserve"> - munkáltatót terhelő személyi jövedelemadó  </t>
  </si>
  <si>
    <t xml:space="preserve"> - szakmai továbbképzések</t>
  </si>
  <si>
    <t xml:space="preserve"> - bank költség</t>
  </si>
  <si>
    <t>053361. Szakmai tevékenységet segítő szolgáltatások (jogi tanácsadás)</t>
  </si>
  <si>
    <t>05641. Egyéb tárgyi eszközök beszerzése (klima)</t>
  </si>
  <si>
    <t xml:space="preserve"> - gépek javítása</t>
  </si>
  <si>
    <t xml:space="preserve"> - zsírfogó takarítás</t>
  </si>
  <si>
    <t xml:space="preserve"> - bankköltség</t>
  </si>
  <si>
    <t xml:space="preserve">  - ételkiszállítás</t>
  </si>
  <si>
    <t xml:space="preserve"> - fénymásolás</t>
  </si>
  <si>
    <t xml:space="preserve"> - eü. szolgáltatás (tűdőszűrés), </t>
  </si>
  <si>
    <t xml:space="preserve"> - szakmai továbbképzés</t>
  </si>
  <si>
    <t>053421. Reklám- és propaganda (szorólap)</t>
  </si>
  <si>
    <t>053551. Egyéb dologi kiadások (adók, díjak, illetékek, ajánlati biztosíték, kés.kamat) kötelelző NÉBIH tagdíj</t>
  </si>
  <si>
    <t>0511011. Illetmények, munkabérek (9 +2 áh)</t>
  </si>
  <si>
    <t xml:space="preserve"> - védőital</t>
  </si>
  <si>
    <t xml:space="preserve">  - alkatrész pótlása (zsír, kés stb.)</t>
  </si>
  <si>
    <t xml:space="preserve"> - gépek, autók karbantartása, szervízelése</t>
  </si>
  <si>
    <t xml:space="preserve"> - játszótér szabványossági felülvizsgálat</t>
  </si>
  <si>
    <t xml:space="preserve"> - továbbképzés</t>
  </si>
  <si>
    <t xml:space="preserve"> - Tányérok, poharak, evőeszköz, tálca,tál készlet 200 főre</t>
  </si>
  <si>
    <t xml:space="preserve"> - ügyfélszolgálat biztosítása VERTIKÁL </t>
  </si>
  <si>
    <t xml:space="preserve"> - házasságkötés dij</t>
  </si>
  <si>
    <t>09651. Egyéb működési célú átvett pénzeszközök (RSD Társulástól)</t>
  </si>
  <si>
    <t xml:space="preserve">  - SZOCHO</t>
  </si>
  <si>
    <t>053211. Informatikai szolgáltatások igénybevétele (internet;Telegram; Katawin)</t>
  </si>
  <si>
    <t xml:space="preserve">   - kötelező közig. Továbbképzések (Probono)</t>
  </si>
  <si>
    <t xml:space="preserve">   - postaköltség</t>
  </si>
  <si>
    <t xml:space="preserve">   - szemétszállítás, rovarirtás, kéményseprés, egyéb üzemeltetés</t>
  </si>
  <si>
    <t xml:space="preserve">   - bank ktg</t>
  </si>
  <si>
    <t>05631. Informatikai eszközök beszerzése (laptop 2 db)</t>
  </si>
  <si>
    <t>I.6.  2015 .évről áthúzodó bérkompenzáció támogatása</t>
  </si>
  <si>
    <t>I. A HELYI ÖNKORMÁNYZATOK MŰKÖDÉSÉNEK ÁLTALÁNOS TÁMOGATÁSA ÖSSZESEN</t>
  </si>
  <si>
    <t>053341. Karbantartás, kisjavítás (Ford, riasztó-; tűzjelző rendszer;)</t>
  </si>
  <si>
    <t xml:space="preserve"> - Internet szolgáltatás</t>
  </si>
  <si>
    <t>05891. Egyéb felhalmozási célú támogatások államháztartáson kívülre</t>
  </si>
  <si>
    <t>05731. Egyéb tárgyi eszközök felújítása (Szennyvíztisztitó telep)</t>
  </si>
  <si>
    <t>053551. Egyéb dologi kiadások (adók, díjak, illetékek, ajánlati biztosíték, kés.kamat, gázmérő hitelesítés)</t>
  </si>
  <si>
    <t xml:space="preserve"> - lakbér (Pihenő u.)</t>
  </si>
  <si>
    <t>05641. Egyéb tárgyi eszközök beszerzése (páncél, bútor, tárgyaló, hűtő)</t>
  </si>
  <si>
    <t>(közmunka prog; ágazati pótlék; iskolaorvos</t>
  </si>
  <si>
    <t xml:space="preserve"> - informatikai rendszer karbantartás</t>
  </si>
  <si>
    <t>0511011. Illetmények, munkabérek (9,5 áh)</t>
  </si>
  <si>
    <t>053211. Informatikai szolgáltatások igénybevétele (internet, védőnői szoftver)</t>
  </si>
  <si>
    <t xml:space="preserve"> - szemétszállítás, eüi. hulladék, fénymásolás stb</t>
  </si>
  <si>
    <t xml:space="preserve"> - ellátottak részére nyújtott szolgáltatások (HSNY)</t>
  </si>
  <si>
    <t xml:space="preserve"> - egyéb üzemeltetési anyagok (textiliák,kenyérzsák; foglalk kapcs anyagok)</t>
  </si>
  <si>
    <t>0511131. Foglalkoztatottak egyéb személyi juttatásai (2015.12.hó bérkomp)</t>
  </si>
  <si>
    <t>053211. Informatikai szolgáltatások igénybevétele (Winmenza, honlap karbantart)</t>
  </si>
  <si>
    <t>053551. Egyéb dologi kiadások (mérnök kamarai tagdíj, cégautó adó, átírási díjak)</t>
  </si>
  <si>
    <t>játszótéri eszközök pótlása</t>
  </si>
  <si>
    <t>Klíma 4 irodába( oviéba is 3 )+ konyha</t>
  </si>
  <si>
    <t>Irodába klíma</t>
  </si>
  <si>
    <t>Sima Dakar Plus asztali tégla és térkővágó</t>
  </si>
  <si>
    <t>Betomkeverő ipari</t>
  </si>
  <si>
    <t>Leica Piper 100 csőlézer - csőfektető lézer</t>
  </si>
  <si>
    <t>0511011. Illetmények, munkabérek 2 áh</t>
  </si>
  <si>
    <t>053211. Informatikai szolgáltatások igénybevétele (könyvtári szoftver)</t>
  </si>
  <si>
    <t xml:space="preserve">  - egészségügyi hozzájárulás (cafeteri, cégtelefon)</t>
  </si>
  <si>
    <t xml:space="preserve">  - munkáltatót terhelő személyi jövedelemadó  (cafeteria, cégtelefon)</t>
  </si>
  <si>
    <t xml:space="preserve"> -  internet szolgáltatás</t>
  </si>
  <si>
    <t>0511131. Foglalkoztatottak egyéb személyi juttatásai 2015.12. bérkomp</t>
  </si>
  <si>
    <t>0511011. Illetmények, munkabérek (közfoglalkoztatott  18 fő 3 hó)</t>
  </si>
  <si>
    <t xml:space="preserve"> - munka- és védőruha </t>
  </si>
  <si>
    <t>053351. Közvetített szolgáltatás (közüzemi díjak)</t>
  </si>
  <si>
    <t xml:space="preserve"> - egyébb dologi (Royal Bau)</t>
  </si>
  <si>
    <t xml:space="preserve"> - hatósági díjak</t>
  </si>
  <si>
    <t xml:space="preserve"> - RSD műkődési hozzájárulás</t>
  </si>
  <si>
    <t xml:space="preserve"> - Dharaszti orvosi ügyelet</t>
  </si>
  <si>
    <t xml:space="preserve"> - Haraszti Fraxinus  sürgősségi ügyelet</t>
  </si>
  <si>
    <t xml:space="preserve"> - gyepmesteri tev. Támogatása</t>
  </si>
  <si>
    <t xml:space="preserve"> - Taksonyi Református Misszió</t>
  </si>
  <si>
    <t xml:space="preserve"> - egyéb szervezet</t>
  </si>
  <si>
    <t xml:space="preserve"> - ingatlan vásárlás</t>
  </si>
  <si>
    <t xml:space="preserve"> - tervezési ktg</t>
  </si>
  <si>
    <t xml:space="preserve">094031. Közvetített szolgáltatások értéke (közüzemi díjak) 2015.évi </t>
  </si>
  <si>
    <t xml:space="preserve"> - Hulladéktársulási tagdíj 100Ft/lakos</t>
  </si>
  <si>
    <t>05631. Informatikai eszközök beszerzése (számítógép)</t>
  </si>
  <si>
    <t>053421. Reklám- és propaganda (hírharang,hírlevél, ünnepnaptár, testvérvárosi kapcs)</t>
  </si>
  <si>
    <t>05611. Immateriális javak beszerzése (HÉSZ , Mikrovoks szoftver )</t>
  </si>
  <si>
    <t xml:space="preserve">  Család - és gyeremekjóléti szolgálat</t>
  </si>
  <si>
    <t xml:space="preserve">  Szociális feladatok egyéb támogatása</t>
  </si>
  <si>
    <t>2016. év</t>
  </si>
  <si>
    <t xml:space="preserve">Feladatmutató 2016. évi
értéke </t>
  </si>
  <si>
    <r>
      <t xml:space="preserve">Az Mötv. a 117-118. §-ai az alábbiakat tartalmazzák:
A feladatfinanszírozási rendszer keretében az Országgyűlés a központi költségvetésről szóló törvényben meghatározott módon a helyi önkormányzatok
a) kötelezően ellátandó, törvényben előírt egyes feladatainak - felhasználási kötöttséggel - a feladatot meghatározó jogszabályban megjelölt közszolgáltatási szintnek megfelelő ellátását </t>
    </r>
    <r>
      <rPr>
        <b/>
        <sz val="16"/>
        <rFont val="Times New Roman"/>
        <family val="1"/>
        <charset val="238"/>
      </rPr>
      <t>feladatalapú támogatással biztosítja</t>
    </r>
    <r>
      <rPr>
        <sz val="16"/>
        <rFont val="Times New Roman"/>
        <family val="1"/>
        <charset val="238"/>
      </rPr>
      <t xml:space="preserve">, vagy azok ellátásához a feladat, a helyi szükségletek alapján jellemző mutatószámok, illetve a lakosságszám alapján támogatást biztosít,
b) az a) pontba nem tartozó feladatainak ellátásához felhasználási kötöttséggel járó, vagy felhasználási kötöttség nélküli támogatást nyújthat.
A támogatás biztosítása a következő szempontok figyelembe vételével történik:
a) takarékos gazdálkodás,
b) a helyi önkormányzat jogszabályon alapuló, elvárható saját bevétele,
c) a helyi önkormányzat tényleges saját bevétele.
A figyelembe veendő bevételek körét és mértékét törvény határozza meg.
A feladatfinanszírozási rendszernek biztosítania kell a helyi önkormányzatok bevételi érdekeltségének fenntartását.
</t>
    </r>
    <r>
      <rPr>
        <b/>
        <u/>
        <sz val="16"/>
        <rFont val="Times New Roman"/>
        <family val="1"/>
        <charset val="238"/>
      </rPr>
      <t xml:space="preserve">A támogatást a helyi önkormányzat éves szinten kizárólag az ellátandó feladatainak kiadásaira fordíthatja.
</t>
    </r>
    <r>
      <rPr>
        <sz val="16"/>
        <rFont val="Times New Roman"/>
        <family val="1"/>
        <charset val="238"/>
      </rPr>
      <t xml:space="preserve">Az ettől eltérő felhasználás esetén a helyi önkormányzat köteles a támogatás összegét - az államháztartásról szóló törvényben meghatározott kamatokkal terhelve - a központi költségvetésbe visszafizetni.
</t>
    </r>
  </si>
  <si>
    <t>Közművelődés - hagyományos közösségi kulturális értékek gondozása</t>
  </si>
  <si>
    <t>Család és gyermekjóléti szolgáltatások</t>
  </si>
  <si>
    <t>Szociális étkeztetés</t>
  </si>
  <si>
    <t>Egyéb szabadidős szolgáltatás</t>
  </si>
  <si>
    <t>2016. évi bevételi előirányzatok összesen</t>
  </si>
  <si>
    <t>2016. évi kiadási előirányzatok összesen</t>
  </si>
  <si>
    <t xml:space="preserve"> - háziorvosi rendelő felújítás (pályázat)</t>
  </si>
  <si>
    <t xml:space="preserve"> - Közvilágítási lámpatesetk bővítése</t>
  </si>
  <si>
    <t xml:space="preserve">K71. Ingatlanok felújítása </t>
  </si>
  <si>
    <t>062010</t>
  </si>
  <si>
    <t>Településfejlesztés igazgatása</t>
  </si>
  <si>
    <t>Taksony Nagyközség Önkormányzat 2016 évi létszámadatai</t>
  </si>
  <si>
    <t xml:space="preserve">  Egyéb kisegítő alkalmazott</t>
  </si>
  <si>
    <t xml:space="preserve"> - szolgáltatás nyújtásából származó bevétel (ügyfélszolg;panaszfelvételi pont ellát)</t>
  </si>
  <si>
    <t>0511101. Egyéb költségtérítés (tan szerz)</t>
  </si>
  <si>
    <t>HÉSZ felülvizsgálat. Átdolgozás</t>
  </si>
  <si>
    <t>Mikrovoks szoftver bővítés</t>
  </si>
  <si>
    <t>ingatlan vásárlás</t>
  </si>
  <si>
    <t>Szigeti Dunasor útfelújítás</t>
  </si>
  <si>
    <t>riasztó rendszer</t>
  </si>
  <si>
    <t>projektor</t>
  </si>
  <si>
    <t>közvilágítási lámpatestek bővítése</t>
  </si>
  <si>
    <t>hulladékgyüjtők (ei: 20 )</t>
  </si>
  <si>
    <t>Taksony üdvözlő tábla (2 db)</t>
  </si>
  <si>
    <t>1.8.</t>
  </si>
  <si>
    <t>1.9.</t>
  </si>
  <si>
    <t>1.10.</t>
  </si>
  <si>
    <t>1.11.</t>
  </si>
  <si>
    <t>számítógép</t>
  </si>
  <si>
    <t>páncélszekrény</t>
  </si>
  <si>
    <t>hűtő</t>
  </si>
  <si>
    <t>bútor (tárgyaló, pénzügy)</t>
  </si>
  <si>
    <t>számítógép (2 db)</t>
  </si>
  <si>
    <t>mosógatógép</t>
  </si>
  <si>
    <t>Lábos 25 és 32 literes</t>
  </si>
  <si>
    <t>Billenőserpenyő</t>
  </si>
  <si>
    <t>Mosogatógép+ 2 érkeztető asztal</t>
  </si>
  <si>
    <t>Hütő</t>
  </si>
  <si>
    <t>Sátor rendezvényekhez 4*8 m</t>
  </si>
  <si>
    <t>3.3.</t>
  </si>
  <si>
    <t>2.3.</t>
  </si>
  <si>
    <t>2.4.</t>
  </si>
  <si>
    <t>4.3.</t>
  </si>
  <si>
    <t>4.4.</t>
  </si>
  <si>
    <t>4.5.</t>
  </si>
  <si>
    <t>4.6.</t>
  </si>
  <si>
    <t>4.7.</t>
  </si>
  <si>
    <t>4.8.</t>
  </si>
  <si>
    <t>4.9.</t>
  </si>
  <si>
    <t>4.10.</t>
  </si>
  <si>
    <t>4.11.</t>
  </si>
  <si>
    <t>4.12.</t>
  </si>
  <si>
    <t>Klima</t>
  </si>
  <si>
    <t>háziorvosi rendelő (pályázat)</t>
  </si>
  <si>
    <t>Forrás stny kopóréteg csere</t>
  </si>
  <si>
    <t>Temető bejárat térkő</t>
  </si>
  <si>
    <t>Arany János u. csapadék saját kivitelezésben</t>
  </si>
  <si>
    <t>2014 évi tényadat</t>
  </si>
  <si>
    <t>2015 évi várható</t>
  </si>
  <si>
    <t>2016 évi tervadat</t>
  </si>
  <si>
    <t>Működési egyenleg</t>
  </si>
  <si>
    <t>Felhalmozási egyenleg</t>
  </si>
  <si>
    <t>Költségvetési egyenleg</t>
  </si>
  <si>
    <t>Finanszírozási egyenleg</t>
  </si>
  <si>
    <t>Finanszírozási bevételek működési</t>
  </si>
  <si>
    <t>Finanszírozási bevételek felhalmozási</t>
  </si>
  <si>
    <t>Finanszírozási kiadások működési</t>
  </si>
  <si>
    <t>Finanszírozási kiadások felhalmozási</t>
  </si>
  <si>
    <t>2017. évi</t>
  </si>
  <si>
    <t xml:space="preserve"> 2018. év</t>
  </si>
  <si>
    <t>Adósságot keletkeztető ügylet éves kötelezettségvállalásának felső határa</t>
  </si>
  <si>
    <t>Bérbeadás, üzemeltetés</t>
  </si>
  <si>
    <t>Saját bevételek összesen:</t>
  </si>
  <si>
    <t>Támogatási kölcsönök törl. ÁH-on belülre</t>
  </si>
  <si>
    <t>Hosszú lejáratú hitelek visszafizetése</t>
  </si>
  <si>
    <t>Rövid lejáratú hitelek visszafizetése</t>
  </si>
  <si>
    <t>Külföldi finanszírozás kiadásai</t>
  </si>
  <si>
    <t>Kötvény kibocsát.szárm.fix kötelezettség</t>
  </si>
  <si>
    <t>Lizingdíj</t>
  </si>
  <si>
    <t>Váltótartozások</t>
  </si>
  <si>
    <t>Kamatfizetési kötelezettség</t>
  </si>
  <si>
    <t>Kötelezettségek összesen:</t>
  </si>
  <si>
    <t>Adósságot keletkeztető köt.váll.felső határa</t>
  </si>
  <si>
    <t>2017. év</t>
  </si>
  <si>
    <t>2018. év</t>
  </si>
  <si>
    <t xml:space="preserve"> Felhalmozási bevételek</t>
  </si>
  <si>
    <t>053361. Szakmai tevékenységet segítő szolgáltatások (inform.bizt felülvizsg.)</t>
  </si>
  <si>
    <t xml:space="preserve"> - kútfúrás (sportpálya)</t>
  </si>
  <si>
    <t>Váci Egyházmegyei Karitász</t>
  </si>
  <si>
    <t xml:space="preserve"> - 2015. évi kötelezettségből (ovi, karitasz,lokálp,</t>
  </si>
  <si>
    <t>járdaépítés (Wesselényi, P+R)</t>
  </si>
  <si>
    <t>kútfúrás (sportpálya)</t>
  </si>
  <si>
    <t>055121. Egyéb működési célú támogatások államháztartáson kívülre</t>
  </si>
  <si>
    <t>091131. Települési önkormányzatok szociális, gyermekjóléti és gyermekétkeztetési  feladatainak támogatása</t>
  </si>
  <si>
    <t>091151. Működési célú költségvetési támogatások és kegészítő támogatások</t>
  </si>
  <si>
    <t xml:space="preserve">091161. Elszámolásból származó bevételek </t>
  </si>
  <si>
    <t>094011. Készletértékesítés ellenértéke</t>
  </si>
  <si>
    <t>0940821. Kamatbevételek</t>
  </si>
  <si>
    <t>09641. Működési célú visszatérítendő támogatások, kölcsönök visszatérülése államháztartáson kívülről</t>
  </si>
  <si>
    <t>09741. Felhalmozási célú visszatérítendő támogatások, kölcsönök visszatérülése államháztartáson kívülről</t>
  </si>
  <si>
    <t>0981131. Rövid lejáratú hitelek, kölcsönök felvétele pénzügyi vállalkozástól</t>
  </si>
  <si>
    <t>0981111. Hosszú lejáratú hitelek, kölcsönök felvétele pénzügyi vállalkozástól</t>
  </si>
  <si>
    <t>055131. Tartalékok</t>
  </si>
  <si>
    <t>1.12.</t>
  </si>
  <si>
    <t>Taksonyi Lokálpatrióta Egyesület</t>
  </si>
  <si>
    <t xml:space="preserve">       1 fő pszichológus </t>
  </si>
  <si>
    <t xml:space="preserve"> - jogi tanácsadás, szakmai komp.</t>
  </si>
  <si>
    <t xml:space="preserve"> - foglalkozás egészségügyi vizsgálat, felelősség bizt.</t>
  </si>
  <si>
    <t xml:space="preserve">0511071. Béren kívüli juttatások </t>
  </si>
  <si>
    <t xml:space="preserve"> - élelmiszer, élelmezési nyersanyag </t>
  </si>
  <si>
    <t xml:space="preserve"> - tisztítószerek, szemeteszsák, egyéb anyagok</t>
  </si>
  <si>
    <t xml:space="preserve"> - gázdíj  </t>
  </si>
  <si>
    <t xml:space="preserve"> - légkondicionáló, elszívó karbantartás</t>
  </si>
  <si>
    <t xml:space="preserve"> - szemétszállítás,rovarírtás, mérleghit,fénymás</t>
  </si>
  <si>
    <t xml:space="preserve">051231. Egyéb külső személyi juttatás </t>
  </si>
  <si>
    <t xml:space="preserve"> - izzók, zár, víz- és csatornaszerelési anyagok, fűtésszerelési anyagok, karbant eszk, </t>
  </si>
  <si>
    <t xml:space="preserve"> - tisztítószerek, takarítási anyagok, szemeteszsák (összes intézmények) </t>
  </si>
  <si>
    <t xml:space="preserve"> - homok, kavics, murva, Kresz táblák, locsoló hálozat, pad pótlása </t>
  </si>
  <si>
    <t xml:space="preserve"> - Polgármesteri épület, iroda javítás, festés</t>
  </si>
  <si>
    <t xml:space="preserve">053331. Bérleti és lízingdíj </t>
  </si>
  <si>
    <t xml:space="preserve">  - eszközbérlet (teherautó, minibagger)</t>
  </si>
  <si>
    <t xml:space="preserve"> - légkondícionáló, víz-, gáz-, villamos készülékek karbantartás</t>
  </si>
  <si>
    <t xml:space="preserve"> - útjavítási munkálatok (kátyúzás, gréderezés)</t>
  </si>
  <si>
    <t>0511011. Illetmények, munkabérek (11 áh)</t>
  </si>
  <si>
    <t xml:space="preserve"> - szemétszállítás, kertészeti munk, gázm. hit,</t>
  </si>
  <si>
    <t xml:space="preserve"> - szemétszállítás, fogl eüi vizsg;szinpadtech;</t>
  </si>
  <si>
    <t xml:space="preserve"> - rendezvényekhez kapcsolodó egyéb dologi, jogdíj</t>
  </si>
  <si>
    <t xml:space="preserve">0511011. Illetmények, munkabérek 20 áh </t>
  </si>
  <si>
    <t xml:space="preserve">0511071. Béren kívüli juttatások  </t>
  </si>
  <si>
    <t xml:space="preserve">053331. Bérleti és lízingdíj  </t>
  </si>
  <si>
    <t xml:space="preserve">   - irattárolás, fénym karbant,adós csekk nyomt;foglalkozás eüi.vizsg;</t>
  </si>
  <si>
    <t xml:space="preserve"> - informatikai rendeszerek, szoftverek karbantartása</t>
  </si>
  <si>
    <t xml:space="preserve"> - ingformatikai szoftverek </t>
  </si>
  <si>
    <t xml:space="preserve">  - telefon </t>
  </si>
  <si>
    <t xml:space="preserve"> - villamosenergia (áramdíj és közvilágítás)  </t>
  </si>
  <si>
    <t xml:space="preserve"> - közterület, zöldter tisztántartás, sikosságment;</t>
  </si>
  <si>
    <t xml:space="preserve"> - közvilágítási lámpatestek üzemeltetése,tűzjelz;őrzés;fénym ált;</t>
  </si>
  <si>
    <t xml:space="preserve">  - postai közreműködési díj </t>
  </si>
  <si>
    <t xml:space="preserve"> - tűz- és munkavédelmi szolgáltatás, Atev szolg;szúnyoggyér</t>
  </si>
  <si>
    <t xml:space="preserve"> - egyéb szolgáltatás</t>
  </si>
  <si>
    <t xml:space="preserve"> - szerzői jogdíj,kamarai tagdíj,jogtár, gázmérő hit;</t>
  </si>
  <si>
    <t xml:space="preserve"> - DTÖSZ  hozzájárulás</t>
  </si>
  <si>
    <t xml:space="preserve"> - bank ktg</t>
  </si>
  <si>
    <t>055131. Tartalékok (talajterh,2015.évi tisztdíj)</t>
  </si>
  <si>
    <t xml:space="preserve"> - út-; járdaépítés;</t>
  </si>
  <si>
    <t xml:space="preserve">05641. Egyéb tárgyi eszközök beszerzése </t>
  </si>
  <si>
    <t xml:space="preserve">051211. Választott tisztségviselők juttatásai </t>
  </si>
  <si>
    <t xml:space="preserve"> - egyéb tárgyi eszköz (projektor,riasztóhulladékgy;üdvözlő tábl)</t>
  </si>
  <si>
    <t xml:space="preserve"> - út felújítás, csapadékelvezetés</t>
  </si>
  <si>
    <t>Önként vállalt önkormányzati feladatok 2016. évben</t>
  </si>
  <si>
    <t>2016. évi eredeti előirányzat</t>
  </si>
  <si>
    <t>2016. évi módosított előirányzat</t>
  </si>
  <si>
    <t>059141. Államháztartáson belüli megelőlegezések visszafizetése</t>
  </si>
  <si>
    <t>K914 Államháztartáson belüli megelőlegezések visszafizetése</t>
  </si>
  <si>
    <t>091151. Működési célú költségvetési támogatások és kiegészítő támogatások</t>
  </si>
  <si>
    <t>1. sz. előirányzat módosítás</t>
  </si>
  <si>
    <t>Eredeti előírányzatÖsszeg (ezer Ft)</t>
  </si>
  <si>
    <t>Módosított előírányzatÖsszeg (ezer Ft)</t>
  </si>
  <si>
    <t>115/EK/1/1  A költségvetési szerveknél foglalkoztatottak 2016. évi kompenzációja 400/2015. (XII.15.) Korm. Rendelet</t>
  </si>
  <si>
    <t>2. sz. előirányzat módosítás</t>
  </si>
  <si>
    <t xml:space="preserve"> - bölcsödei intézményi étkeztetés</t>
  </si>
  <si>
    <t xml:space="preserve">0511011. Illetmények, munkabérek </t>
  </si>
  <si>
    <t xml:space="preserve"> - egyéb üzemeltetési anyagok (tisztítószer)</t>
  </si>
  <si>
    <t xml:space="preserve"> - gyermekétkeztetés</t>
  </si>
  <si>
    <t xml:space="preserve"> - gyermekorvosi ellátás (30 eFt/hó)</t>
  </si>
  <si>
    <t xml:space="preserve"> - hulladék szálll;rágcsálóírtás, munka- tűzvédelem, tűzvédelmi-, érintésvédelmi felülvizsg.,távfelügyelet</t>
  </si>
  <si>
    <t>Sűnivár Bölcsőde bevételi előirányzata</t>
  </si>
  <si>
    <t>Sűnivár Bölcsőde kiadási előirányzata</t>
  </si>
  <si>
    <t>09651 Egyéb működési célú átvett pénzeszközök</t>
  </si>
  <si>
    <t xml:space="preserve">09751. Egyéb felhalmozási célú átvett pénzeszközök </t>
  </si>
  <si>
    <t>B65 Egyéb működési célú átvett pénzeszközök</t>
  </si>
  <si>
    <t>III.6. Szociális ágazati pótlék</t>
  </si>
  <si>
    <t>III.1. Pénzbeli szociális ellátások kiegészítése</t>
  </si>
  <si>
    <t>III./EK Szociális ágazati pótlék kieg. Támogatás</t>
  </si>
  <si>
    <t>IV.1.i.) Települési önkormányzatok könyvtári célú érdekeltségnövelő támogatása</t>
  </si>
  <si>
    <t>IV.1. Települési önkormányzatok kulturális feladatainak  támogatása</t>
  </si>
  <si>
    <t>Sünivár Bölcsőde</t>
  </si>
  <si>
    <t xml:space="preserve">  Kisgyermek nevelő</t>
  </si>
  <si>
    <t xml:space="preserve">  Technikai dolgozó</t>
  </si>
  <si>
    <t>Eredeti Engedélyezett álláshely</t>
  </si>
  <si>
    <t>098171. Lekötött bankbetétek</t>
  </si>
  <si>
    <t>B817. Lekötött bankbetétek</t>
  </si>
  <si>
    <t xml:space="preserve"> - perköltség visszatérülése</t>
  </si>
  <si>
    <t>Bölcsődei ellátás</t>
  </si>
  <si>
    <t>Civil szervezetek támogatása</t>
  </si>
  <si>
    <t>Előirányzat</t>
  </si>
  <si>
    <t>Taksonyi Óvoda Alapítvány</t>
  </si>
  <si>
    <t>Peter Cerny Alapítvány</t>
  </si>
  <si>
    <t>Taksony SE</t>
  </si>
  <si>
    <t>Taksony Bölcsőde Alapítvány</t>
  </si>
  <si>
    <t>Szkíta Örökség Taksonyi Íjászok</t>
  </si>
  <si>
    <t>Taksonyi Dunamenti Fiatal Svábok Egyesülete</t>
  </si>
  <si>
    <t xml:space="preserve">Taksonyi Lokálpatrióta Egyesület </t>
  </si>
  <si>
    <t>Taksonyi Református Misszió hittanoktatás támogatása</t>
  </si>
  <si>
    <t>Kutya Mentsvár Alapítvány gyepmesteri tev. támogatása</t>
  </si>
  <si>
    <t>Haraszti Fraxinus Nonprofit Kft. sürgősségi ügyelet</t>
  </si>
  <si>
    <t>Taksony Óvoda Alapítvány (felhalmozás célú )</t>
  </si>
  <si>
    <t>Református Dunamenti Kistérségi Diakóniát Hospice ház (felhalmozás célú )</t>
  </si>
  <si>
    <t>Lekötött betét</t>
  </si>
  <si>
    <t>104031</t>
  </si>
  <si>
    <t>Gyermekek bölcsődei ellátása</t>
  </si>
  <si>
    <t>B817. Lekötött betétek</t>
  </si>
  <si>
    <t xml:space="preserve"> - óvoda tető</t>
  </si>
  <si>
    <t>1.13.</t>
  </si>
  <si>
    <t>óvoda tető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</si>
</sst>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0.0"/>
    <numFmt numFmtId="165" formatCode="_-* #,##0\ _F_t_-;\-* #,##0\ _F_t_-;_-* &quot;-&quot;??\ _F_t_-;_-@_-"/>
    <numFmt numFmtId="166" formatCode="_-* #,##0.0\ _F_t_-;\-* #,##0.0\ _F_t_-;_-* &quot;-&quot;??\ _F_t_-;_-@_-"/>
    <numFmt numFmtId="167" formatCode="yyyy/mm/dd;@"/>
  </numFmts>
  <fonts count="6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1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Helv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1"/>
      <color rgb="FFFFFF0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8"/>
      <name val="Times New Roman CE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theme="8" tint="-0.249977111117893"/>
      <name val="Times New Roman"/>
      <family val="1"/>
      <charset val="238"/>
    </font>
    <font>
      <b/>
      <sz val="11"/>
      <color theme="3" tint="0.39997558519241921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i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5" tint="-0.499984740745262"/>
      <name val="Arial"/>
      <family val="2"/>
      <charset val="238"/>
    </font>
    <font>
      <sz val="10"/>
      <color theme="3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0" fillId="0" borderId="0"/>
    <xf numFmtId="43" fontId="9" fillId="0" borderId="0" applyFont="0" applyFill="0" applyBorder="0" applyAlignment="0" applyProtection="0"/>
    <xf numFmtId="0" fontId="9" fillId="0" borderId="0"/>
    <xf numFmtId="0" fontId="16" fillId="0" borderId="0"/>
    <xf numFmtId="0" fontId="17" fillId="0" borderId="0"/>
    <xf numFmtId="0" fontId="10" fillId="0" borderId="0"/>
    <xf numFmtId="0" fontId="2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Border="1"/>
    <xf numFmtId="0" fontId="1" fillId="0" borderId="1" xfId="0" applyFont="1" applyBorder="1" applyAlignment="1">
      <alignment wrapText="1"/>
    </xf>
    <xf numFmtId="0" fontId="0" fillId="0" borderId="1" xfId="0" quotePrefix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7" xfId="0" applyFont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 wrapText="1"/>
    </xf>
    <xf numFmtId="0" fontId="1" fillId="0" borderId="1" xfId="0" applyFont="1" applyFill="1" applyBorder="1"/>
    <xf numFmtId="0" fontId="0" fillId="0" borderId="1" xfId="0" applyBorder="1" applyAlignment="1">
      <alignment horizontal="left"/>
    </xf>
    <xf numFmtId="0" fontId="0" fillId="0" borderId="4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6" fillId="0" borderId="18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0" fillId="0" borderId="0" xfId="1"/>
    <xf numFmtId="0" fontId="12" fillId="0" borderId="36" xfId="1" applyFont="1" applyBorder="1" applyAlignment="1">
      <alignment horizontal="center" vertical="center" wrapText="1"/>
    </xf>
    <xf numFmtId="0" fontId="12" fillId="0" borderId="37" xfId="1" applyFont="1" applyBorder="1" applyAlignment="1">
      <alignment horizontal="center" vertical="center" wrapText="1"/>
    </xf>
    <xf numFmtId="0" fontId="13" fillId="0" borderId="38" xfId="1" applyFont="1" applyBorder="1"/>
    <xf numFmtId="0" fontId="12" fillId="0" borderId="1" xfId="1" applyFont="1" applyBorder="1" applyAlignment="1">
      <alignment horizontal="left" vertical="center" wrapText="1"/>
    </xf>
    <xf numFmtId="3" fontId="12" fillId="0" borderId="1" xfId="1" applyNumberFormat="1" applyFont="1" applyBorder="1" applyAlignment="1">
      <alignment horizontal="right" vertical="center" wrapText="1"/>
    </xf>
    <xf numFmtId="3" fontId="12" fillId="0" borderId="39" xfId="1" applyNumberFormat="1" applyFont="1" applyBorder="1" applyAlignment="1">
      <alignment horizontal="right" vertical="center" wrapText="1"/>
    </xf>
    <xf numFmtId="0" fontId="12" fillId="0" borderId="38" xfId="1" applyFont="1" applyBorder="1" applyAlignment="1">
      <alignment horizontal="center" vertical="center"/>
    </xf>
    <xf numFmtId="3" fontId="14" fillId="0" borderId="1" xfId="1" applyNumberFormat="1" applyFont="1" applyBorder="1" applyAlignment="1">
      <alignment horizontal="right" vertical="center" wrapText="1"/>
    </xf>
    <xf numFmtId="3" fontId="14" fillId="0" borderId="39" xfId="1" applyNumberFormat="1" applyFont="1" applyBorder="1" applyAlignment="1">
      <alignment horizontal="right" vertical="center" wrapText="1"/>
    </xf>
    <xf numFmtId="0" fontId="12" fillId="0" borderId="1" xfId="1" applyFont="1" applyBorder="1"/>
    <xf numFmtId="0" fontId="14" fillId="0" borderId="38" xfId="1" applyFont="1" applyBorder="1"/>
    <xf numFmtId="0" fontId="14" fillId="0" borderId="1" xfId="1" applyFont="1" applyBorder="1"/>
    <xf numFmtId="0" fontId="12" fillId="0" borderId="38" xfId="1" applyFont="1" applyBorder="1"/>
    <xf numFmtId="0" fontId="14" fillId="0" borderId="40" xfId="1" applyFont="1" applyFill="1" applyBorder="1"/>
    <xf numFmtId="0" fontId="12" fillId="0" borderId="41" xfId="1" applyFont="1" applyFill="1" applyBorder="1" applyAlignment="1">
      <alignment horizontal="center"/>
    </xf>
    <xf numFmtId="49" fontId="12" fillId="0" borderId="4" xfId="1" applyNumberFormat="1" applyFont="1" applyBorder="1" applyAlignment="1">
      <alignment horizontal="center" vertical="center"/>
    </xf>
    <xf numFmtId="49" fontId="14" fillId="0" borderId="4" xfId="1" applyNumberFormat="1" applyFont="1" applyBorder="1" applyAlignment="1">
      <alignment horizontal="left" vertical="center"/>
    </xf>
    <xf numFmtId="0" fontId="18" fillId="0" borderId="1" xfId="5" applyFont="1" applyBorder="1" applyAlignment="1"/>
    <xf numFmtId="49" fontId="14" fillId="0" borderId="4" xfId="1" applyNumberFormat="1" applyFont="1" applyBorder="1" applyAlignment="1">
      <alignment horizontal="center" vertical="center"/>
    </xf>
    <xf numFmtId="49" fontId="15" fillId="0" borderId="4" xfId="1" applyNumberFormat="1" applyFont="1" applyBorder="1"/>
    <xf numFmtId="49" fontId="14" fillId="0" borderId="4" xfId="1" applyNumberFormat="1" applyFont="1" applyBorder="1"/>
    <xf numFmtId="3" fontId="14" fillId="0" borderId="1" xfId="1" applyNumberFormat="1" applyFont="1" applyFill="1" applyBorder="1" applyAlignment="1">
      <alignment horizontal="right" vertical="center" wrapText="1"/>
    </xf>
    <xf numFmtId="3" fontId="14" fillId="0" borderId="39" xfId="1" applyNumberFormat="1" applyFont="1" applyFill="1" applyBorder="1" applyAlignment="1">
      <alignment horizontal="right" vertical="center" wrapText="1"/>
    </xf>
    <xf numFmtId="49" fontId="12" fillId="0" borderId="4" xfId="1" applyNumberFormat="1" applyFont="1" applyBorder="1"/>
    <xf numFmtId="49" fontId="14" fillId="0" borderId="43" xfId="1" applyNumberFormat="1" applyFont="1" applyFill="1" applyBorder="1"/>
    <xf numFmtId="3" fontId="12" fillId="0" borderId="41" xfId="1" applyNumberFormat="1" applyFont="1" applyFill="1" applyBorder="1"/>
    <xf numFmtId="3" fontId="12" fillId="0" borderId="42" xfId="1" applyNumberFormat="1" applyFont="1" applyFill="1" applyBorder="1"/>
    <xf numFmtId="0" fontId="19" fillId="0" borderId="0" xfId="0" applyFont="1" applyAlignment="1">
      <alignment vertical="center"/>
    </xf>
    <xf numFmtId="0" fontId="18" fillId="0" borderId="1" xfId="5" applyFont="1" applyBorder="1" applyAlignment="1">
      <alignment horizontal="center"/>
    </xf>
    <xf numFmtId="0" fontId="18" fillId="0" borderId="0" xfId="5" applyFont="1" applyBorder="1"/>
    <xf numFmtId="3" fontId="20" fillId="0" borderId="0" xfId="5" applyNumberFormat="1" applyFont="1" applyBorder="1" applyAlignment="1">
      <alignment horizontal="right"/>
    </xf>
    <xf numFmtId="0" fontId="18" fillId="0" borderId="0" xfId="5" applyFont="1"/>
    <xf numFmtId="0" fontId="22" fillId="0" borderId="0" xfId="5" applyFont="1" applyBorder="1" applyAlignment="1">
      <alignment horizontal="center" vertical="top" wrapText="1"/>
    </xf>
    <xf numFmtId="0" fontId="22" fillId="0" borderId="0" xfId="5" applyFont="1"/>
    <xf numFmtId="0" fontId="23" fillId="0" borderId="0" xfId="4" applyFont="1" applyAlignment="1">
      <alignment vertical="center" wrapText="1"/>
    </xf>
    <xf numFmtId="0" fontId="20" fillId="0" borderId="0" xfId="4" applyFont="1" applyAlignment="1">
      <alignment vertical="center" wrapText="1"/>
    </xf>
    <xf numFmtId="3" fontId="14" fillId="0" borderId="6" xfId="1" applyNumberFormat="1" applyFont="1" applyBorder="1"/>
    <xf numFmtId="0" fontId="14" fillId="0" borderId="0" xfId="1" applyFont="1"/>
    <xf numFmtId="0" fontId="14" fillId="0" borderId="53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 indent="1"/>
    </xf>
    <xf numFmtId="164" fontId="14" fillId="0" borderId="1" xfId="1" applyNumberFormat="1" applyFont="1" applyBorder="1" applyAlignment="1">
      <alignment horizontal="right" vertical="center" indent="1"/>
    </xf>
    <xf numFmtId="0" fontId="14" fillId="0" borderId="0" xfId="1" applyFont="1" applyAlignment="1">
      <alignment vertical="center"/>
    </xf>
    <xf numFmtId="0" fontId="25" fillId="0" borderId="53" xfId="1" applyFont="1" applyBorder="1" applyAlignment="1">
      <alignment horizontal="left"/>
    </xf>
    <xf numFmtId="0" fontId="25" fillId="0" borderId="4" xfId="1" applyFont="1" applyBorder="1" applyAlignment="1">
      <alignment horizontal="center"/>
    </xf>
    <xf numFmtId="164" fontId="25" fillId="0" borderId="1" xfId="1" applyNumberFormat="1" applyFont="1" applyBorder="1" applyAlignment="1">
      <alignment horizontal="right" vertical="center" indent="1"/>
    </xf>
    <xf numFmtId="0" fontId="25" fillId="0" borderId="0" xfId="1" applyFont="1" applyAlignment="1">
      <alignment vertical="center"/>
    </xf>
    <xf numFmtId="0" fontId="26" fillId="0" borderId="53" xfId="1" applyFont="1" applyBorder="1" applyAlignment="1">
      <alignment horizontal="left" vertical="center"/>
    </xf>
    <xf numFmtId="0" fontId="26" fillId="0" borderId="4" xfId="1" applyFont="1" applyBorder="1" applyAlignment="1">
      <alignment horizontal="left" vertical="center"/>
    </xf>
    <xf numFmtId="164" fontId="26" fillId="0" borderId="1" xfId="1" applyNumberFormat="1" applyFont="1" applyBorder="1" applyAlignment="1">
      <alignment horizontal="right" vertical="center" indent="1"/>
    </xf>
    <xf numFmtId="0" fontId="26" fillId="0" borderId="0" xfId="1" applyFont="1" applyAlignment="1">
      <alignment vertical="center"/>
    </xf>
    <xf numFmtId="164" fontId="14" fillId="0" borderId="1" xfId="1" applyNumberFormat="1" applyFont="1" applyBorder="1" applyAlignment="1">
      <alignment horizontal="right" indent="1"/>
    </xf>
    <xf numFmtId="0" fontId="14" fillId="0" borderId="4" xfId="1" applyFont="1" applyBorder="1" applyAlignment="1">
      <alignment horizontal="left"/>
    </xf>
    <xf numFmtId="0" fontId="14" fillId="0" borderId="4" xfId="1" applyFont="1" applyBorder="1" applyAlignment="1"/>
    <xf numFmtId="0" fontId="27" fillId="0" borderId="4" xfId="1" applyFont="1" applyBorder="1" applyAlignment="1">
      <alignment vertical="center"/>
    </xf>
    <xf numFmtId="0" fontId="25" fillId="0" borderId="53" xfId="1" applyFont="1" applyBorder="1" applyAlignment="1">
      <alignment vertical="center"/>
    </xf>
    <xf numFmtId="0" fontId="26" fillId="0" borderId="48" xfId="1" applyFont="1" applyBorder="1" applyAlignment="1">
      <alignment vertical="center"/>
    </xf>
    <xf numFmtId="0" fontId="14" fillId="0" borderId="43" xfId="1" applyFont="1" applyBorder="1" applyAlignment="1">
      <alignment horizontal="left" vertical="center"/>
    </xf>
    <xf numFmtId="164" fontId="26" fillId="0" borderId="41" xfId="1" applyNumberFormat="1" applyFont="1" applyBorder="1" applyAlignment="1">
      <alignment horizontal="right" vertical="center" indent="1"/>
    </xf>
    <xf numFmtId="0" fontId="26" fillId="0" borderId="0" xfId="1" applyFont="1" applyBorder="1" applyAlignment="1">
      <alignment horizontal="left" vertical="center"/>
    </xf>
    <xf numFmtId="3" fontId="26" fillId="0" borderId="0" xfId="1" applyNumberFormat="1" applyFont="1" applyBorder="1" applyAlignment="1">
      <alignment vertical="center"/>
    </xf>
    <xf numFmtId="0" fontId="18" fillId="0" borderId="0" xfId="5" applyFont="1" applyBorder="1" applyAlignment="1">
      <alignment horizontal="center"/>
    </xf>
    <xf numFmtId="3" fontId="18" fillId="0" borderId="0" xfId="5" applyNumberFormat="1" applyFont="1" applyBorder="1"/>
    <xf numFmtId="164" fontId="14" fillId="0" borderId="1" xfId="1" applyNumberFormat="1" applyFont="1" applyFill="1" applyBorder="1" applyAlignment="1">
      <alignment horizontal="right" vertical="center" indent="1"/>
    </xf>
    <xf numFmtId="0" fontId="10" fillId="0" borderId="0" xfId="1" applyBorder="1"/>
    <xf numFmtId="3" fontId="10" fillId="0" borderId="0" xfId="1" applyNumberFormat="1"/>
    <xf numFmtId="0" fontId="10" fillId="0" borderId="0" xfId="1" applyFont="1" applyBorder="1"/>
    <xf numFmtId="3" fontId="10" fillId="0" borderId="0" xfId="1" applyNumberFormat="1" applyFont="1" applyBorder="1"/>
    <xf numFmtId="0" fontId="10" fillId="0" borderId="0" xfId="1" applyFont="1"/>
    <xf numFmtId="3" fontId="10" fillId="0" borderId="0" xfId="5" applyNumberFormat="1" applyFont="1" applyBorder="1" applyAlignment="1">
      <alignment horizontal="right"/>
    </xf>
    <xf numFmtId="0" fontId="23" fillId="0" borderId="0" xfId="1" applyFont="1" applyAlignment="1">
      <alignment horizontal="center"/>
    </xf>
    <xf numFmtId="0" fontId="23" fillId="0" borderId="0" xfId="1" applyFont="1" applyAlignment="1"/>
    <xf numFmtId="0" fontId="22" fillId="0" borderId="0" xfId="1" applyFont="1"/>
    <xf numFmtId="3" fontId="22" fillId="0" borderId="0" xfId="1" applyNumberFormat="1" applyFont="1"/>
    <xf numFmtId="0" fontId="10" fillId="0" borderId="53" xfId="1" applyBorder="1"/>
    <xf numFmtId="0" fontId="18" fillId="0" borderId="53" xfId="4" applyNumberFormat="1" applyFont="1" applyBorder="1" applyAlignment="1">
      <alignment horizontal="left"/>
    </xf>
    <xf numFmtId="3" fontId="10" fillId="0" borderId="1" xfId="1" applyNumberFormat="1" applyBorder="1"/>
    <xf numFmtId="0" fontId="10" fillId="0" borderId="53" xfId="5" applyFont="1" applyBorder="1" applyAlignment="1"/>
    <xf numFmtId="3" fontId="10" fillId="0" borderId="53" xfId="4" applyNumberFormat="1" applyFont="1" applyBorder="1" applyAlignment="1"/>
    <xf numFmtId="0" fontId="10" fillId="0" borderId="53" xfId="4" applyNumberFormat="1" applyFont="1" applyBorder="1" applyAlignment="1">
      <alignment horizontal="left"/>
    </xf>
    <xf numFmtId="0" fontId="10" fillId="0" borderId="53" xfId="5" applyFont="1" applyBorder="1" applyAlignment="1">
      <alignment horizontal="left"/>
    </xf>
    <xf numFmtId="0" fontId="31" fillId="0" borderId="0" xfId="1" applyFont="1"/>
    <xf numFmtId="3" fontId="32" fillId="0" borderId="1" xfId="1" applyNumberFormat="1" applyFont="1" applyBorder="1"/>
    <xf numFmtId="0" fontId="29" fillId="0" borderId="0" xfId="1" applyFont="1"/>
    <xf numFmtId="0" fontId="29" fillId="0" borderId="48" xfId="1" applyFont="1" applyBorder="1" applyAlignment="1">
      <alignment horizontal="center"/>
    </xf>
    <xf numFmtId="0" fontId="10" fillId="0" borderId="48" xfId="1" applyFont="1" applyFill="1" applyBorder="1"/>
    <xf numFmtId="0" fontId="22" fillId="0" borderId="0" xfId="1" applyFont="1" applyFill="1"/>
    <xf numFmtId="3" fontId="22" fillId="0" borderId="0" xfId="1" applyNumberFormat="1" applyFont="1" applyFill="1"/>
    <xf numFmtId="0" fontId="10" fillId="0" borderId="44" xfId="1" applyBorder="1"/>
    <xf numFmtId="0" fontId="23" fillId="0" borderId="0" xfId="1" applyFont="1" applyBorder="1"/>
    <xf numFmtId="0" fontId="23" fillId="0" borderId="0" xfId="1" applyFont="1"/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right"/>
    </xf>
    <xf numFmtId="0" fontId="30" fillId="0" borderId="0" xfId="5" applyFont="1"/>
    <xf numFmtId="0" fontId="20" fillId="0" borderId="0" xfId="5" applyFont="1" applyBorder="1" applyAlignment="1">
      <alignment wrapText="1"/>
    </xf>
    <xf numFmtId="0" fontId="30" fillId="0" borderId="0" xfId="4" applyFont="1" applyAlignment="1"/>
    <xf numFmtId="0" fontId="30" fillId="0" borderId="61" xfId="4" applyFont="1" applyBorder="1" applyAlignment="1"/>
    <xf numFmtId="3" fontId="30" fillId="0" borderId="52" xfId="4" applyNumberFormat="1" applyFont="1" applyBorder="1" applyAlignment="1"/>
    <xf numFmtId="3" fontId="30" fillId="0" borderId="55" xfId="4" applyNumberFormat="1" applyFont="1" applyBorder="1" applyAlignment="1"/>
    <xf numFmtId="3" fontId="30" fillId="0" borderId="6" xfId="4" applyNumberFormat="1" applyFont="1" applyBorder="1" applyAlignment="1"/>
    <xf numFmtId="3" fontId="30" fillId="0" borderId="62" xfId="4" applyNumberFormat="1" applyFont="1" applyBorder="1" applyAlignment="1"/>
    <xf numFmtId="3" fontId="33" fillId="0" borderId="15" xfId="4" applyNumberFormat="1" applyFont="1" applyBorder="1" applyAlignment="1"/>
    <xf numFmtId="0" fontId="29" fillId="0" borderId="0" xfId="5" applyFont="1"/>
    <xf numFmtId="0" fontId="29" fillId="0" borderId="61" xfId="5" applyFont="1" applyBorder="1" applyAlignment="1">
      <alignment horizontal="left" indent="2"/>
    </xf>
    <xf numFmtId="0" fontId="29" fillId="0" borderId="39" xfId="5" applyFont="1" applyBorder="1" applyAlignment="1">
      <alignment horizontal="left"/>
    </xf>
    <xf numFmtId="0" fontId="29" fillId="0" borderId="55" xfId="5" applyFont="1" applyBorder="1"/>
    <xf numFmtId="0" fontId="29" fillId="0" borderId="6" xfId="5" applyFont="1" applyBorder="1"/>
    <xf numFmtId="0" fontId="29" fillId="0" borderId="62" xfId="5" applyFont="1" applyBorder="1"/>
    <xf numFmtId="0" fontId="24" fillId="0" borderId="15" xfId="5" applyFont="1" applyBorder="1"/>
    <xf numFmtId="3" fontId="22" fillId="0" borderId="0" xfId="5" applyNumberFormat="1" applyFont="1" applyAlignment="1"/>
    <xf numFmtId="0" fontId="22" fillId="0" borderId="53" xfId="5" applyFont="1" applyBorder="1" applyAlignment="1">
      <alignment horizontal="center"/>
    </xf>
    <xf numFmtId="3" fontId="22" fillId="0" borderId="4" xfId="5" applyNumberFormat="1" applyFont="1" applyBorder="1" applyAlignment="1"/>
    <xf numFmtId="3" fontId="22" fillId="0" borderId="33" xfId="5" applyNumberFormat="1" applyFont="1" applyBorder="1" applyAlignment="1"/>
    <xf numFmtId="3" fontId="33" fillId="0" borderId="18" xfId="5" applyNumberFormat="1" applyFont="1" applyBorder="1" applyAlignment="1"/>
    <xf numFmtId="0" fontId="22" fillId="0" borderId="0" xfId="5" applyFont="1" applyAlignment="1"/>
    <xf numFmtId="0" fontId="22" fillId="0" borderId="39" xfId="4" applyNumberFormat="1" applyFont="1" applyBorder="1" applyAlignment="1">
      <alignment horizontal="left"/>
    </xf>
    <xf numFmtId="3" fontId="22" fillId="0" borderId="1" xfId="5" applyNumberFormat="1" applyFont="1" applyBorder="1" applyAlignment="1"/>
    <xf numFmtId="3" fontId="22" fillId="0" borderId="3" xfId="5" applyNumberFormat="1" applyFont="1" applyBorder="1" applyAlignment="1"/>
    <xf numFmtId="0" fontId="22" fillId="0" borderId="39" xfId="4" applyNumberFormat="1" applyFont="1" applyBorder="1" applyAlignment="1">
      <alignment horizontal="left" vertical="center" wrapText="1"/>
    </xf>
    <xf numFmtId="3" fontId="22" fillId="0" borderId="4" xfId="5" applyNumberFormat="1" applyFont="1" applyBorder="1" applyAlignment="1">
      <alignment vertical="center"/>
    </xf>
    <xf numFmtId="3" fontId="22" fillId="0" borderId="33" xfId="5" applyNumberFormat="1" applyFont="1" applyBorder="1" applyAlignment="1">
      <alignment vertical="center"/>
    </xf>
    <xf numFmtId="3" fontId="22" fillId="0" borderId="0" xfId="5" applyNumberFormat="1" applyFont="1" applyAlignment="1">
      <alignment vertical="center"/>
    </xf>
    <xf numFmtId="0" fontId="22" fillId="0" borderId="0" xfId="5" applyFont="1" applyAlignment="1">
      <alignment vertical="center"/>
    </xf>
    <xf numFmtId="0" fontId="22" fillId="0" borderId="63" xfId="4" applyNumberFormat="1" applyFont="1" applyBorder="1" applyAlignment="1">
      <alignment horizontal="left"/>
    </xf>
    <xf numFmtId="0" fontId="22" fillId="0" borderId="0" xfId="4" applyFont="1"/>
    <xf numFmtId="3" fontId="22" fillId="0" borderId="0" xfId="4" applyNumberFormat="1" applyFont="1"/>
    <xf numFmtId="0" fontId="29" fillId="0" borderId="48" xfId="4" applyFont="1" applyBorder="1" applyAlignment="1">
      <alignment horizontal="center"/>
    </xf>
    <xf numFmtId="0" fontId="29" fillId="0" borderId="42" xfId="4" applyNumberFormat="1" applyFont="1" applyBorder="1" applyAlignment="1">
      <alignment horizontal="center"/>
    </xf>
    <xf numFmtId="3" fontId="29" fillId="0" borderId="48" xfId="4" applyNumberFormat="1" applyFont="1" applyBorder="1"/>
    <xf numFmtId="3" fontId="29" fillId="0" borderId="41" xfId="4" applyNumberFormat="1" applyFont="1" applyBorder="1"/>
    <xf numFmtId="3" fontId="29" fillId="0" borderId="64" xfId="4" applyNumberFormat="1" applyFont="1" applyBorder="1"/>
    <xf numFmtId="3" fontId="33" fillId="0" borderId="16" xfId="5" applyNumberFormat="1" applyFont="1" applyBorder="1" applyAlignment="1"/>
    <xf numFmtId="3" fontId="18" fillId="0" borderId="0" xfId="5" applyNumberFormat="1" applyFont="1" applyAlignment="1"/>
    <xf numFmtId="3" fontId="29" fillId="0" borderId="42" xfId="4" applyNumberFormat="1" applyFont="1" applyBorder="1"/>
    <xf numFmtId="0" fontId="29" fillId="0" borderId="0" xfId="4" applyFont="1"/>
    <xf numFmtId="0" fontId="30" fillId="0" borderId="44" xfId="5" applyFont="1" applyBorder="1" applyAlignment="1">
      <alignment horizontal="center"/>
    </xf>
    <xf numFmtId="0" fontId="30" fillId="0" borderId="37" xfId="5" applyFont="1" applyBorder="1" applyAlignment="1">
      <alignment horizontal="center"/>
    </xf>
    <xf numFmtId="3" fontId="30" fillId="0" borderId="44" xfId="5" applyNumberFormat="1" applyFont="1" applyBorder="1"/>
    <xf numFmtId="3" fontId="30" fillId="0" borderId="36" xfId="5" applyNumberFormat="1" applyFont="1" applyBorder="1"/>
    <xf numFmtId="3" fontId="30" fillId="0" borderId="37" xfId="5" applyNumberFormat="1" applyFont="1" applyBorder="1"/>
    <xf numFmtId="3" fontId="33" fillId="0" borderId="17" xfId="5" applyNumberFormat="1" applyFont="1" applyBorder="1"/>
    <xf numFmtId="0" fontId="29" fillId="0" borderId="53" xfId="5" applyFont="1" applyBorder="1" applyAlignment="1">
      <alignment horizontal="left" indent="2"/>
    </xf>
    <xf numFmtId="0" fontId="29" fillId="0" borderId="52" xfId="5" applyFont="1" applyBorder="1"/>
    <xf numFmtId="0" fontId="22" fillId="0" borderId="39" xfId="5" applyFont="1" applyBorder="1" applyAlignment="1">
      <alignment horizontal="left"/>
    </xf>
    <xf numFmtId="3" fontId="22" fillId="0" borderId="29" xfId="5" applyNumberFormat="1" applyFont="1" applyBorder="1" applyAlignment="1"/>
    <xf numFmtId="3" fontId="22" fillId="0" borderId="39" xfId="5" applyNumberFormat="1" applyFont="1" applyBorder="1" applyAlignment="1"/>
    <xf numFmtId="3" fontId="22" fillId="0" borderId="0" xfId="4" applyNumberFormat="1" applyFont="1" applyAlignment="1"/>
    <xf numFmtId="3" fontId="29" fillId="0" borderId="48" xfId="4" applyNumberFormat="1" applyFont="1" applyBorder="1" applyAlignment="1"/>
    <xf numFmtId="3" fontId="29" fillId="0" borderId="41" xfId="4" applyNumberFormat="1" applyFont="1" applyBorder="1" applyAlignment="1"/>
    <xf numFmtId="3" fontId="29" fillId="0" borderId="42" xfId="4" applyNumberFormat="1" applyFont="1" applyBorder="1" applyAlignment="1"/>
    <xf numFmtId="0" fontId="29" fillId="0" borderId="0" xfId="4" applyFont="1" applyAlignment="1"/>
    <xf numFmtId="3" fontId="18" fillId="0" borderId="0" xfId="5" applyNumberFormat="1" applyFont="1"/>
    <xf numFmtId="0" fontId="29" fillId="5" borderId="47" xfId="6" applyFont="1" applyFill="1" applyBorder="1" applyAlignment="1">
      <alignment horizontal="center" vertical="center" wrapText="1"/>
    </xf>
    <xf numFmtId="0" fontId="29" fillId="0" borderId="0" xfId="4" applyFont="1" applyAlignment="1">
      <alignment vertical="center" wrapText="1"/>
    </xf>
    <xf numFmtId="0" fontId="18" fillId="5" borderId="49" xfId="6" applyFont="1" applyFill="1" applyBorder="1" applyAlignment="1">
      <alignment horizontal="center" vertical="center" wrapText="1"/>
    </xf>
    <xf numFmtId="0" fontId="18" fillId="5" borderId="51" xfId="6" applyFont="1" applyFill="1" applyBorder="1" applyAlignment="1">
      <alignment horizontal="center" vertical="center" wrapText="1"/>
    </xf>
    <xf numFmtId="0" fontId="18" fillId="0" borderId="0" xfId="4" applyFont="1" applyAlignment="1">
      <alignment vertical="center" wrapText="1"/>
    </xf>
    <xf numFmtId="0" fontId="18" fillId="0" borderId="53" xfId="5" applyFont="1" applyBorder="1" applyAlignment="1">
      <alignment horizontal="center"/>
    </xf>
    <xf numFmtId="3" fontId="18" fillId="0" borderId="1" xfId="5" applyNumberFormat="1" applyFont="1" applyBorder="1" applyAlignment="1"/>
    <xf numFmtId="3" fontId="18" fillId="0" borderId="39" xfId="5" applyNumberFormat="1" applyFont="1" applyBorder="1" applyAlignment="1"/>
    <xf numFmtId="0" fontId="18" fillId="0" borderId="0" xfId="5" applyFont="1" applyAlignment="1"/>
    <xf numFmtId="0" fontId="18" fillId="0" borderId="53" xfId="5" applyFont="1" applyBorder="1" applyAlignment="1">
      <alignment horizontal="center" vertical="center"/>
    </xf>
    <xf numFmtId="3" fontId="18" fillId="0" borderId="39" xfId="5" applyNumberFormat="1" applyFont="1" applyBorder="1" applyAlignment="1">
      <alignment vertical="center"/>
    </xf>
    <xf numFmtId="0" fontId="10" fillId="0" borderId="0" xfId="4" applyFont="1"/>
    <xf numFmtId="0" fontId="10" fillId="0" borderId="53" xfId="5" applyFont="1" applyBorder="1" applyAlignment="1">
      <alignment horizontal="center"/>
    </xf>
    <xf numFmtId="0" fontId="10" fillId="0" borderId="0" xfId="5" applyFont="1" applyAlignment="1"/>
    <xf numFmtId="3" fontId="18" fillId="0" borderId="0" xfId="4" applyNumberFormat="1" applyFont="1" applyAlignment="1"/>
    <xf numFmtId="0" fontId="18" fillId="0" borderId="0" xfId="4" applyFont="1" applyAlignment="1"/>
    <xf numFmtId="0" fontId="18" fillId="0" borderId="48" xfId="4" applyFont="1" applyBorder="1" applyAlignment="1">
      <alignment horizontal="center"/>
    </xf>
    <xf numFmtId="3" fontId="18" fillId="0" borderId="41" xfId="4" applyNumberFormat="1" applyFont="1" applyBorder="1" applyAlignment="1"/>
    <xf numFmtId="0" fontId="18" fillId="0" borderId="0" xfId="4" applyFont="1"/>
    <xf numFmtId="0" fontId="9" fillId="0" borderId="0" xfId="3" applyAlignment="1">
      <alignment vertical="center"/>
    </xf>
    <xf numFmtId="0" fontId="35" fillId="0" borderId="0" xfId="3" applyFont="1" applyAlignment="1">
      <alignment vertical="center"/>
    </xf>
    <xf numFmtId="0" fontId="2" fillId="0" borderId="17" xfId="3" applyFont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2" fillId="0" borderId="16" xfId="3" applyFont="1" applyBorder="1" applyAlignment="1">
      <alignment horizontal="center" vertical="center" wrapText="1"/>
    </xf>
    <xf numFmtId="0" fontId="2" fillId="0" borderId="48" xfId="3" applyFont="1" applyBorder="1" applyAlignment="1">
      <alignment horizontal="center" vertical="center" wrapText="1"/>
    </xf>
    <xf numFmtId="0" fontId="2" fillId="0" borderId="42" xfId="3" applyFont="1" applyBorder="1" applyAlignment="1">
      <alignment horizontal="center" vertical="center" wrapText="1"/>
    </xf>
    <xf numFmtId="0" fontId="2" fillId="8" borderId="43" xfId="3" applyFont="1" applyFill="1" applyBorder="1" applyAlignment="1">
      <alignment horizontal="center" vertical="center" wrapText="1"/>
    </xf>
    <xf numFmtId="0" fontId="2" fillId="8" borderId="42" xfId="3" applyFont="1" applyFill="1" applyBorder="1" applyAlignment="1">
      <alignment horizontal="center" vertical="center" wrapText="1"/>
    </xf>
    <xf numFmtId="3" fontId="7" fillId="8" borderId="4" xfId="3" applyNumberFormat="1" applyFont="1" applyFill="1" applyBorder="1" applyAlignment="1">
      <alignment vertical="center"/>
    </xf>
    <xf numFmtId="0" fontId="36" fillId="0" borderId="18" xfId="3" applyFont="1" applyBorder="1" applyAlignment="1">
      <alignment vertical="center"/>
    </xf>
    <xf numFmtId="3" fontId="3" fillId="0" borderId="0" xfId="3" applyNumberFormat="1" applyFont="1" applyAlignment="1">
      <alignment vertical="center"/>
    </xf>
    <xf numFmtId="3" fontId="10" fillId="0" borderId="0" xfId="4" applyNumberFormat="1" applyFont="1" applyBorder="1" applyAlignment="1"/>
    <xf numFmtId="3" fontId="10" fillId="0" borderId="37" xfId="1" applyNumberFormat="1" applyBorder="1"/>
    <xf numFmtId="3" fontId="10" fillId="0" borderId="39" xfId="1" applyNumberFormat="1" applyBorder="1"/>
    <xf numFmtId="3" fontId="10" fillId="0" borderId="29" xfId="1" applyNumberFormat="1" applyBorder="1"/>
    <xf numFmtId="3" fontId="32" fillId="0" borderId="29" xfId="1" applyNumberFormat="1" applyFont="1" applyBorder="1"/>
    <xf numFmtId="0" fontId="29" fillId="0" borderId="44" xfId="5" applyFont="1" applyBorder="1" applyAlignment="1">
      <alignment horizontal="left" indent="2"/>
    </xf>
    <xf numFmtId="0" fontId="29" fillId="0" borderId="36" xfId="5" applyFont="1" applyBorder="1"/>
    <xf numFmtId="0" fontId="29" fillId="0" borderId="37" xfId="5" applyFont="1" applyBorder="1"/>
    <xf numFmtId="0" fontId="31" fillId="0" borderId="48" xfId="4" applyFont="1" applyBorder="1" applyAlignment="1">
      <alignment horizontal="center"/>
    </xf>
    <xf numFmtId="0" fontId="18" fillId="0" borderId="44" xfId="4" applyFont="1" applyBorder="1" applyAlignment="1">
      <alignment horizontal="center"/>
    </xf>
    <xf numFmtId="3" fontId="18" fillId="0" borderId="36" xfId="4" applyNumberFormat="1" applyFont="1" applyBorder="1" applyAlignment="1"/>
    <xf numFmtId="3" fontId="3" fillId="2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3" fontId="22" fillId="0" borderId="0" xfId="5" applyNumberFormat="1" applyFont="1" applyBorder="1" applyAlignment="1"/>
    <xf numFmtId="3" fontId="29" fillId="0" borderId="0" xfId="4" applyNumberFormat="1" applyFont="1" applyBorder="1"/>
    <xf numFmtId="0" fontId="30" fillId="0" borderId="0" xfId="5" applyFont="1" applyBorder="1"/>
    <xf numFmtId="0" fontId="29" fillId="0" borderId="0" xfId="5" applyFont="1" applyBorder="1"/>
    <xf numFmtId="3" fontId="37" fillId="2" borderId="1" xfId="0" applyNumberFormat="1" applyFont="1" applyFill="1" applyBorder="1" applyAlignment="1">
      <alignment vertical="center"/>
    </xf>
    <xf numFmtId="0" fontId="37" fillId="0" borderId="1" xfId="0" applyFont="1" applyFill="1" applyBorder="1" applyAlignment="1">
      <alignment vertical="center" wrapText="1"/>
    </xf>
    <xf numFmtId="3" fontId="37" fillId="0" borderId="1" xfId="0" applyNumberFormat="1" applyFont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10" fillId="0" borderId="0" xfId="1"/>
    <xf numFmtId="0" fontId="12" fillId="0" borderId="1" xfId="1" applyFont="1" applyBorder="1"/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4" fillId="0" borderId="1" xfId="1" applyFont="1" applyBorder="1"/>
    <xf numFmtId="0" fontId="18" fillId="0" borderId="2" xfId="5" applyFont="1" applyBorder="1" applyAlignment="1">
      <alignment vertical="center"/>
    </xf>
    <xf numFmtId="3" fontId="14" fillId="0" borderId="1" xfId="1" applyNumberFormat="1" applyFont="1" applyBorder="1"/>
    <xf numFmtId="0" fontId="18" fillId="0" borderId="2" xfId="5" applyFont="1" applyBorder="1" applyAlignment="1">
      <alignment horizontal="center" vertical="center"/>
    </xf>
    <xf numFmtId="0" fontId="14" fillId="0" borderId="6" xfId="1" applyFont="1" applyBorder="1"/>
    <xf numFmtId="3" fontId="14" fillId="0" borderId="70" xfId="1" applyNumberFormat="1" applyFont="1" applyBorder="1"/>
    <xf numFmtId="164" fontId="26" fillId="0" borderId="1" xfId="1" applyNumberFormat="1" applyFont="1" applyFill="1" applyBorder="1" applyAlignment="1">
      <alignment horizontal="right" vertical="center" indent="1"/>
    </xf>
    <xf numFmtId="0" fontId="3" fillId="0" borderId="0" xfId="3" applyFont="1" applyFill="1" applyAlignment="1">
      <alignment vertical="center"/>
    </xf>
    <xf numFmtId="0" fontId="9" fillId="0" borderId="0" xfId="3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3" fontId="37" fillId="0" borderId="1" xfId="0" applyNumberFormat="1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vertical="center"/>
    </xf>
    <xf numFmtId="3" fontId="3" fillId="10" borderId="1" xfId="0" applyNumberFormat="1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horizontal="center" vertical="center"/>
    </xf>
    <xf numFmtId="3" fontId="37" fillId="10" borderId="1" xfId="0" applyNumberFormat="1" applyFont="1" applyFill="1" applyBorder="1" applyAlignment="1">
      <alignment vertical="center"/>
    </xf>
    <xf numFmtId="3" fontId="4" fillId="10" borderId="1" xfId="0" applyNumberFormat="1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3" fontId="38" fillId="10" borderId="1" xfId="0" applyNumberFormat="1" applyFont="1" applyFill="1" applyBorder="1" applyAlignment="1">
      <alignment vertical="center"/>
    </xf>
    <xf numFmtId="0" fontId="3" fillId="10" borderId="6" xfId="0" applyFont="1" applyFill="1" applyBorder="1" applyAlignment="1">
      <alignment vertical="center"/>
    </xf>
    <xf numFmtId="3" fontId="2" fillId="1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18" fillId="0" borderId="4" xfId="4" applyNumberFormat="1" applyFont="1" applyFill="1" applyBorder="1" applyAlignment="1"/>
    <xf numFmtId="3" fontId="10" fillId="0" borderId="4" xfId="4" applyNumberFormat="1" applyFont="1" applyFill="1" applyBorder="1" applyAlignment="1"/>
    <xf numFmtId="3" fontId="10" fillId="0" borderId="4" xfId="1" applyNumberFormat="1" applyFill="1" applyBorder="1"/>
    <xf numFmtId="3" fontId="10" fillId="0" borderId="43" xfId="1" applyNumberFormat="1" applyFont="1" applyFill="1" applyBorder="1"/>
    <xf numFmtId="0" fontId="23" fillId="0" borderId="0" xfId="1" applyFont="1" applyFill="1" applyAlignment="1"/>
    <xf numFmtId="3" fontId="10" fillId="0" borderId="35" xfId="1" applyNumberFormat="1" applyFill="1" applyBorder="1"/>
    <xf numFmtId="0" fontId="3" fillId="1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8" fillId="0" borderId="1" xfId="5" applyFont="1" applyFill="1" applyBorder="1" applyAlignment="1"/>
    <xf numFmtId="0" fontId="18" fillId="0" borderId="4" xfId="4" applyNumberFormat="1" applyFont="1" applyFill="1" applyBorder="1" applyAlignment="1"/>
    <xf numFmtId="0" fontId="10" fillId="0" borderId="4" xfId="1" applyFill="1" applyBorder="1"/>
    <xf numFmtId="0" fontId="10" fillId="0" borderId="4" xfId="4" applyNumberFormat="1" applyFont="1" applyFill="1" applyBorder="1" applyAlignment="1"/>
    <xf numFmtId="0" fontId="27" fillId="0" borderId="4" xfId="1" applyFont="1" applyBorder="1" applyAlignment="1">
      <alignment horizontal="left"/>
    </xf>
    <xf numFmtId="0" fontId="20" fillId="0" borderId="0" xfId="5" applyFont="1" applyBorder="1" applyAlignment="1">
      <alignment vertical="top" wrapText="1"/>
    </xf>
    <xf numFmtId="165" fontId="39" fillId="0" borderId="0" xfId="9" applyNumberFormat="1" applyFont="1" applyFill="1" applyBorder="1"/>
    <xf numFmtId="0" fontId="39" fillId="0" borderId="0" xfId="0" applyFont="1" applyFill="1" applyBorder="1"/>
    <xf numFmtId="165" fontId="41" fillId="0" borderId="0" xfId="9" applyNumberFormat="1" applyFont="1" applyFill="1" applyBorder="1"/>
    <xf numFmtId="0" fontId="41" fillId="0" borderId="0" xfId="0" applyFont="1" applyFill="1" applyBorder="1"/>
    <xf numFmtId="0" fontId="15" fillId="0" borderId="78" xfId="7" applyFont="1" applyFill="1" applyBorder="1" applyAlignment="1">
      <alignment wrapText="1"/>
    </xf>
    <xf numFmtId="165" fontId="15" fillId="0" borderId="78" xfId="9" applyNumberFormat="1" applyFont="1" applyFill="1" applyBorder="1"/>
    <xf numFmtId="0" fontId="15" fillId="0" borderId="78" xfId="7" applyFont="1" applyFill="1" applyBorder="1"/>
    <xf numFmtId="165" fontId="41" fillId="0" borderId="78" xfId="9" applyNumberFormat="1" applyFont="1" applyFill="1" applyBorder="1"/>
    <xf numFmtId="43" fontId="15" fillId="0" borderId="78" xfId="9" applyNumberFormat="1" applyFont="1" applyFill="1" applyBorder="1"/>
    <xf numFmtId="2" fontId="15" fillId="0" borderId="78" xfId="7" applyNumberFormat="1" applyFont="1" applyFill="1" applyBorder="1"/>
    <xf numFmtId="43" fontId="41" fillId="0" borderId="0" xfId="9" applyNumberFormat="1" applyFont="1" applyFill="1" applyBorder="1"/>
    <xf numFmtId="0" fontId="13" fillId="12" borderId="78" xfId="7" applyFont="1" applyFill="1" applyBorder="1" applyAlignment="1">
      <alignment wrapText="1"/>
    </xf>
    <xf numFmtId="165" fontId="13" fillId="12" borderId="78" xfId="9" applyNumberFormat="1" applyFont="1" applyFill="1" applyBorder="1"/>
    <xf numFmtId="0" fontId="13" fillId="12" borderId="78" xfId="7" applyFont="1" applyFill="1" applyBorder="1"/>
    <xf numFmtId="165" fontId="39" fillId="12" borderId="78" xfId="9" applyNumberFormat="1" applyFont="1" applyFill="1" applyBorder="1"/>
    <xf numFmtId="165" fontId="42" fillId="0" borderId="78" xfId="9" applyNumberFormat="1" applyFont="1" applyFill="1" applyBorder="1"/>
    <xf numFmtId="0" fontId="41" fillId="0" borderId="78" xfId="0" applyFont="1" applyFill="1" applyBorder="1" applyAlignment="1">
      <alignment wrapText="1"/>
    </xf>
    <xf numFmtId="0" fontId="39" fillId="12" borderId="78" xfId="0" applyFont="1" applyFill="1" applyBorder="1" applyAlignment="1">
      <alignment wrapText="1"/>
    </xf>
    <xf numFmtId="0" fontId="39" fillId="12" borderId="78" xfId="0" applyFont="1" applyFill="1" applyBorder="1"/>
    <xf numFmtId="0" fontId="41" fillId="0" borderId="78" xfId="0" applyFont="1" applyFill="1" applyBorder="1"/>
    <xf numFmtId="165" fontId="40" fillId="0" borderId="78" xfId="9" applyNumberFormat="1" applyFont="1" applyFill="1" applyBorder="1"/>
    <xf numFmtId="0" fontId="39" fillId="11" borderId="78" xfId="0" applyFont="1" applyFill="1" applyBorder="1" applyAlignment="1">
      <alignment wrapText="1"/>
    </xf>
    <xf numFmtId="165" fontId="39" fillId="11" borderId="78" xfId="9" applyNumberFormat="1" applyFont="1" applyFill="1" applyBorder="1"/>
    <xf numFmtId="0" fontId="39" fillId="11" borderId="78" xfId="0" applyFont="1" applyFill="1" applyBorder="1"/>
    <xf numFmtId="165" fontId="43" fillId="12" borderId="78" xfId="9" applyNumberFormat="1" applyFont="1" applyFill="1" applyBorder="1"/>
    <xf numFmtId="166" fontId="41" fillId="0" borderId="78" xfId="9" applyNumberFormat="1" applyFont="1" applyFill="1" applyBorder="1"/>
    <xf numFmtId="165" fontId="44" fillId="0" borderId="78" xfId="9" applyNumberFormat="1" applyFont="1" applyFill="1" applyBorder="1"/>
    <xf numFmtId="0" fontId="41" fillId="0" borderId="79" xfId="0" applyFont="1" applyFill="1" applyBorder="1" applyAlignment="1">
      <alignment wrapText="1"/>
    </xf>
    <xf numFmtId="165" fontId="41" fillId="0" borderId="79" xfId="9" applyNumberFormat="1" applyFont="1" applyFill="1" applyBorder="1"/>
    <xf numFmtId="0" fontId="41" fillId="0" borderId="79" xfId="0" applyFont="1" applyFill="1" applyBorder="1"/>
    <xf numFmtId="165" fontId="45" fillId="13" borderId="82" xfId="9" applyNumberFormat="1" applyFont="1" applyFill="1" applyBorder="1" applyAlignment="1">
      <alignment horizontal="center" wrapText="1"/>
    </xf>
    <xf numFmtId="165" fontId="45" fillId="13" borderId="83" xfId="9" applyNumberFormat="1" applyFont="1" applyFill="1" applyBorder="1"/>
    <xf numFmtId="0" fontId="41" fillId="0" borderId="0" xfId="0" applyFont="1" applyFill="1" applyBorder="1" applyAlignment="1">
      <alignment wrapText="1"/>
    </xf>
    <xf numFmtId="0" fontId="39" fillId="0" borderId="67" xfId="0" applyFont="1" applyFill="1" applyBorder="1" applyAlignment="1">
      <alignment horizontal="center" vertical="center" wrapText="1"/>
    </xf>
    <xf numFmtId="0" fontId="39" fillId="0" borderId="17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left" vertical="center" wrapText="1"/>
    </xf>
    <xf numFmtId="3" fontId="2" fillId="14" borderId="1" xfId="0" applyNumberFormat="1" applyFont="1" applyFill="1" applyBorder="1" applyAlignment="1">
      <alignment vertical="center" wrapText="1"/>
    </xf>
    <xf numFmtId="0" fontId="2" fillId="15" borderId="1" xfId="0" applyFont="1" applyFill="1" applyBorder="1" applyAlignment="1">
      <alignment vertical="center"/>
    </xf>
    <xf numFmtId="3" fontId="2" fillId="15" borderId="1" xfId="0" applyNumberFormat="1" applyFont="1" applyFill="1" applyBorder="1" applyAlignment="1">
      <alignment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vertical="center"/>
    </xf>
    <xf numFmtId="3" fontId="2" fillId="16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left" vertical="center"/>
    </xf>
    <xf numFmtId="3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vertical="center"/>
    </xf>
    <xf numFmtId="0" fontId="2" fillId="14" borderId="3" xfId="0" applyFont="1" applyFill="1" applyBorder="1" applyAlignment="1">
      <alignment horizontal="center" vertical="center" wrapText="1"/>
    </xf>
    <xf numFmtId="3" fontId="36" fillId="17" borderId="1" xfId="0" applyNumberFormat="1" applyFont="1" applyFill="1" applyBorder="1" applyAlignment="1">
      <alignment vertical="center"/>
    </xf>
    <xf numFmtId="3" fontId="46" fillId="17" borderId="1" xfId="0" applyNumberFormat="1" applyFont="1" applyFill="1" applyBorder="1" applyAlignment="1">
      <alignment vertical="center"/>
    </xf>
    <xf numFmtId="165" fontId="3" fillId="0" borderId="0" xfId="9" applyNumberFormat="1" applyFont="1" applyAlignment="1">
      <alignment vertical="center"/>
    </xf>
    <xf numFmtId="0" fontId="7" fillId="5" borderId="1" xfId="0" applyFont="1" applyFill="1" applyBorder="1" applyAlignment="1">
      <alignment horizontal="left" vertical="center"/>
    </xf>
    <xf numFmtId="3" fontId="2" fillId="16" borderId="1" xfId="0" applyNumberFormat="1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 wrapText="1"/>
    </xf>
    <xf numFmtId="0" fontId="47" fillId="17" borderId="78" xfId="0" applyFont="1" applyFill="1" applyBorder="1" applyAlignment="1">
      <alignment wrapText="1"/>
    </xf>
    <xf numFmtId="165" fontId="47" fillId="17" borderId="78" xfId="9" applyNumberFormat="1" applyFont="1" applyFill="1" applyBorder="1"/>
    <xf numFmtId="0" fontId="47" fillId="17" borderId="78" xfId="0" applyFont="1" applyFill="1" applyBorder="1"/>
    <xf numFmtId="0" fontId="7" fillId="2" borderId="1" xfId="0" applyFont="1" applyFill="1" applyBorder="1" applyAlignment="1">
      <alignment vertical="center"/>
    </xf>
    <xf numFmtId="43" fontId="3" fillId="0" borderId="0" xfId="9" applyFont="1" applyAlignment="1">
      <alignment vertical="center"/>
    </xf>
    <xf numFmtId="165" fontId="2" fillId="16" borderId="1" xfId="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165" fontId="3" fillId="0" borderId="0" xfId="9" applyNumberFormat="1" applyFont="1" applyBorder="1" applyAlignment="1">
      <alignment vertical="center"/>
    </xf>
    <xf numFmtId="3" fontId="7" fillId="0" borderId="0" xfId="0" applyNumberFormat="1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6" fillId="0" borderId="15" xfId="3" applyFont="1" applyBorder="1" applyAlignment="1">
      <alignment vertical="center"/>
    </xf>
    <xf numFmtId="3" fontId="7" fillId="7" borderId="15" xfId="3" applyNumberFormat="1" applyFont="1" applyFill="1" applyBorder="1" applyAlignment="1">
      <alignment vertical="center"/>
    </xf>
    <xf numFmtId="3" fontId="7" fillId="8" borderId="55" xfId="3" applyNumberFormat="1" applyFont="1" applyFill="1" applyBorder="1" applyAlignment="1">
      <alignment vertical="center"/>
    </xf>
    <xf numFmtId="3" fontId="7" fillId="8" borderId="6" xfId="3" applyNumberFormat="1" applyFont="1" applyFill="1" applyBorder="1" applyAlignment="1">
      <alignment vertical="center"/>
    </xf>
    <xf numFmtId="3" fontId="7" fillId="0" borderId="6" xfId="3" applyNumberFormat="1" applyFont="1" applyBorder="1" applyAlignment="1">
      <alignment vertical="center"/>
    </xf>
    <xf numFmtId="3" fontId="7" fillId="8" borderId="1" xfId="3" applyNumberFormat="1" applyFont="1" applyFill="1" applyBorder="1" applyAlignment="1">
      <alignment vertical="center"/>
    </xf>
    <xf numFmtId="3" fontId="7" fillId="8" borderId="52" xfId="3" applyNumberFormat="1" applyFont="1" applyFill="1" applyBorder="1" applyAlignment="1">
      <alignment vertical="center"/>
    </xf>
    <xf numFmtId="3" fontId="7" fillId="7" borderId="18" xfId="3" applyNumberFormat="1" applyFont="1" applyFill="1" applyBorder="1" applyAlignment="1">
      <alignment vertical="center"/>
    </xf>
    <xf numFmtId="3" fontId="7" fillId="0" borderId="1" xfId="3" applyNumberFormat="1" applyFont="1" applyBorder="1" applyAlignment="1">
      <alignment vertical="center"/>
    </xf>
    <xf numFmtId="3" fontId="7" fillId="8" borderId="39" xfId="3" applyNumberFormat="1" applyFont="1" applyFill="1" applyBorder="1" applyAlignment="1">
      <alignment vertical="center"/>
    </xf>
    <xf numFmtId="0" fontId="48" fillId="0" borderId="18" xfId="3" applyFont="1" applyBorder="1" applyAlignment="1">
      <alignment vertical="center"/>
    </xf>
    <xf numFmtId="0" fontId="36" fillId="0" borderId="18" xfId="3" applyFont="1" applyBorder="1" applyAlignment="1">
      <alignment vertical="center" wrapText="1"/>
    </xf>
    <xf numFmtId="0" fontId="36" fillId="0" borderId="18" xfId="3" applyFont="1" applyFill="1" applyBorder="1" applyAlignment="1">
      <alignment vertical="center"/>
    </xf>
    <xf numFmtId="3" fontId="7" fillId="0" borderId="1" xfId="3" applyNumberFormat="1" applyFont="1" applyFill="1" applyBorder="1" applyAlignment="1">
      <alignment vertical="center"/>
    </xf>
    <xf numFmtId="3" fontId="7" fillId="7" borderId="18" xfId="3" applyNumberFormat="1" applyFont="1" applyFill="1" applyBorder="1" applyAlignment="1">
      <alignment horizontal="right" vertical="center"/>
    </xf>
    <xf numFmtId="3" fontId="7" fillId="8" borderId="53" xfId="3" applyNumberFormat="1" applyFont="1" applyFill="1" applyBorder="1" applyAlignment="1">
      <alignment horizontal="right" vertical="center"/>
    </xf>
    <xf numFmtId="0" fontId="48" fillId="0" borderId="15" xfId="3" applyFont="1" applyBorder="1" applyAlignment="1">
      <alignment vertical="center"/>
    </xf>
    <xf numFmtId="3" fontId="7" fillId="7" borderId="15" xfId="3" applyNumberFormat="1" applyFont="1" applyFill="1" applyBorder="1" applyAlignment="1">
      <alignment horizontal="right" vertical="center"/>
    </xf>
    <xf numFmtId="3" fontId="49" fillId="7" borderId="18" xfId="3" applyNumberFormat="1" applyFont="1" applyFill="1" applyBorder="1" applyAlignment="1">
      <alignment vertical="center"/>
    </xf>
    <xf numFmtId="3" fontId="49" fillId="8" borderId="4" xfId="3" applyNumberFormat="1" applyFont="1" applyFill="1" applyBorder="1" applyAlignment="1">
      <alignment vertical="center"/>
    </xf>
    <xf numFmtId="3" fontId="49" fillId="0" borderId="1" xfId="3" applyNumberFormat="1" applyFont="1" applyBorder="1" applyAlignment="1">
      <alignment vertical="center"/>
    </xf>
    <xf numFmtId="3" fontId="49" fillId="0" borderId="1" xfId="3" applyNumberFormat="1" applyFont="1" applyFill="1" applyBorder="1" applyAlignment="1">
      <alignment vertical="center"/>
    </xf>
    <xf numFmtId="3" fontId="49" fillId="8" borderId="39" xfId="3" applyNumberFormat="1" applyFont="1" applyFill="1" applyBorder="1" applyAlignment="1">
      <alignment vertical="center"/>
    </xf>
    <xf numFmtId="3" fontId="49" fillId="8" borderId="1" xfId="3" applyNumberFormat="1" applyFont="1" applyFill="1" applyBorder="1" applyAlignment="1">
      <alignment vertical="center"/>
    </xf>
    <xf numFmtId="3" fontId="49" fillId="7" borderId="19" xfId="3" applyNumberFormat="1" applyFont="1" applyFill="1" applyBorder="1" applyAlignment="1">
      <alignment vertical="center"/>
    </xf>
    <xf numFmtId="3" fontId="49" fillId="8" borderId="60" xfId="3" applyNumberFormat="1" applyFont="1" applyFill="1" applyBorder="1" applyAlignment="1">
      <alignment vertical="center"/>
    </xf>
    <xf numFmtId="3" fontId="49" fillId="8" borderId="2" xfId="3" applyNumberFormat="1" applyFont="1" applyFill="1" applyBorder="1" applyAlignment="1">
      <alignment vertical="center"/>
    </xf>
    <xf numFmtId="3" fontId="49" fillId="0" borderId="2" xfId="3" applyNumberFormat="1" applyFont="1" applyBorder="1" applyAlignment="1">
      <alignment vertical="center"/>
    </xf>
    <xf numFmtId="3" fontId="49" fillId="8" borderId="63" xfId="3" applyNumberFormat="1" applyFont="1" applyFill="1" applyBorder="1" applyAlignment="1">
      <alignment vertical="center"/>
    </xf>
    <xf numFmtId="0" fontId="50" fillId="0" borderId="67" xfId="3" applyFont="1" applyBorder="1" applyAlignment="1">
      <alignment horizontal="center" vertical="center"/>
    </xf>
    <xf numFmtId="3" fontId="50" fillId="0" borderId="67" xfId="3" applyNumberFormat="1" applyFont="1" applyBorder="1" applyAlignment="1">
      <alignment vertical="center"/>
    </xf>
    <xf numFmtId="3" fontId="50" fillId="0" borderId="58" xfId="3" applyNumberFormat="1" applyFont="1" applyBorder="1" applyAlignment="1">
      <alignment vertical="center"/>
    </xf>
    <xf numFmtId="3" fontId="50" fillId="0" borderId="50" xfId="3" applyNumberFormat="1" applyFont="1" applyBorder="1" applyAlignment="1">
      <alignment vertical="center"/>
    </xf>
    <xf numFmtId="3" fontId="50" fillId="0" borderId="24" xfId="3" applyNumberFormat="1" applyFont="1" applyBorder="1" applyAlignment="1">
      <alignment vertical="center"/>
    </xf>
    <xf numFmtId="0" fontId="50" fillId="0" borderId="0" xfId="3" applyFont="1" applyBorder="1" applyAlignment="1">
      <alignment horizontal="center" vertical="center"/>
    </xf>
    <xf numFmtId="3" fontId="50" fillId="0" borderId="0" xfId="3" applyNumberFormat="1" applyFont="1" applyBorder="1" applyAlignment="1">
      <alignment vertical="center"/>
    </xf>
    <xf numFmtId="49" fontId="2" fillId="9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9" fontId="14" fillId="7" borderId="4" xfId="1" applyNumberFormat="1" applyFont="1" applyFill="1" applyBorder="1" applyAlignment="1">
      <alignment horizontal="center" vertical="center"/>
    </xf>
    <xf numFmtId="0" fontId="18" fillId="7" borderId="1" xfId="5" applyFont="1" applyFill="1" applyBorder="1" applyAlignment="1"/>
    <xf numFmtId="3" fontId="14" fillId="7" borderId="1" xfId="1" applyNumberFormat="1" applyFont="1" applyFill="1" applyBorder="1" applyAlignment="1">
      <alignment horizontal="right" vertical="center" wrapText="1"/>
    </xf>
    <xf numFmtId="3" fontId="14" fillId="7" borderId="39" xfId="1" applyNumberFormat="1" applyFont="1" applyFill="1" applyBorder="1" applyAlignment="1">
      <alignment horizontal="right" vertical="center" wrapText="1"/>
    </xf>
    <xf numFmtId="49" fontId="14" fillId="7" borderId="4" xfId="1" applyNumberFormat="1" applyFont="1" applyFill="1" applyBorder="1"/>
    <xf numFmtId="0" fontId="14" fillId="7" borderId="1" xfId="1" applyFont="1" applyFill="1" applyBorder="1"/>
    <xf numFmtId="0" fontId="12" fillId="7" borderId="38" xfId="1" applyFont="1" applyFill="1" applyBorder="1" applyAlignment="1">
      <alignment horizontal="center" vertical="center"/>
    </xf>
    <xf numFmtId="0" fontId="14" fillId="7" borderId="38" xfId="1" applyFont="1" applyFill="1" applyBorder="1"/>
    <xf numFmtId="49" fontId="14" fillId="17" borderId="43" xfId="1" applyNumberFormat="1" applyFont="1" applyFill="1" applyBorder="1"/>
    <xf numFmtId="0" fontId="12" fillId="17" borderId="41" xfId="1" applyFont="1" applyFill="1" applyBorder="1" applyAlignment="1">
      <alignment horizontal="center"/>
    </xf>
    <xf numFmtId="3" fontId="12" fillId="17" borderId="41" xfId="1" applyNumberFormat="1" applyFont="1" applyFill="1" applyBorder="1"/>
    <xf numFmtId="0" fontId="14" fillId="17" borderId="40" xfId="1" applyFont="1" applyFill="1" applyBorder="1"/>
    <xf numFmtId="3" fontId="12" fillId="17" borderId="42" xfId="1" applyNumberFormat="1" applyFont="1" applyFill="1" applyBorder="1"/>
    <xf numFmtId="3" fontId="10" fillId="0" borderId="39" xfId="1" applyNumberFormat="1" applyBorder="1" applyAlignment="1">
      <alignment vertical="center"/>
    </xf>
    <xf numFmtId="3" fontId="31" fillId="0" borderId="1" xfId="1" applyNumberFormat="1" applyFont="1" applyBorder="1" applyAlignment="1"/>
    <xf numFmtId="0" fontId="10" fillId="0" borderId="48" xfId="1" applyBorder="1"/>
    <xf numFmtId="3" fontId="10" fillId="0" borderId="42" xfId="1" applyNumberFormat="1" applyBorder="1"/>
    <xf numFmtId="3" fontId="32" fillId="0" borderId="39" xfId="1" applyNumberFormat="1" applyFont="1" applyBorder="1"/>
    <xf numFmtId="0" fontId="10" fillId="0" borderId="44" xfId="4" applyNumberFormat="1" applyFont="1" applyBorder="1" applyAlignment="1">
      <alignment horizontal="left"/>
    </xf>
    <xf numFmtId="3" fontId="30" fillId="0" borderId="36" xfId="4" applyNumberFormat="1" applyFont="1" applyBorder="1" applyAlignment="1">
      <alignment vertical="center"/>
    </xf>
    <xf numFmtId="3" fontId="10" fillId="0" borderId="37" xfId="1" applyNumberFormat="1" applyBorder="1" applyAlignment="1">
      <alignment vertical="center"/>
    </xf>
    <xf numFmtId="3" fontId="10" fillId="0" borderId="1" xfId="5" applyNumberFormat="1" applyFont="1" applyFill="1" applyBorder="1" applyAlignment="1"/>
    <xf numFmtId="3" fontId="10" fillId="0" borderId="1" xfId="4" applyNumberFormat="1" applyFont="1" applyFill="1" applyBorder="1" applyAlignment="1"/>
    <xf numFmtId="3" fontId="10" fillId="0" borderId="41" xfId="1" applyNumberFormat="1" applyFill="1" applyBorder="1"/>
    <xf numFmtId="0" fontId="29" fillId="0" borderId="59" xfId="1" applyFont="1" applyBorder="1" applyAlignment="1">
      <alignment horizontal="center"/>
    </xf>
    <xf numFmtId="3" fontId="31" fillId="0" borderId="60" xfId="1" applyNumberFormat="1" applyFont="1" applyFill="1" applyBorder="1" applyAlignment="1"/>
    <xf numFmtId="3" fontId="32" fillId="0" borderId="30" xfId="1" applyNumberFormat="1" applyFont="1" applyBorder="1"/>
    <xf numFmtId="3" fontId="10" fillId="0" borderId="42" xfId="1" applyNumberFormat="1" applyFont="1" applyFill="1" applyBorder="1"/>
    <xf numFmtId="3" fontId="29" fillId="0" borderId="41" xfId="1" applyNumberFormat="1" applyFont="1" applyBorder="1"/>
    <xf numFmtId="3" fontId="29" fillId="0" borderId="42" xfId="1" applyNumberFormat="1" applyFont="1" applyBorder="1"/>
    <xf numFmtId="0" fontId="24" fillId="0" borderId="53" xfId="1" applyFont="1" applyBorder="1" applyAlignment="1">
      <alignment horizontal="center"/>
    </xf>
    <xf numFmtId="0" fontId="24" fillId="0" borderId="59" xfId="1" applyFont="1" applyBorder="1" applyAlignment="1">
      <alignment horizontal="center"/>
    </xf>
    <xf numFmtId="3" fontId="31" fillId="0" borderId="2" xfId="1" applyNumberFormat="1" applyFont="1" applyBorder="1" applyAlignment="1"/>
    <xf numFmtId="3" fontId="32" fillId="0" borderId="63" xfId="1" applyNumberFormat="1" applyFont="1" applyBorder="1"/>
    <xf numFmtId="3" fontId="22" fillId="0" borderId="1" xfId="4" applyNumberFormat="1" applyFont="1" applyBorder="1" applyAlignment="1">
      <alignment vertical="center"/>
    </xf>
    <xf numFmtId="3" fontId="10" fillId="0" borderId="39" xfId="1" applyNumberFormat="1" applyFont="1" applyBorder="1" applyAlignment="1">
      <alignment vertical="center"/>
    </xf>
    <xf numFmtId="3" fontId="10" fillId="0" borderId="55" xfId="1" applyNumberFormat="1" applyFont="1" applyFill="1" applyBorder="1"/>
    <xf numFmtId="3" fontId="10" fillId="0" borderId="1" xfId="1" applyNumberFormat="1" applyFont="1" applyFill="1" applyBorder="1"/>
    <xf numFmtId="3" fontId="10" fillId="0" borderId="1" xfId="1" applyNumberFormat="1" applyFont="1" applyBorder="1"/>
    <xf numFmtId="3" fontId="22" fillId="0" borderId="4" xfId="4" applyNumberFormat="1" applyFont="1" applyFill="1" applyBorder="1" applyAlignment="1">
      <alignment vertical="center"/>
    </xf>
    <xf numFmtId="3" fontId="10" fillId="0" borderId="1" xfId="1" applyNumberFormat="1" applyFont="1" applyBorder="1" applyAlignment="1">
      <alignment vertical="center"/>
    </xf>
    <xf numFmtId="0" fontId="32" fillId="0" borderId="53" xfId="1" applyFont="1" applyBorder="1" applyAlignment="1">
      <alignment horizontal="center"/>
    </xf>
    <xf numFmtId="3" fontId="32" fillId="0" borderId="4" xfId="1" applyNumberFormat="1" applyFont="1" applyFill="1" applyBorder="1" applyAlignment="1"/>
    <xf numFmtId="3" fontId="32" fillId="0" borderId="1" xfId="1" applyNumberFormat="1" applyFont="1" applyBorder="1" applyAlignment="1"/>
    <xf numFmtId="3" fontId="32" fillId="0" borderId="1" xfId="1" applyNumberFormat="1" applyFont="1" applyFill="1" applyBorder="1" applyAlignment="1"/>
    <xf numFmtId="0" fontId="24" fillId="6" borderId="0" xfId="1" applyFont="1" applyFill="1" applyAlignment="1">
      <alignment vertical="center"/>
    </xf>
    <xf numFmtId="3" fontId="24" fillId="6" borderId="0" xfId="1" applyNumberFormat="1" applyFont="1" applyFill="1" applyAlignment="1">
      <alignment vertical="center"/>
    </xf>
    <xf numFmtId="0" fontId="10" fillId="7" borderId="48" xfId="1" applyFont="1" applyFill="1" applyBorder="1"/>
    <xf numFmtId="3" fontId="10" fillId="7" borderId="43" xfId="1" applyNumberFormat="1" applyFont="1" applyFill="1" applyBorder="1"/>
    <xf numFmtId="3" fontId="10" fillId="7" borderId="42" xfId="1" applyNumberFormat="1" applyFont="1" applyFill="1" applyBorder="1"/>
    <xf numFmtId="0" fontId="10" fillId="7" borderId="58" xfId="1" applyFont="1" applyFill="1" applyBorder="1"/>
    <xf numFmtId="3" fontId="10" fillId="7" borderId="41" xfId="1" applyNumberFormat="1" applyFont="1" applyFill="1" applyBorder="1"/>
    <xf numFmtId="0" fontId="24" fillId="17" borderId="48" xfId="1" applyFont="1" applyFill="1" applyBorder="1" applyAlignment="1">
      <alignment horizontal="left"/>
    </xf>
    <xf numFmtId="3" fontId="24" fillId="17" borderId="41" xfId="1" applyNumberFormat="1" applyFont="1" applyFill="1" applyBorder="1"/>
    <xf numFmtId="3" fontId="24" fillId="17" borderId="42" xfId="1" applyNumberFormat="1" applyFont="1" applyFill="1" applyBorder="1"/>
    <xf numFmtId="4" fontId="18" fillId="0" borderId="0" xfId="5" applyNumberFormat="1" applyFont="1" applyAlignment="1"/>
    <xf numFmtId="165" fontId="18" fillId="0" borderId="0" xfId="9" applyNumberFormat="1" applyFont="1"/>
    <xf numFmtId="165" fontId="30" fillId="0" borderId="0" xfId="9" applyNumberFormat="1" applyFont="1"/>
    <xf numFmtId="165" fontId="23" fillId="0" borderId="0" xfId="9" applyNumberFormat="1" applyFont="1" applyAlignment="1">
      <alignment vertical="center" wrapText="1"/>
    </xf>
    <xf numFmtId="165" fontId="20" fillId="0" borderId="0" xfId="9" applyNumberFormat="1" applyFont="1" applyAlignment="1">
      <alignment vertical="center" wrapText="1"/>
    </xf>
    <xf numFmtId="165" fontId="30" fillId="0" borderId="0" xfId="9" applyNumberFormat="1" applyFont="1" applyAlignment="1"/>
    <xf numFmtId="165" fontId="29" fillId="0" borderId="0" xfId="9" applyNumberFormat="1" applyFont="1"/>
    <xf numFmtId="165" fontId="22" fillId="0" borderId="0" xfId="9" applyNumberFormat="1" applyFont="1" applyAlignment="1"/>
    <xf numFmtId="165" fontId="22" fillId="0" borderId="0" xfId="9" applyNumberFormat="1" applyFont="1" applyAlignment="1">
      <alignment vertical="center"/>
    </xf>
    <xf numFmtId="165" fontId="22" fillId="0" borderId="0" xfId="9" applyNumberFormat="1" applyFont="1"/>
    <xf numFmtId="165" fontId="18" fillId="0" borderId="0" xfId="9" applyNumberFormat="1" applyFont="1" applyAlignment="1"/>
    <xf numFmtId="3" fontId="30" fillId="0" borderId="1" xfId="4" applyNumberFormat="1" applyFont="1" applyBorder="1" applyAlignment="1"/>
    <xf numFmtId="0" fontId="30" fillId="0" borderId="1" xfId="4" applyFont="1" applyBorder="1" applyAlignment="1"/>
    <xf numFmtId="3" fontId="18" fillId="0" borderId="1" xfId="4" applyNumberFormat="1" applyFont="1" applyBorder="1" applyAlignment="1">
      <alignment horizontal="right" indent="2"/>
    </xf>
    <xf numFmtId="3" fontId="32" fillId="0" borderId="1" xfId="4" applyNumberFormat="1" applyFont="1" applyBorder="1" applyAlignment="1">
      <alignment horizontal="right" indent="2"/>
    </xf>
    <xf numFmtId="3" fontId="22" fillId="0" borderId="1" xfId="4" applyNumberFormat="1" applyFont="1" applyBorder="1" applyAlignment="1">
      <alignment horizontal="right" indent="2"/>
    </xf>
    <xf numFmtId="0" fontId="22" fillId="0" borderId="1" xfId="4" applyFont="1" applyBorder="1"/>
    <xf numFmtId="0" fontId="18" fillId="0" borderId="1" xfId="4" applyFont="1" applyBorder="1"/>
    <xf numFmtId="3" fontId="30" fillId="0" borderId="1" xfId="4" applyNumberFormat="1" applyFont="1" applyBorder="1" applyAlignment="1">
      <alignment horizontal="right" indent="2"/>
    </xf>
    <xf numFmtId="0" fontId="30" fillId="0" borderId="1" xfId="4" applyFont="1" applyBorder="1"/>
    <xf numFmtId="0" fontId="30" fillId="0" borderId="53" xfId="4" applyNumberFormat="1" applyFont="1" applyBorder="1" applyAlignment="1"/>
    <xf numFmtId="0" fontId="30" fillId="0" borderId="39" xfId="4" applyFont="1" applyBorder="1" applyAlignment="1"/>
    <xf numFmtId="0" fontId="18" fillId="0" borderId="53" xfId="4" applyNumberFormat="1" applyFont="1" applyBorder="1" applyAlignment="1">
      <alignment horizontal="left" indent="1"/>
    </xf>
    <xf numFmtId="3" fontId="18" fillId="0" borderId="39" xfId="4" applyNumberFormat="1" applyFont="1" applyBorder="1" applyAlignment="1">
      <alignment horizontal="right" indent="2"/>
    </xf>
    <xf numFmtId="0" fontId="32" fillId="0" borderId="53" xfId="4" applyNumberFormat="1" applyFont="1" applyBorder="1" applyAlignment="1">
      <alignment horizontal="center"/>
    </xf>
    <xf numFmtId="3" fontId="32" fillId="0" borderId="39" xfId="4" applyNumberFormat="1" applyFont="1" applyBorder="1" applyAlignment="1">
      <alignment horizontal="right" indent="2"/>
    </xf>
    <xf numFmtId="0" fontId="22" fillId="0" borderId="53" xfId="4" applyNumberFormat="1" applyFont="1" applyBorder="1" applyAlignment="1">
      <alignment horizontal="center"/>
    </xf>
    <xf numFmtId="0" fontId="22" fillId="0" borderId="39" xfId="4" applyFont="1" applyBorder="1"/>
    <xf numFmtId="0" fontId="18" fillId="0" borderId="39" xfId="4" applyFont="1" applyBorder="1"/>
    <xf numFmtId="0" fontId="30" fillId="0" borderId="53" xfId="4" applyNumberFormat="1" applyFont="1" applyBorder="1" applyAlignment="1">
      <alignment horizontal="left" indent="1"/>
    </xf>
    <xf numFmtId="0" fontId="30" fillId="0" borderId="39" xfId="4" applyFont="1" applyBorder="1"/>
    <xf numFmtId="0" fontId="29" fillId="0" borderId="48" xfId="4" applyNumberFormat="1" applyFont="1" applyBorder="1" applyAlignment="1">
      <alignment horizontal="left"/>
    </xf>
    <xf numFmtId="3" fontId="29" fillId="0" borderId="41" xfId="4" applyNumberFormat="1" applyFont="1" applyBorder="1" applyAlignment="1">
      <alignment horizontal="right" indent="2"/>
    </xf>
    <xf numFmtId="3" fontId="29" fillId="0" borderId="42" xfId="4" applyNumberFormat="1" applyFont="1" applyBorder="1" applyAlignment="1">
      <alignment horizontal="right" indent="2"/>
    </xf>
    <xf numFmtId="3" fontId="10" fillId="0" borderId="47" xfId="1" applyNumberFormat="1" applyFont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6" fillId="16" borderId="1" xfId="0" applyNumberFormat="1" applyFont="1" applyFill="1" applyBorder="1" applyAlignment="1">
      <alignment vertical="center" wrapText="1"/>
    </xf>
    <xf numFmtId="3" fontId="36" fillId="14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36" fillId="0" borderId="1" xfId="0" applyNumberFormat="1" applyFont="1" applyFill="1" applyBorder="1" applyAlignment="1">
      <alignment vertical="center" wrapText="1"/>
    </xf>
    <xf numFmtId="3" fontId="36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36" fillId="0" borderId="1" xfId="0" applyNumberFormat="1" applyFont="1" applyBorder="1" applyAlignment="1">
      <alignment vertical="center"/>
    </xf>
    <xf numFmtId="3" fontId="7" fillId="4" borderId="1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165" fontId="7" fillId="0" borderId="0" xfId="9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7" fillId="0" borderId="3" xfId="0" applyNumberFormat="1" applyFont="1" applyFill="1" applyBorder="1" applyAlignment="1">
      <alignment vertical="center" wrapText="1"/>
    </xf>
    <xf numFmtId="3" fontId="46" fillId="17" borderId="3" xfId="0" applyNumberFormat="1" applyFont="1" applyFill="1" applyBorder="1" applyAlignment="1">
      <alignment vertical="center"/>
    </xf>
    <xf numFmtId="43" fontId="3" fillId="0" borderId="0" xfId="9" applyFont="1" applyBorder="1" applyAlignment="1">
      <alignment vertical="center"/>
    </xf>
    <xf numFmtId="10" fontId="3" fillId="0" borderId="0" xfId="9" applyNumberFormat="1" applyFont="1" applyBorder="1" applyAlignment="1">
      <alignment vertical="center"/>
    </xf>
    <xf numFmtId="0" fontId="54" fillId="0" borderId="0" xfId="0" applyFont="1" applyFill="1" applyBorder="1"/>
    <xf numFmtId="3" fontId="57" fillId="0" borderId="0" xfId="0" applyNumberFormat="1" applyFont="1" applyFill="1" applyBorder="1"/>
    <xf numFmtId="167" fontId="54" fillId="0" borderId="0" xfId="0" applyNumberFormat="1" applyFont="1" applyFill="1" applyBorder="1" applyAlignment="1">
      <alignment horizontal="center"/>
    </xf>
    <xf numFmtId="3" fontId="57" fillId="17" borderId="0" xfId="0" applyNumberFormat="1" applyFont="1" applyFill="1" applyBorder="1"/>
    <xf numFmtId="3" fontId="55" fillId="0" borderId="0" xfId="0" applyNumberFormat="1" applyFont="1" applyFill="1" applyBorder="1"/>
    <xf numFmtId="0" fontId="15" fillId="0" borderId="0" xfId="0" applyFont="1" applyFill="1" applyBorder="1"/>
    <xf numFmtId="0" fontId="56" fillId="0" borderId="0" xfId="0" applyFont="1" applyFill="1" applyBorder="1"/>
    <xf numFmtId="3" fontId="56" fillId="0" borderId="0" xfId="0" applyNumberFormat="1" applyFont="1" applyFill="1" applyBorder="1"/>
    <xf numFmtId="3" fontId="3" fillId="0" borderId="0" xfId="0" applyNumberFormat="1" applyFont="1" applyBorder="1" applyAlignment="1">
      <alignment vertical="center" wrapText="1"/>
    </xf>
    <xf numFmtId="3" fontId="36" fillId="14" borderId="3" xfId="0" applyNumberFormat="1" applyFont="1" applyFill="1" applyBorder="1" applyAlignment="1">
      <alignment vertical="center" wrapText="1"/>
    </xf>
    <xf numFmtId="3" fontId="7" fillId="0" borderId="3" xfId="0" applyNumberFormat="1" applyFont="1" applyBorder="1" applyAlignment="1">
      <alignment vertical="center" wrapText="1"/>
    </xf>
    <xf numFmtId="3" fontId="7" fillId="2" borderId="3" xfId="0" applyNumberFormat="1" applyFont="1" applyFill="1" applyBorder="1" applyAlignment="1">
      <alignment horizontal="right" vertical="center" wrapText="1"/>
    </xf>
    <xf numFmtId="3" fontId="7" fillId="0" borderId="3" xfId="0" applyNumberFormat="1" applyFont="1" applyBorder="1" applyAlignment="1">
      <alignment vertical="center"/>
    </xf>
    <xf numFmtId="3" fontId="7" fillId="2" borderId="3" xfId="0" applyNumberFormat="1" applyFont="1" applyFill="1" applyBorder="1" applyAlignment="1">
      <alignment vertical="center" wrapText="1"/>
    </xf>
    <xf numFmtId="3" fontId="36" fillId="2" borderId="3" xfId="0" applyNumberFormat="1" applyFont="1" applyFill="1" applyBorder="1" applyAlignment="1">
      <alignment vertical="center" wrapText="1"/>
    </xf>
    <xf numFmtId="3" fontId="7" fillId="2" borderId="3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3" fontId="36" fillId="0" borderId="3" xfId="0" applyNumberFormat="1" applyFont="1" applyBorder="1" applyAlignment="1">
      <alignment vertical="center"/>
    </xf>
    <xf numFmtId="3" fontId="7" fillId="4" borderId="3" xfId="0" applyNumberFormat="1" applyFont="1" applyFill="1" applyBorder="1" applyAlignment="1">
      <alignment vertical="center"/>
    </xf>
    <xf numFmtId="165" fontId="7" fillId="0" borderId="0" xfId="0" applyNumberFormat="1" applyFont="1" applyAlignment="1">
      <alignment vertical="center"/>
    </xf>
    <xf numFmtId="0" fontId="49" fillId="0" borderId="0" xfId="0" applyFont="1" applyBorder="1" applyAlignment="1"/>
    <xf numFmtId="49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0" fontId="7" fillId="0" borderId="5" xfId="0" applyFont="1" applyBorder="1" applyAlignment="1">
      <alignment vertical="center"/>
    </xf>
    <xf numFmtId="3" fontId="10" fillId="0" borderId="6" xfId="1" applyNumberFormat="1" applyFont="1" applyFill="1" applyBorder="1"/>
    <xf numFmtId="3" fontId="10" fillId="0" borderId="52" xfId="1" applyNumberFormat="1" applyBorder="1"/>
    <xf numFmtId="0" fontId="10" fillId="0" borderId="61" xfId="1" applyFont="1" applyBorder="1"/>
    <xf numFmtId="0" fontId="10" fillId="0" borderId="61" xfId="1" applyBorder="1"/>
    <xf numFmtId="3" fontId="10" fillId="0" borderId="6" xfId="1" applyNumberFormat="1" applyFill="1" applyBorder="1"/>
    <xf numFmtId="0" fontId="20" fillId="0" borderId="0" xfId="5" applyFont="1" applyBorder="1" applyAlignment="1">
      <alignment wrapText="1"/>
    </xf>
    <xf numFmtId="49" fontId="2" fillId="9" borderId="1" xfId="0" applyNumberFormat="1" applyFont="1" applyFill="1" applyBorder="1" applyAlignment="1">
      <alignment horizontal="center" vertical="center" wrapText="1"/>
    </xf>
    <xf numFmtId="0" fontId="29" fillId="0" borderId="86" xfId="5" applyFont="1" applyBorder="1" applyAlignment="1">
      <alignment horizontal="left"/>
    </xf>
    <xf numFmtId="0" fontId="18" fillId="0" borderId="3" xfId="5" applyFont="1" applyBorder="1" applyAlignment="1"/>
    <xf numFmtId="0" fontId="18" fillId="0" borderId="3" xfId="4" applyNumberFormat="1" applyFont="1" applyBorder="1" applyAlignment="1">
      <alignment horizontal="left"/>
    </xf>
    <xf numFmtId="0" fontId="10" fillId="0" borderId="72" xfId="4" applyNumberFormat="1" applyFont="1" applyBorder="1" applyAlignment="1">
      <alignment horizontal="left"/>
    </xf>
    <xf numFmtId="0" fontId="24" fillId="0" borderId="64" xfId="4" applyNumberFormat="1" applyFont="1" applyBorder="1" applyAlignment="1">
      <alignment horizontal="center"/>
    </xf>
    <xf numFmtId="0" fontId="18" fillId="0" borderId="3" xfId="5" applyFont="1" applyBorder="1" applyAlignment="1">
      <alignment horizontal="left" indent="2"/>
    </xf>
    <xf numFmtId="0" fontId="29" fillId="0" borderId="64" xfId="4" applyNumberFormat="1" applyFont="1" applyBorder="1" applyAlignment="1">
      <alignment horizontal="center"/>
    </xf>
    <xf numFmtId="0" fontId="18" fillId="0" borderId="86" xfId="4" applyNumberFormat="1" applyFont="1" applyBorder="1" applyAlignment="1"/>
    <xf numFmtId="0" fontId="18" fillId="0" borderId="64" xfId="4" applyNumberFormat="1" applyFont="1" applyBorder="1" applyAlignment="1"/>
    <xf numFmtId="0" fontId="29" fillId="5" borderId="57" xfId="6" applyFont="1" applyFill="1" applyBorder="1" applyAlignment="1">
      <alignment horizontal="center" vertical="center" wrapText="1"/>
    </xf>
    <xf numFmtId="0" fontId="29" fillId="0" borderId="35" xfId="5" applyFont="1" applyBorder="1"/>
    <xf numFmtId="3" fontId="18" fillId="0" borderId="4" xfId="5" applyNumberFormat="1" applyFont="1" applyBorder="1" applyAlignment="1"/>
    <xf numFmtId="3" fontId="18" fillId="0" borderId="4" xfId="5" applyNumberFormat="1" applyFont="1" applyBorder="1" applyAlignment="1">
      <alignment vertical="center"/>
    </xf>
    <xf numFmtId="3" fontId="29" fillId="0" borderId="43" xfId="4" applyNumberFormat="1" applyFont="1" applyBorder="1"/>
    <xf numFmtId="3" fontId="29" fillId="0" borderId="43" xfId="4" applyNumberFormat="1" applyFont="1" applyBorder="1" applyAlignment="1"/>
    <xf numFmtId="3" fontId="18" fillId="0" borderId="35" xfId="4" applyNumberFormat="1" applyFont="1" applyBorder="1" applyAlignment="1"/>
    <xf numFmtId="3" fontId="18" fillId="0" borderId="43" xfId="4" applyNumberFormat="1" applyFont="1" applyBorder="1" applyAlignment="1"/>
    <xf numFmtId="0" fontId="29" fillId="5" borderId="56" xfId="6" applyFont="1" applyFill="1" applyBorder="1" applyAlignment="1">
      <alignment horizontal="center" vertical="center" wrapText="1"/>
    </xf>
    <xf numFmtId="0" fontId="18" fillId="5" borderId="58" xfId="6" applyFont="1" applyFill="1" applyBorder="1" applyAlignment="1">
      <alignment horizontal="center" vertical="center" wrapText="1"/>
    </xf>
    <xf numFmtId="0" fontId="29" fillId="0" borderId="44" xfId="5" applyFont="1" applyBorder="1"/>
    <xf numFmtId="3" fontId="18" fillId="0" borderId="53" xfId="5" applyNumberFormat="1" applyFont="1" applyBorder="1" applyAlignment="1"/>
    <xf numFmtId="3" fontId="18" fillId="0" borderId="44" xfId="4" applyNumberFormat="1" applyFont="1" applyBorder="1" applyAlignment="1"/>
    <xf numFmtId="3" fontId="18" fillId="0" borderId="37" xfId="4" applyNumberFormat="1" applyFont="1" applyBorder="1" applyAlignment="1"/>
    <xf numFmtId="3" fontId="18" fillId="0" borderId="48" xfId="4" applyNumberFormat="1" applyFont="1" applyBorder="1" applyAlignment="1"/>
    <xf numFmtId="3" fontId="18" fillId="0" borderId="42" xfId="4" applyNumberFormat="1" applyFont="1" applyBorder="1" applyAlignment="1"/>
    <xf numFmtId="3" fontId="59" fillId="0" borderId="1" xfId="0" applyNumberFormat="1" applyFont="1" applyBorder="1" applyAlignment="1">
      <alignment vertical="center"/>
    </xf>
    <xf numFmtId="3" fontId="59" fillId="0" borderId="1" xfId="0" applyNumberFormat="1" applyFont="1" applyBorder="1" applyAlignment="1">
      <alignment vertical="center" wrapText="1"/>
    </xf>
    <xf numFmtId="3" fontId="60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43" fontId="41" fillId="0" borderId="78" xfId="9" applyNumberFormat="1" applyFont="1" applyFill="1" applyBorder="1"/>
    <xf numFmtId="165" fontId="41" fillId="17" borderId="78" xfId="9" applyNumberFormat="1" applyFont="1" applyFill="1" applyBorder="1"/>
    <xf numFmtId="0" fontId="41" fillId="17" borderId="78" xfId="0" applyFont="1" applyFill="1" applyBorder="1"/>
    <xf numFmtId="0" fontId="40" fillId="0" borderId="78" xfId="0" applyFont="1" applyFill="1" applyBorder="1" applyAlignment="1">
      <alignment wrapText="1"/>
    </xf>
    <xf numFmtId="0" fontId="40" fillId="0" borderId="78" xfId="0" applyFont="1" applyFill="1" applyBorder="1"/>
    <xf numFmtId="0" fontId="61" fillId="17" borderId="1" xfId="0" applyFont="1" applyFill="1" applyBorder="1" applyAlignment="1">
      <alignment vertical="center" wrapText="1"/>
    </xf>
    <xf numFmtId="3" fontId="14" fillId="0" borderId="62" xfId="1" applyNumberFormat="1" applyFont="1" applyBorder="1"/>
    <xf numFmtId="164" fontId="14" fillId="0" borderId="3" xfId="1" applyNumberFormat="1" applyFont="1" applyBorder="1" applyAlignment="1">
      <alignment horizontal="right" vertical="center" indent="1"/>
    </xf>
    <xf numFmtId="164" fontId="25" fillId="0" borderId="3" xfId="1" applyNumberFormat="1" applyFont="1" applyBorder="1" applyAlignment="1">
      <alignment horizontal="right" vertical="center" indent="1"/>
    </xf>
    <xf numFmtId="164" fontId="14" fillId="0" borderId="3" xfId="1" applyNumberFormat="1" applyFont="1" applyFill="1" applyBorder="1" applyAlignment="1">
      <alignment horizontal="right" vertical="center" indent="1"/>
    </xf>
    <xf numFmtId="164" fontId="26" fillId="0" borderId="3" xfId="1" applyNumberFormat="1" applyFont="1" applyBorder="1" applyAlignment="1">
      <alignment horizontal="right" vertical="center" indent="1"/>
    </xf>
    <xf numFmtId="164" fontId="14" fillId="0" borderId="3" xfId="1" applyNumberFormat="1" applyFont="1" applyBorder="1" applyAlignment="1">
      <alignment horizontal="right" indent="1"/>
    </xf>
    <xf numFmtId="164" fontId="26" fillId="0" borderId="3" xfId="1" applyNumberFormat="1" applyFont="1" applyFill="1" applyBorder="1" applyAlignment="1">
      <alignment horizontal="right" vertical="center" indent="1"/>
    </xf>
    <xf numFmtId="164" fontId="26" fillId="0" borderId="64" xfId="1" applyNumberFormat="1" applyFont="1" applyBorder="1" applyAlignment="1">
      <alignment horizontal="right" vertical="center" indent="1"/>
    </xf>
    <xf numFmtId="166" fontId="20" fillId="0" borderId="0" xfId="9" applyNumberFormat="1" applyFont="1" applyBorder="1" applyAlignment="1">
      <alignment horizontal="right"/>
    </xf>
    <xf numFmtId="166" fontId="22" fillId="0" borderId="0" xfId="9" applyNumberFormat="1" applyFont="1" applyBorder="1" applyAlignment="1">
      <alignment horizontal="center" vertical="top" wrapText="1"/>
    </xf>
    <xf numFmtId="166" fontId="14" fillId="0" borderId="52" xfId="9" applyNumberFormat="1" applyFont="1" applyBorder="1"/>
    <xf numFmtId="166" fontId="14" fillId="0" borderId="39" xfId="9" applyNumberFormat="1" applyFont="1" applyBorder="1" applyAlignment="1">
      <alignment vertical="center"/>
    </xf>
    <xf numFmtId="166" fontId="25" fillId="0" borderId="39" xfId="9" applyNumberFormat="1" applyFont="1" applyBorder="1" applyAlignment="1">
      <alignment vertical="center"/>
    </xf>
    <xf numFmtId="166" fontId="26" fillId="0" borderId="39" xfId="9" applyNumberFormat="1" applyFont="1" applyBorder="1" applyAlignment="1">
      <alignment vertical="center"/>
    </xf>
    <xf numFmtId="166" fontId="14" fillId="0" borderId="39" xfId="9" applyNumberFormat="1" applyFont="1" applyBorder="1"/>
    <xf numFmtId="166" fontId="26" fillId="0" borderId="42" xfId="9" applyNumberFormat="1" applyFont="1" applyBorder="1" applyAlignment="1">
      <alignment vertical="center"/>
    </xf>
    <xf numFmtId="166" fontId="26" fillId="0" borderId="0" xfId="9" applyNumberFormat="1" applyFont="1" applyBorder="1" applyAlignment="1">
      <alignment vertical="center"/>
    </xf>
    <xf numFmtId="166" fontId="18" fillId="0" borderId="0" xfId="9" applyNumberFormat="1" applyFont="1" applyBorder="1"/>
    <xf numFmtId="0" fontId="12" fillId="18" borderId="4" xfId="1" applyFont="1" applyFill="1" applyBorder="1" applyAlignment="1">
      <alignment horizontal="center"/>
    </xf>
    <xf numFmtId="164" fontId="12" fillId="18" borderId="1" xfId="1" applyNumberFormat="1" applyFont="1" applyFill="1" applyBorder="1" applyAlignment="1">
      <alignment horizontal="right" vertical="center" indent="1"/>
    </xf>
    <xf numFmtId="164" fontId="12" fillId="18" borderId="3" xfId="1" applyNumberFormat="1" applyFont="1" applyFill="1" applyBorder="1" applyAlignment="1">
      <alignment horizontal="right" vertical="center" indent="1"/>
    </xf>
    <xf numFmtId="166" fontId="12" fillId="18" borderId="39" xfId="9" applyNumberFormat="1" applyFont="1" applyFill="1" applyBorder="1" applyAlignment="1">
      <alignment vertical="center"/>
    </xf>
    <xf numFmtId="166" fontId="25" fillId="18" borderId="39" xfId="9" applyNumberFormat="1" applyFont="1" applyFill="1" applyBorder="1" applyAlignment="1">
      <alignment vertical="center"/>
    </xf>
    <xf numFmtId="0" fontId="20" fillId="0" borderId="0" xfId="5" applyFont="1" applyBorder="1" applyAlignment="1">
      <alignment wrapText="1"/>
    </xf>
    <xf numFmtId="0" fontId="2" fillId="19" borderId="1" xfId="0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vertical="center"/>
    </xf>
    <xf numFmtId="3" fontId="2" fillId="19" borderId="1" xfId="0" applyNumberFormat="1" applyFont="1" applyFill="1" applyBorder="1" applyAlignment="1">
      <alignment vertical="center"/>
    </xf>
    <xf numFmtId="0" fontId="3" fillId="19" borderId="0" xfId="0" applyFont="1" applyFill="1" applyAlignment="1">
      <alignment vertical="center"/>
    </xf>
    <xf numFmtId="0" fontId="2" fillId="19" borderId="1" xfId="0" applyFont="1" applyFill="1" applyBorder="1" applyAlignment="1">
      <alignment horizontal="center" vertical="center"/>
    </xf>
    <xf numFmtId="3" fontId="36" fillId="19" borderId="3" xfId="0" applyNumberFormat="1" applyFont="1" applyFill="1" applyBorder="1" applyAlignment="1">
      <alignment vertical="center"/>
    </xf>
    <xf numFmtId="3" fontId="36" fillId="19" borderId="1" xfId="0" applyNumberFormat="1" applyFont="1" applyFill="1" applyBorder="1" applyAlignment="1">
      <alignment vertical="center"/>
    </xf>
    <xf numFmtId="0" fontId="2" fillId="19" borderId="1" xfId="0" applyFont="1" applyFill="1" applyBorder="1" applyAlignment="1">
      <alignment horizontal="left" vertical="center"/>
    </xf>
    <xf numFmtId="0" fontId="62" fillId="2" borderId="1" xfId="0" applyFont="1" applyFill="1" applyBorder="1" applyAlignment="1">
      <alignment vertical="center"/>
    </xf>
    <xf numFmtId="3" fontId="62" fillId="2" borderId="1" xfId="0" applyNumberFormat="1" applyFont="1" applyFill="1" applyBorder="1" applyAlignment="1">
      <alignment vertical="center" wrapText="1"/>
    </xf>
    <xf numFmtId="3" fontId="62" fillId="0" borderId="1" xfId="0" applyNumberFormat="1" applyFont="1" applyBorder="1"/>
    <xf numFmtId="0" fontId="62" fillId="0" borderId="1" xfId="0" applyFont="1" applyBorder="1" applyAlignment="1"/>
    <xf numFmtId="0" fontId="24" fillId="7" borderId="1" xfId="4" applyFont="1" applyFill="1" applyBorder="1"/>
    <xf numFmtId="165" fontId="24" fillId="7" borderId="1" xfId="9" applyNumberFormat="1" applyFont="1" applyFill="1" applyBorder="1"/>
    <xf numFmtId="0" fontId="62" fillId="0" borderId="1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8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6" fillId="17" borderId="3" xfId="0" applyFont="1" applyFill="1" applyBorder="1" applyAlignment="1">
      <alignment horizontal="center" vertical="center"/>
    </xf>
    <xf numFmtId="0" fontId="36" fillId="17" borderId="33" xfId="0" applyFont="1" applyFill="1" applyBorder="1" applyAlignment="1">
      <alignment horizontal="center" vertical="center"/>
    </xf>
    <xf numFmtId="0" fontId="46" fillId="17" borderId="3" xfId="0" applyFont="1" applyFill="1" applyBorder="1" applyAlignment="1">
      <alignment horizontal="center" vertical="center"/>
    </xf>
    <xf numFmtId="0" fontId="46" fillId="17" borderId="33" xfId="0" applyFont="1" applyFill="1" applyBorder="1" applyAlignment="1">
      <alignment horizontal="center" vertical="center"/>
    </xf>
    <xf numFmtId="0" fontId="46" fillId="17" borderId="1" xfId="0" applyFont="1" applyFill="1" applyBorder="1" applyAlignment="1">
      <alignment horizontal="center" vertical="center"/>
    </xf>
    <xf numFmtId="165" fontId="39" fillId="0" borderId="45" xfId="9" applyNumberFormat="1" applyFont="1" applyFill="1" applyBorder="1" applyAlignment="1">
      <alignment horizontal="center" vertical="center"/>
    </xf>
    <xf numFmtId="165" fontId="39" fillId="0" borderId="28" xfId="9" applyNumberFormat="1" applyFont="1" applyFill="1" applyBorder="1" applyAlignment="1">
      <alignment horizontal="center" vertical="center"/>
    </xf>
    <xf numFmtId="0" fontId="39" fillId="0" borderId="21" xfId="0" applyFont="1" applyFill="1" applyBorder="1" applyAlignment="1">
      <alignment horizontal="center" vertical="center" wrapText="1"/>
    </xf>
    <xf numFmtId="0" fontId="39" fillId="0" borderId="67" xfId="0" applyFont="1" applyFill="1" applyBorder="1" applyAlignment="1">
      <alignment horizontal="center" vertical="center" wrapText="1"/>
    </xf>
    <xf numFmtId="165" fontId="39" fillId="0" borderId="21" xfId="9" applyNumberFormat="1" applyFont="1" applyFill="1" applyBorder="1" applyAlignment="1">
      <alignment horizontal="center" vertical="center" wrapText="1"/>
    </xf>
    <xf numFmtId="165" fontId="39" fillId="0" borderId="67" xfId="9" applyNumberFormat="1" applyFont="1" applyFill="1" applyBorder="1" applyAlignment="1">
      <alignment horizontal="center" vertical="center" wrapText="1"/>
    </xf>
    <xf numFmtId="0" fontId="45" fillId="13" borderId="80" xfId="0" applyFont="1" applyFill="1" applyBorder="1" applyAlignment="1">
      <alignment horizontal="center" wrapText="1"/>
    </xf>
    <xf numFmtId="0" fontId="45" fillId="13" borderId="81" xfId="0" applyFont="1" applyFill="1" applyBorder="1" applyAlignment="1">
      <alignment horizontal="center" wrapText="1"/>
    </xf>
    <xf numFmtId="0" fontId="45" fillId="13" borderId="82" xfId="0" applyFont="1" applyFill="1" applyBorder="1" applyAlignment="1">
      <alignment horizontal="center" wrapText="1"/>
    </xf>
    <xf numFmtId="0" fontId="11" fillId="0" borderId="0" xfId="1" applyFont="1" applyAlignment="1">
      <alignment horizontal="center"/>
    </xf>
    <xf numFmtId="0" fontId="12" fillId="0" borderId="3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8" fillId="0" borderId="2" xfId="5" applyFont="1" applyBorder="1" applyAlignment="1">
      <alignment horizontal="center" vertical="center" wrapText="1"/>
    </xf>
    <xf numFmtId="0" fontId="18" fillId="0" borderId="5" xfId="5" applyFont="1" applyBorder="1" applyAlignment="1">
      <alignment horizontal="center" vertical="center" wrapText="1"/>
    </xf>
    <xf numFmtId="0" fontId="18" fillId="0" borderId="71" xfId="5" applyFont="1" applyBorder="1" applyAlignment="1">
      <alignment horizontal="center" vertical="center" wrapText="1"/>
    </xf>
    <xf numFmtId="0" fontId="18" fillId="0" borderId="2" xfId="5" applyFont="1" applyBorder="1" applyAlignment="1">
      <alignment horizontal="left" vertical="center"/>
    </xf>
    <xf numFmtId="0" fontId="18" fillId="0" borderId="5" xfId="5" applyFont="1" applyBorder="1" applyAlignment="1">
      <alignment horizontal="left" vertical="center"/>
    </xf>
    <xf numFmtId="0" fontId="18" fillId="0" borderId="71" xfId="5" applyFont="1" applyBorder="1" applyAlignment="1">
      <alignment horizontal="left" vertical="center"/>
    </xf>
    <xf numFmtId="0" fontId="14" fillId="0" borderId="2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left" vertical="center" wrapText="1"/>
    </xf>
    <xf numFmtId="0" fontId="14" fillId="0" borderId="71" xfId="1" applyFont="1" applyBorder="1" applyAlignment="1">
      <alignment horizontal="left" vertical="center" wrapText="1"/>
    </xf>
    <xf numFmtId="3" fontId="14" fillId="0" borderId="2" xfId="1" applyNumberFormat="1" applyFont="1" applyBorder="1" applyAlignment="1">
      <alignment horizontal="right" vertical="center"/>
    </xf>
    <xf numFmtId="3" fontId="14" fillId="0" borderId="5" xfId="1" applyNumberFormat="1" applyFont="1" applyBorder="1" applyAlignment="1">
      <alignment horizontal="right" vertical="center"/>
    </xf>
    <xf numFmtId="3" fontId="14" fillId="0" borderId="71" xfId="1" applyNumberFormat="1" applyFont="1" applyBorder="1" applyAlignment="1">
      <alignment horizontal="right" vertical="center"/>
    </xf>
    <xf numFmtId="0" fontId="25" fillId="0" borderId="38" xfId="1" applyFont="1" applyBorder="1" applyAlignment="1">
      <alignment horizontal="left"/>
    </xf>
    <xf numFmtId="0" fontId="25" fillId="0" borderId="4" xfId="1" applyFont="1" applyBorder="1" applyAlignment="1">
      <alignment horizontal="left"/>
    </xf>
    <xf numFmtId="0" fontId="24" fillId="5" borderId="46" xfId="6" applyFont="1" applyFill="1" applyBorder="1" applyAlignment="1">
      <alignment horizontal="center" vertical="center" wrapText="1"/>
    </xf>
    <xf numFmtId="0" fontId="21" fillId="5" borderId="50" xfId="6" applyFont="1" applyFill="1" applyBorder="1" applyAlignment="1">
      <alignment horizontal="center" vertical="center" wrapText="1"/>
    </xf>
    <xf numFmtId="0" fontId="21" fillId="0" borderId="0" xfId="5" applyFont="1" applyBorder="1" applyAlignment="1">
      <alignment horizontal="center" vertical="top" wrapText="1"/>
    </xf>
    <xf numFmtId="0" fontId="23" fillId="0" borderId="44" xfId="4" applyFont="1" applyBorder="1" applyAlignment="1">
      <alignment horizontal="center" vertical="center" wrapText="1"/>
    </xf>
    <xf numFmtId="0" fontId="23" fillId="0" borderId="48" xfId="4" applyFont="1" applyBorder="1" applyAlignment="1">
      <alignment horizontal="center" vertical="center" wrapText="1"/>
    </xf>
    <xf numFmtId="0" fontId="23" fillId="0" borderId="45" xfId="4" applyNumberFormat="1" applyFont="1" applyBorder="1" applyAlignment="1">
      <alignment horizontal="center" vertical="center" wrapText="1"/>
    </xf>
    <xf numFmtId="0" fontId="23" fillId="0" borderId="49" xfId="4" applyNumberFormat="1" applyFont="1" applyBorder="1" applyAlignment="1">
      <alignment horizontal="center" vertical="center" wrapText="1"/>
    </xf>
    <xf numFmtId="166" fontId="24" fillId="5" borderId="46" xfId="9" applyNumberFormat="1" applyFont="1" applyFill="1" applyBorder="1" applyAlignment="1">
      <alignment horizontal="center" vertical="center" wrapText="1"/>
    </xf>
    <xf numFmtId="166" fontId="21" fillId="5" borderId="50" xfId="9" applyNumberFormat="1" applyFont="1" applyFill="1" applyBorder="1" applyAlignment="1">
      <alignment horizontal="center" vertical="center" wrapText="1"/>
    </xf>
    <xf numFmtId="0" fontId="25" fillId="0" borderId="54" xfId="1" applyFont="1" applyBorder="1" applyAlignment="1">
      <alignment horizontal="left"/>
    </xf>
    <xf numFmtId="0" fontId="25" fillId="0" borderId="55" xfId="1" applyFont="1" applyBorder="1" applyAlignment="1">
      <alignment horizontal="left"/>
    </xf>
    <xf numFmtId="0" fontId="25" fillId="0" borderId="34" xfId="1" applyFont="1" applyBorder="1" applyAlignment="1">
      <alignment horizontal="left"/>
    </xf>
    <xf numFmtId="0" fontId="25" fillId="0" borderId="35" xfId="1" applyFont="1" applyBorder="1" applyAlignment="1">
      <alignment horizontal="left"/>
    </xf>
    <xf numFmtId="0" fontId="2" fillId="3" borderId="36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9" fillId="0" borderId="46" xfId="4" applyNumberFormat="1" applyFont="1" applyBorder="1" applyAlignment="1">
      <alignment horizontal="center" vertical="center" wrapText="1"/>
    </xf>
    <xf numFmtId="0" fontId="29" fillId="0" borderId="50" xfId="4" applyNumberFormat="1" applyFont="1" applyBorder="1" applyAlignment="1">
      <alignment horizontal="center" vertical="center" wrapText="1"/>
    </xf>
    <xf numFmtId="0" fontId="24" fillId="5" borderId="50" xfId="6" applyFont="1" applyFill="1" applyBorder="1" applyAlignment="1">
      <alignment horizontal="center" vertical="center" wrapText="1"/>
    </xf>
    <xf numFmtId="0" fontId="29" fillId="0" borderId="56" xfId="4" applyNumberFormat="1" applyFont="1" applyBorder="1" applyAlignment="1">
      <alignment horizontal="center" vertical="center" wrapText="1"/>
    </xf>
    <xf numFmtId="0" fontId="29" fillId="0" borderId="58" xfId="4" applyNumberFormat="1" applyFont="1" applyBorder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0" fontId="24" fillId="5" borderId="57" xfId="6" applyFont="1" applyFill="1" applyBorder="1" applyAlignment="1">
      <alignment horizontal="center" vertical="center" wrapText="1"/>
    </xf>
    <xf numFmtId="0" fontId="24" fillId="5" borderId="49" xfId="6" applyFont="1" applyFill="1" applyBorder="1" applyAlignment="1">
      <alignment horizontal="center" vertical="center" wrapText="1"/>
    </xf>
    <xf numFmtId="3" fontId="7" fillId="8" borderId="2" xfId="3" applyNumberFormat="1" applyFont="1" applyFill="1" applyBorder="1" applyAlignment="1">
      <alignment vertical="center"/>
    </xf>
    <xf numFmtId="3" fontId="7" fillId="8" borderId="5" xfId="3" applyNumberFormat="1" applyFont="1" applyFill="1" applyBorder="1" applyAlignment="1">
      <alignment vertical="center"/>
    </xf>
    <xf numFmtId="3" fontId="7" fillId="8" borderId="6" xfId="3" applyNumberFormat="1" applyFont="1" applyFill="1" applyBorder="1" applyAlignment="1">
      <alignment vertical="center"/>
    </xf>
    <xf numFmtId="3" fontId="7" fillId="8" borderId="63" xfId="3" applyNumberFormat="1" applyFont="1" applyFill="1" applyBorder="1" applyAlignment="1">
      <alignment horizontal="center" vertical="center"/>
    </xf>
    <xf numFmtId="3" fontId="7" fillId="8" borderId="69" xfId="3" applyNumberFormat="1" applyFont="1" applyFill="1" applyBorder="1" applyAlignment="1">
      <alignment horizontal="center" vertical="center"/>
    </xf>
    <xf numFmtId="3" fontId="7" fillId="8" borderId="52" xfId="3" applyNumberFormat="1" applyFont="1" applyFill="1" applyBorder="1" applyAlignment="1">
      <alignment horizontal="center" vertical="center"/>
    </xf>
    <xf numFmtId="3" fontId="7" fillId="8" borderId="59" xfId="3" applyNumberFormat="1" applyFont="1" applyFill="1" applyBorder="1" applyAlignment="1">
      <alignment vertical="center"/>
    </xf>
    <xf numFmtId="3" fontId="7" fillId="8" borderId="61" xfId="3" applyNumberFormat="1" applyFont="1" applyFill="1" applyBorder="1" applyAlignment="1">
      <alignment vertical="center"/>
    </xf>
    <xf numFmtId="3" fontId="7" fillId="0" borderId="2" xfId="3" applyNumberFormat="1" applyFont="1" applyBorder="1" applyAlignment="1">
      <alignment vertical="center"/>
    </xf>
    <xf numFmtId="3" fontId="7" fillId="0" borderId="6" xfId="3" applyNumberFormat="1" applyFont="1" applyBorder="1" applyAlignment="1">
      <alignment vertical="center"/>
    </xf>
    <xf numFmtId="3" fontId="7" fillId="0" borderId="2" xfId="3" applyNumberFormat="1" applyFont="1" applyBorder="1" applyAlignment="1">
      <alignment horizontal="center" vertical="center"/>
    </xf>
    <xf numFmtId="3" fontId="7" fillId="0" borderId="6" xfId="3" applyNumberFormat="1" applyFont="1" applyBorder="1" applyAlignment="1">
      <alignment horizontal="center" vertical="center"/>
    </xf>
    <xf numFmtId="3" fontId="7" fillId="0" borderId="2" xfId="3" applyNumberFormat="1" applyFont="1" applyBorder="1" applyAlignment="1">
      <alignment horizontal="right" vertical="center"/>
    </xf>
    <xf numFmtId="3" fontId="7" fillId="0" borderId="6" xfId="3" applyNumberFormat="1" applyFont="1" applyBorder="1" applyAlignment="1">
      <alignment horizontal="right" vertical="center"/>
    </xf>
    <xf numFmtId="3" fontId="7" fillId="0" borderId="5" xfId="3" applyNumberFormat="1" applyFont="1" applyBorder="1" applyAlignment="1">
      <alignment horizontal="center" vertical="center"/>
    </xf>
    <xf numFmtId="3" fontId="7" fillId="8" borderId="68" xfId="3" applyNumberFormat="1" applyFont="1" applyFill="1" applyBorder="1" applyAlignment="1">
      <alignment vertical="center"/>
    </xf>
    <xf numFmtId="3" fontId="7" fillId="0" borderId="5" xfId="3" applyNumberFormat="1" applyFont="1" applyBorder="1" applyAlignment="1">
      <alignment vertical="center"/>
    </xf>
    <xf numFmtId="3" fontId="7" fillId="0" borderId="5" xfId="3" applyNumberFormat="1" applyFont="1" applyBorder="1" applyAlignment="1">
      <alignment horizontal="right" vertical="center"/>
    </xf>
    <xf numFmtId="3" fontId="7" fillId="8" borderId="5" xfId="3" applyNumberFormat="1" applyFont="1" applyFill="1" applyBorder="1" applyAlignment="1">
      <alignment horizontal="right" vertical="center"/>
    </xf>
    <xf numFmtId="3" fontId="7" fillId="8" borderId="6" xfId="3" applyNumberFormat="1" applyFont="1" applyFill="1" applyBorder="1" applyAlignment="1">
      <alignment horizontal="right" vertical="center"/>
    </xf>
    <xf numFmtId="0" fontId="2" fillId="0" borderId="21" xfId="3" applyFont="1" applyBorder="1" applyAlignment="1">
      <alignment horizontal="center" vertical="center" wrapText="1"/>
    </xf>
    <xf numFmtId="0" fontId="2" fillId="0" borderId="67" xfId="3" applyFont="1" applyBorder="1" applyAlignment="1">
      <alignment horizontal="center" vertical="center" wrapText="1"/>
    </xf>
    <xf numFmtId="0" fontId="2" fillId="8" borderId="66" xfId="3" applyFont="1" applyFill="1" applyBorder="1" applyAlignment="1">
      <alignment horizontal="center" vertical="center" wrapText="1"/>
    </xf>
    <xf numFmtId="0" fontId="2" fillId="8" borderId="31" xfId="3" applyFont="1" applyFill="1" applyBorder="1" applyAlignment="1">
      <alignment horizontal="center" vertical="center" wrapText="1"/>
    </xf>
    <xf numFmtId="0" fontId="51" fillId="0" borderId="0" xfId="3" applyFont="1" applyAlignment="1">
      <alignment horizontal="center" vertical="center" wrapText="1"/>
    </xf>
    <xf numFmtId="0" fontId="34" fillId="0" borderId="0" xfId="3" applyFont="1" applyAlignment="1">
      <alignment horizontal="center" vertical="center"/>
    </xf>
    <xf numFmtId="0" fontId="2" fillId="7" borderId="21" xfId="3" applyFont="1" applyFill="1" applyBorder="1" applyAlignment="1">
      <alignment horizontal="center" vertical="center" wrapText="1"/>
    </xf>
    <xf numFmtId="0" fontId="2" fillId="7" borderId="67" xfId="3" applyFont="1" applyFill="1" applyBorder="1" applyAlignment="1">
      <alignment horizontal="center" vertical="center" wrapText="1"/>
    </xf>
    <xf numFmtId="0" fontId="2" fillId="8" borderId="65" xfId="3" applyFont="1" applyFill="1" applyBorder="1" applyAlignment="1">
      <alignment horizontal="center" vertical="center" wrapText="1"/>
    </xf>
    <xf numFmtId="0" fontId="2" fillId="8" borderId="24" xfId="3" applyFont="1" applyFill="1" applyBorder="1" applyAlignment="1">
      <alignment horizontal="center" vertical="center" wrapText="1"/>
    </xf>
    <xf numFmtId="0" fontId="2" fillId="8" borderId="21" xfId="3" applyFont="1" applyFill="1" applyBorder="1" applyAlignment="1">
      <alignment horizontal="center" vertical="center" wrapText="1"/>
    </xf>
    <xf numFmtId="0" fontId="2" fillId="8" borderId="67" xfId="3" applyFont="1" applyFill="1" applyBorder="1" applyAlignment="1">
      <alignment horizontal="center" vertical="center" wrapText="1"/>
    </xf>
    <xf numFmtId="0" fontId="2" fillId="0" borderId="34" xfId="3" applyFont="1" applyBorder="1" applyAlignment="1">
      <alignment horizontal="center" vertical="center" wrapText="1"/>
    </xf>
    <xf numFmtId="0" fontId="2" fillId="0" borderId="31" xfId="3" applyFont="1" applyBorder="1" applyAlignment="1">
      <alignment horizontal="center" vertical="center" wrapText="1"/>
    </xf>
    <xf numFmtId="3" fontId="7" fillId="8" borderId="68" xfId="3" applyNumberFormat="1" applyFont="1" applyFill="1" applyBorder="1" applyAlignment="1">
      <alignment horizontal="right" vertical="center"/>
    </xf>
    <xf numFmtId="3" fontId="7" fillId="8" borderId="61" xfId="3" applyNumberFormat="1" applyFont="1" applyFill="1" applyBorder="1" applyAlignment="1">
      <alignment horizontal="right" vertical="center"/>
    </xf>
    <xf numFmtId="0" fontId="12" fillId="7" borderId="1" xfId="0" applyFont="1" applyFill="1" applyBorder="1" applyAlignment="1">
      <alignment horizontal="center" vertical="center"/>
    </xf>
    <xf numFmtId="0" fontId="58" fillId="7" borderId="2" xfId="0" applyFont="1" applyFill="1" applyBorder="1" applyAlignment="1">
      <alignment horizontal="center" vertical="center"/>
    </xf>
    <xf numFmtId="0" fontId="58" fillId="7" borderId="6" xfId="0" applyFont="1" applyFill="1" applyBorder="1" applyAlignment="1">
      <alignment horizontal="center" vertical="center"/>
    </xf>
    <xf numFmtId="0" fontId="29" fillId="0" borderId="53" xfId="4" applyFont="1" applyBorder="1" applyAlignment="1">
      <alignment horizontal="center" vertical="center" wrapText="1"/>
    </xf>
    <xf numFmtId="0" fontId="29" fillId="0" borderId="73" xfId="4" applyFont="1" applyBorder="1" applyAlignment="1">
      <alignment horizontal="center" vertical="center" wrapText="1"/>
    </xf>
    <xf numFmtId="0" fontId="29" fillId="0" borderId="39" xfId="4" applyNumberFormat="1" applyFont="1" applyBorder="1" applyAlignment="1">
      <alignment horizontal="center" vertical="center" wrapText="1"/>
    </xf>
    <xf numFmtId="0" fontId="29" fillId="0" borderId="74" xfId="4" applyNumberFormat="1" applyFont="1" applyBorder="1" applyAlignment="1">
      <alignment horizontal="center" vertical="center" wrapText="1"/>
    </xf>
    <xf numFmtId="0" fontId="10" fillId="5" borderId="59" xfId="6" applyFont="1" applyFill="1" applyBorder="1" applyAlignment="1">
      <alignment horizontal="center" textRotation="90" wrapText="1"/>
    </xf>
    <xf numFmtId="0" fontId="10" fillId="5" borderId="75" xfId="6" applyFont="1" applyFill="1" applyBorder="1" applyAlignment="1">
      <alignment horizontal="center" textRotation="90" wrapText="1"/>
    </xf>
    <xf numFmtId="0" fontId="10" fillId="5" borderId="2" xfId="6" applyFont="1" applyFill="1" applyBorder="1" applyAlignment="1">
      <alignment horizontal="center" textRotation="90" wrapText="1"/>
    </xf>
    <xf numFmtId="0" fontId="10" fillId="5" borderId="71" xfId="6" applyFont="1" applyFill="1" applyBorder="1" applyAlignment="1">
      <alignment horizontal="center" textRotation="90" wrapText="1"/>
    </xf>
    <xf numFmtId="3" fontId="18" fillId="0" borderId="0" xfId="5" applyNumberFormat="1" applyFont="1" applyBorder="1" applyAlignment="1">
      <alignment horizontal="center"/>
    </xf>
    <xf numFmtId="0" fontId="10" fillId="5" borderId="72" xfId="6" applyFont="1" applyFill="1" applyBorder="1" applyAlignment="1">
      <alignment horizontal="center" textRotation="90" wrapText="1"/>
    </xf>
    <xf numFmtId="0" fontId="10" fillId="5" borderId="76" xfId="6" applyFont="1" applyFill="1" applyBorder="1" applyAlignment="1">
      <alignment horizontal="center" textRotation="90" wrapText="1"/>
    </xf>
    <xf numFmtId="0" fontId="24" fillId="5" borderId="19" xfId="6" applyFont="1" applyFill="1" applyBorder="1" applyAlignment="1">
      <alignment horizontal="center" textRotation="90" wrapText="1"/>
    </xf>
    <xf numFmtId="0" fontId="24" fillId="5" borderId="77" xfId="6" applyFont="1" applyFill="1" applyBorder="1" applyAlignment="1">
      <alignment horizontal="center" textRotation="90" wrapText="1"/>
    </xf>
    <xf numFmtId="0" fontId="29" fillId="0" borderId="56" xfId="4" applyFont="1" applyBorder="1" applyAlignment="1">
      <alignment horizontal="center" vertical="center" wrapText="1"/>
    </xf>
    <xf numFmtId="0" fontId="29" fillId="0" borderId="58" xfId="4" applyFont="1" applyBorder="1" applyAlignment="1">
      <alignment horizontal="center" vertical="center" wrapText="1"/>
    </xf>
    <xf numFmtId="0" fontId="29" fillId="0" borderId="84" xfId="4" applyNumberFormat="1" applyFont="1" applyBorder="1" applyAlignment="1">
      <alignment horizontal="center" vertical="center" wrapText="1"/>
    </xf>
    <xf numFmtId="0" fontId="29" fillId="0" borderId="85" xfId="4" applyNumberFormat="1" applyFont="1" applyBorder="1" applyAlignment="1">
      <alignment horizontal="center" vertical="center" wrapText="1"/>
    </xf>
    <xf numFmtId="0" fontId="20" fillId="0" borderId="0" xfId="5" applyFont="1" applyBorder="1" applyAlignment="1">
      <alignment horizontal="center" wrapText="1"/>
    </xf>
    <xf numFmtId="0" fontId="58" fillId="3" borderId="36" xfId="0" applyFont="1" applyFill="1" applyBorder="1" applyAlignment="1">
      <alignment horizontal="center" vertical="center" wrapText="1"/>
    </xf>
    <xf numFmtId="0" fontId="58" fillId="3" borderId="41" xfId="0" applyFont="1" applyFill="1" applyBorder="1" applyAlignment="1">
      <alignment horizontal="center" vertical="center" wrapText="1"/>
    </xf>
    <xf numFmtId="0" fontId="58" fillId="3" borderId="47" xfId="0" applyFont="1" applyFill="1" applyBorder="1" applyAlignment="1">
      <alignment horizontal="center" vertical="center" wrapText="1"/>
    </xf>
    <xf numFmtId="0" fontId="58" fillId="3" borderId="5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1" fillId="0" borderId="0" xfId="5" applyFont="1" applyBorder="1" applyAlignment="1">
      <alignment horizontal="center" vertical="center" wrapText="1"/>
    </xf>
    <xf numFmtId="0" fontId="29" fillId="0" borderId="44" xfId="4" applyNumberFormat="1" applyFont="1" applyBorder="1" applyAlignment="1">
      <alignment horizontal="center" vertical="center" wrapText="1"/>
    </xf>
    <xf numFmtId="0" fontId="29" fillId="0" borderId="53" xfId="4" applyNumberFormat="1" applyFont="1" applyBorder="1" applyAlignment="1">
      <alignment horizontal="center" vertical="center" wrapText="1"/>
    </xf>
    <xf numFmtId="0" fontId="24" fillId="5" borderId="36" xfId="6" applyFont="1" applyFill="1" applyBorder="1" applyAlignment="1">
      <alignment horizontal="center" vertical="center" wrapText="1"/>
    </xf>
    <xf numFmtId="0" fontId="24" fillId="5" borderId="1" xfId="6" applyFont="1" applyFill="1" applyBorder="1" applyAlignment="1">
      <alignment horizontal="center" vertical="center" wrapText="1"/>
    </xf>
    <xf numFmtId="0" fontId="29" fillId="0" borderId="36" xfId="4" applyFont="1" applyBorder="1" applyAlignment="1">
      <alignment horizontal="center" vertical="center" wrapText="1"/>
    </xf>
    <xf numFmtId="0" fontId="29" fillId="0" borderId="1" xfId="4" applyFont="1" applyBorder="1" applyAlignment="1">
      <alignment horizontal="center" vertical="center" wrapText="1"/>
    </xf>
    <xf numFmtId="0" fontId="29" fillId="0" borderId="37" xfId="4" applyFont="1" applyBorder="1" applyAlignment="1">
      <alignment horizontal="center" vertical="center" wrapText="1"/>
    </xf>
    <xf numFmtId="0" fontId="29" fillId="0" borderId="39" xfId="4" applyFont="1" applyBorder="1" applyAlignment="1">
      <alignment horizontal="center" vertical="center" wrapText="1"/>
    </xf>
  </cellXfs>
  <cellStyles count="10">
    <cellStyle name="Ezres" xfId="9" builtinId="3"/>
    <cellStyle name="Ezres 2" xfId="2"/>
    <cellStyle name="Ezres 3" xfId="8"/>
    <cellStyle name="Normál" xfId="0" builtinId="0"/>
    <cellStyle name="Normál 2" xfId="1"/>
    <cellStyle name="Normál 3" xfId="3"/>
    <cellStyle name="Normál 4" xfId="7"/>
    <cellStyle name="Normál_3.a.sz.mell.02" xfId="4"/>
    <cellStyle name="Normál_E.i.mód.02.6" xfId="5"/>
    <cellStyle name="Normál_Munkafüzet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&#233;nz&#252;gy\2016.%20&#233;v\T&#225;mogat&#225;s\K&#246;zponti%20t&#225;mogat&#225;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infó"/>
      <sheetName val="2015"/>
      <sheetName val="Munka1"/>
    </sheetNames>
    <sheetDataSet>
      <sheetData sheetId="0"/>
      <sheetData sheetId="1">
        <row r="2">
          <cell r="B2">
            <v>6299</v>
          </cell>
        </row>
        <row r="9">
          <cell r="B9">
            <v>47304969.250000007</v>
          </cell>
        </row>
        <row r="10">
          <cell r="B10">
            <v>17007300</v>
          </cell>
        </row>
        <row r="12">
          <cell r="B12">
            <v>6721220</v>
          </cell>
        </row>
        <row r="13">
          <cell r="B13">
            <v>15040000</v>
          </cell>
        </row>
        <row r="14">
          <cell r="B14">
            <v>100000</v>
          </cell>
        </row>
        <row r="15">
          <cell r="B15">
            <v>8124330</v>
          </cell>
        </row>
        <row r="16">
          <cell r="B16">
            <v>0</v>
          </cell>
        </row>
        <row r="17">
          <cell r="B17">
            <v>312119</v>
          </cell>
        </row>
      </sheetData>
      <sheetData sheetId="2">
        <row r="18">
          <cell r="D18">
            <v>100000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Normal="100" workbookViewId="0">
      <selection activeCell="B45" sqref="B45"/>
    </sheetView>
  </sheetViews>
  <sheetFormatPr defaultRowHeight="15" x14ac:dyDescent="0.25"/>
  <cols>
    <col min="1" max="1" width="15.28515625" customWidth="1"/>
    <col min="2" max="2" width="41" customWidth="1"/>
    <col min="3" max="3" width="20.7109375" customWidth="1"/>
    <col min="4" max="4" width="14.28515625" customWidth="1"/>
    <col min="5" max="5" width="30.140625" bestFit="1" customWidth="1"/>
    <col min="6" max="6" width="13.85546875" customWidth="1"/>
  </cols>
  <sheetData>
    <row r="1" spans="1:7" ht="31.5" customHeight="1" x14ac:dyDescent="0.25">
      <c r="A1" s="2" t="s">
        <v>3</v>
      </c>
      <c r="B1" s="3" t="s">
        <v>24</v>
      </c>
      <c r="C1" s="14" t="s">
        <v>0</v>
      </c>
      <c r="D1" s="10" t="s">
        <v>3</v>
      </c>
      <c r="E1" s="3" t="s">
        <v>38</v>
      </c>
      <c r="F1" s="2" t="s">
        <v>0</v>
      </c>
      <c r="G1" s="1"/>
    </row>
    <row r="2" spans="1:7" x14ac:dyDescent="0.25">
      <c r="A2" s="3" t="s">
        <v>23</v>
      </c>
      <c r="B2" s="704" t="s">
        <v>2</v>
      </c>
      <c r="C2" s="705"/>
      <c r="D2" s="11" t="s">
        <v>23</v>
      </c>
      <c r="E2" s="704" t="s">
        <v>2</v>
      </c>
      <c r="F2" s="711"/>
    </row>
    <row r="3" spans="1:7" x14ac:dyDescent="0.25">
      <c r="A3" s="6" t="s">
        <v>35</v>
      </c>
      <c r="B3" s="4" t="s">
        <v>1</v>
      </c>
      <c r="C3" s="15" t="s">
        <v>70</v>
      </c>
      <c r="D3" s="12" t="s">
        <v>35</v>
      </c>
      <c r="E3" s="5" t="s">
        <v>80</v>
      </c>
      <c r="F3" s="717" t="s">
        <v>79</v>
      </c>
    </row>
    <row r="4" spans="1:7" x14ac:dyDescent="0.25">
      <c r="A4" s="6"/>
      <c r="B4" s="7" t="s">
        <v>15</v>
      </c>
      <c r="C4" s="16"/>
      <c r="D4" s="12" t="s">
        <v>36</v>
      </c>
      <c r="E4" s="5" t="s">
        <v>81</v>
      </c>
      <c r="F4" s="717"/>
    </row>
    <row r="5" spans="1:7" x14ac:dyDescent="0.25">
      <c r="A5" s="6"/>
      <c r="B5" s="7" t="s">
        <v>16</v>
      </c>
      <c r="C5" s="16"/>
      <c r="D5" s="12" t="s">
        <v>47</v>
      </c>
      <c r="E5" s="5" t="s">
        <v>82</v>
      </c>
      <c r="F5" s="717"/>
    </row>
    <row r="6" spans="1:7" x14ac:dyDescent="0.25">
      <c r="A6" s="6" t="s">
        <v>36</v>
      </c>
      <c r="B6" s="4" t="s">
        <v>4</v>
      </c>
      <c r="C6" s="15" t="s">
        <v>71</v>
      </c>
      <c r="D6" s="12" t="s">
        <v>48</v>
      </c>
      <c r="E6" s="5" t="s">
        <v>83</v>
      </c>
      <c r="F6" s="717"/>
    </row>
    <row r="7" spans="1:7" x14ac:dyDescent="0.25">
      <c r="A7" s="6"/>
      <c r="B7" s="7" t="s">
        <v>5</v>
      </c>
      <c r="C7" s="16"/>
      <c r="D7" s="12" t="s">
        <v>49</v>
      </c>
      <c r="E7" s="5" t="s">
        <v>84</v>
      </c>
      <c r="F7" s="717"/>
    </row>
    <row r="8" spans="1:7" x14ac:dyDescent="0.25">
      <c r="A8" s="6"/>
      <c r="B8" s="7" t="s">
        <v>6</v>
      </c>
      <c r="C8" s="16"/>
      <c r="D8" s="12" t="s">
        <v>50</v>
      </c>
      <c r="E8" s="5" t="s">
        <v>85</v>
      </c>
      <c r="F8" s="717"/>
    </row>
    <row r="9" spans="1:7" x14ac:dyDescent="0.25">
      <c r="A9" s="6"/>
      <c r="B9" s="7" t="s">
        <v>7</v>
      </c>
      <c r="C9" s="16"/>
      <c r="D9" s="13"/>
      <c r="E9" s="5"/>
      <c r="F9" s="5"/>
    </row>
    <row r="10" spans="1:7" x14ac:dyDescent="0.25">
      <c r="A10" s="6"/>
      <c r="B10" s="7" t="s">
        <v>8</v>
      </c>
      <c r="C10" s="16"/>
      <c r="D10" s="13"/>
      <c r="E10" s="5"/>
      <c r="F10" s="5"/>
    </row>
    <row r="11" spans="1:7" x14ac:dyDescent="0.25">
      <c r="A11" s="6"/>
      <c r="B11" s="7" t="s">
        <v>10</v>
      </c>
      <c r="C11" s="16"/>
      <c r="D11" s="13"/>
      <c r="E11" s="5"/>
      <c r="F11" s="5"/>
    </row>
    <row r="12" spans="1:7" x14ac:dyDescent="0.25">
      <c r="A12" s="6"/>
      <c r="B12" s="7" t="s">
        <v>11</v>
      </c>
      <c r="C12" s="16"/>
      <c r="D12" s="13"/>
      <c r="E12" s="5"/>
      <c r="F12" s="5"/>
    </row>
    <row r="13" spans="1:7" x14ac:dyDescent="0.25">
      <c r="A13" s="6"/>
      <c r="B13" s="7" t="s">
        <v>12</v>
      </c>
      <c r="C13" s="16"/>
      <c r="D13" s="13"/>
      <c r="E13" s="5"/>
      <c r="F13" s="5"/>
    </row>
    <row r="14" spans="1:7" x14ac:dyDescent="0.25">
      <c r="A14" s="6"/>
      <c r="B14" s="7" t="s">
        <v>13</v>
      </c>
      <c r="C14" s="16"/>
      <c r="D14" s="13"/>
      <c r="E14" s="5"/>
      <c r="F14" s="5"/>
    </row>
    <row r="15" spans="1:7" x14ac:dyDescent="0.25">
      <c r="A15" s="6"/>
      <c r="B15" s="7" t="s">
        <v>14</v>
      </c>
      <c r="C15" s="16"/>
      <c r="D15" s="13"/>
      <c r="E15" s="5"/>
      <c r="F15" s="5"/>
    </row>
    <row r="16" spans="1:7" ht="27" customHeight="1" x14ac:dyDescent="0.25">
      <c r="A16" s="6" t="s">
        <v>47</v>
      </c>
      <c r="B16" s="4" t="s">
        <v>9</v>
      </c>
      <c r="C16" s="17" t="s">
        <v>72</v>
      </c>
      <c r="D16" s="13"/>
      <c r="E16" s="5"/>
      <c r="F16" s="5"/>
    </row>
    <row r="17" spans="1:6" x14ac:dyDescent="0.25">
      <c r="A17" s="5"/>
      <c r="B17" s="7" t="s">
        <v>17</v>
      </c>
      <c r="C17" s="16"/>
      <c r="D17" s="13"/>
      <c r="E17" s="5"/>
      <c r="F17" s="5"/>
    </row>
    <row r="18" spans="1:6" x14ac:dyDescent="0.25">
      <c r="A18" s="5"/>
      <c r="B18" s="7" t="s">
        <v>18</v>
      </c>
      <c r="C18" s="16"/>
      <c r="D18" s="13"/>
      <c r="E18" s="5"/>
      <c r="F18" s="5"/>
    </row>
    <row r="19" spans="1:6" x14ac:dyDescent="0.25">
      <c r="A19" s="5"/>
      <c r="B19" s="7" t="s">
        <v>19</v>
      </c>
      <c r="C19" s="16"/>
      <c r="D19" s="13"/>
      <c r="E19" s="5"/>
      <c r="F19" s="5"/>
    </row>
    <row r="20" spans="1:6" x14ac:dyDescent="0.25">
      <c r="A20" s="5"/>
      <c r="B20" s="7" t="s">
        <v>20</v>
      </c>
      <c r="C20" s="16"/>
      <c r="D20" s="13"/>
      <c r="E20" s="5"/>
      <c r="F20" s="5"/>
    </row>
    <row r="21" spans="1:6" x14ac:dyDescent="0.25">
      <c r="A21" s="5"/>
      <c r="B21" s="7" t="s">
        <v>21</v>
      </c>
      <c r="C21" s="16"/>
      <c r="D21" s="13"/>
      <c r="E21" s="5"/>
      <c r="F21" s="5"/>
    </row>
    <row r="22" spans="1:6" x14ac:dyDescent="0.25">
      <c r="A22" s="5"/>
      <c r="B22" s="7" t="s">
        <v>22</v>
      </c>
      <c r="C22" s="16"/>
      <c r="D22" s="13"/>
      <c r="E22" s="5"/>
      <c r="F22" s="5"/>
    </row>
    <row r="23" spans="1:6" x14ac:dyDescent="0.25">
      <c r="A23" s="6" t="s">
        <v>48</v>
      </c>
      <c r="B23" s="4" t="s">
        <v>25</v>
      </c>
      <c r="C23" s="15" t="s">
        <v>73</v>
      </c>
      <c r="D23" s="13"/>
      <c r="E23" s="5"/>
      <c r="F23" s="5"/>
    </row>
    <row r="24" spans="1:6" x14ac:dyDescent="0.25">
      <c r="A24" s="5"/>
      <c r="B24" s="7" t="s">
        <v>26</v>
      </c>
      <c r="C24" s="16"/>
      <c r="D24" s="13"/>
      <c r="E24" s="5"/>
      <c r="F24" s="5"/>
    </row>
    <row r="25" spans="1:6" x14ac:dyDescent="0.25">
      <c r="A25" s="5"/>
      <c r="B25" s="7" t="s">
        <v>27</v>
      </c>
      <c r="C25" s="16"/>
      <c r="D25" s="13"/>
      <c r="E25" s="5"/>
      <c r="F25" s="5"/>
    </row>
    <row r="26" spans="1:6" x14ac:dyDescent="0.25">
      <c r="A26" s="5"/>
      <c r="B26" s="7" t="s">
        <v>28</v>
      </c>
      <c r="C26" s="16"/>
      <c r="D26" s="13"/>
      <c r="E26" s="5"/>
      <c r="F26" s="5"/>
    </row>
    <row r="27" spans="1:6" x14ac:dyDescent="0.25">
      <c r="A27" s="5"/>
      <c r="B27" s="7" t="s">
        <v>29</v>
      </c>
      <c r="C27" s="16"/>
      <c r="D27" s="13"/>
      <c r="E27" s="5"/>
      <c r="F27" s="5"/>
    </row>
    <row r="28" spans="1:6" x14ac:dyDescent="0.25">
      <c r="A28" s="5"/>
      <c r="B28" s="7" t="s">
        <v>30</v>
      </c>
      <c r="C28" s="16"/>
      <c r="D28" s="13"/>
      <c r="E28" s="5"/>
      <c r="F28" s="5"/>
    </row>
    <row r="29" spans="1:6" x14ac:dyDescent="0.25">
      <c r="A29" s="5"/>
      <c r="B29" s="7" t="s">
        <v>31</v>
      </c>
      <c r="C29" s="16"/>
      <c r="D29" s="13"/>
      <c r="E29" s="5"/>
      <c r="F29" s="5"/>
    </row>
    <row r="30" spans="1:6" x14ac:dyDescent="0.25">
      <c r="A30" s="5"/>
      <c r="B30" s="7" t="s">
        <v>32</v>
      </c>
      <c r="C30" s="16"/>
      <c r="D30" s="13"/>
      <c r="E30" s="5"/>
      <c r="F30" s="5"/>
    </row>
    <row r="31" spans="1:6" x14ac:dyDescent="0.25">
      <c r="A31" s="6" t="s">
        <v>49</v>
      </c>
      <c r="B31" s="4" t="s">
        <v>33</v>
      </c>
      <c r="C31" s="15" t="s">
        <v>74</v>
      </c>
      <c r="D31" s="13"/>
      <c r="E31" s="5"/>
      <c r="F31" s="5"/>
    </row>
    <row r="32" spans="1:6" x14ac:dyDescent="0.25">
      <c r="A32" s="6" t="s">
        <v>50</v>
      </c>
      <c r="B32" s="4" t="s">
        <v>34</v>
      </c>
      <c r="C32" s="15" t="s">
        <v>75</v>
      </c>
      <c r="D32" s="13"/>
      <c r="E32" s="5"/>
      <c r="F32" s="5"/>
    </row>
    <row r="33" spans="1:6" ht="30" x14ac:dyDescent="0.25">
      <c r="A33" s="6" t="s">
        <v>51</v>
      </c>
      <c r="B33" s="8" t="s">
        <v>37</v>
      </c>
      <c r="C33" s="15" t="s">
        <v>76</v>
      </c>
      <c r="D33" s="13"/>
      <c r="E33" s="5"/>
      <c r="F33" s="5"/>
    </row>
    <row r="34" spans="1:6" x14ac:dyDescent="0.25">
      <c r="A34" s="3" t="s">
        <v>45</v>
      </c>
      <c r="B34" s="709" t="s">
        <v>46</v>
      </c>
      <c r="C34" s="718"/>
      <c r="D34" s="11" t="s">
        <v>45</v>
      </c>
      <c r="E34" s="709" t="s">
        <v>46</v>
      </c>
      <c r="F34" s="710"/>
    </row>
    <row r="35" spans="1:6" x14ac:dyDescent="0.25">
      <c r="A35" s="6" t="s">
        <v>52</v>
      </c>
      <c r="B35" s="4" t="s">
        <v>39</v>
      </c>
      <c r="C35" s="15" t="s">
        <v>77</v>
      </c>
      <c r="D35" s="12" t="s">
        <v>52</v>
      </c>
      <c r="E35" s="5" t="s">
        <v>86</v>
      </c>
      <c r="F35" s="706" t="s">
        <v>79</v>
      </c>
    </row>
    <row r="36" spans="1:6" ht="32.25" customHeight="1" x14ac:dyDescent="0.25">
      <c r="A36" s="5"/>
      <c r="B36" s="9" t="s">
        <v>40</v>
      </c>
      <c r="C36" s="16"/>
      <c r="D36" s="12" t="s">
        <v>53</v>
      </c>
      <c r="E36" s="5" t="s">
        <v>87</v>
      </c>
      <c r="F36" s="707"/>
    </row>
    <row r="37" spans="1:6" x14ac:dyDescent="0.25">
      <c r="A37" s="5"/>
      <c r="B37" s="9" t="s">
        <v>41</v>
      </c>
      <c r="C37" s="16"/>
      <c r="D37" s="12" t="s">
        <v>54</v>
      </c>
      <c r="E37" s="5" t="s">
        <v>88</v>
      </c>
      <c r="F37" s="707"/>
    </row>
    <row r="38" spans="1:6" x14ac:dyDescent="0.25">
      <c r="A38" s="6" t="s">
        <v>53</v>
      </c>
      <c r="B38" s="4" t="s">
        <v>43</v>
      </c>
      <c r="C38" s="15" t="s">
        <v>71</v>
      </c>
      <c r="D38" s="12" t="s">
        <v>55</v>
      </c>
      <c r="E38" s="5" t="s">
        <v>89</v>
      </c>
      <c r="F38" s="707"/>
    </row>
    <row r="39" spans="1:6" x14ac:dyDescent="0.25">
      <c r="A39" s="6" t="s">
        <v>54</v>
      </c>
      <c r="B39" s="4" t="s">
        <v>42</v>
      </c>
      <c r="C39" s="15" t="s">
        <v>74</v>
      </c>
      <c r="D39" s="12" t="s">
        <v>69</v>
      </c>
      <c r="E39" s="5" t="s">
        <v>90</v>
      </c>
      <c r="F39" s="708"/>
    </row>
    <row r="40" spans="1:6" x14ac:dyDescent="0.25">
      <c r="A40" s="6" t="s">
        <v>55</v>
      </c>
      <c r="B40" s="4" t="s">
        <v>68</v>
      </c>
      <c r="C40" s="15" t="s">
        <v>75</v>
      </c>
      <c r="D40" s="13"/>
      <c r="E40" s="5"/>
      <c r="F40" s="5"/>
    </row>
    <row r="41" spans="1:6" ht="30" x14ac:dyDescent="0.25">
      <c r="A41" s="6" t="s">
        <v>69</v>
      </c>
      <c r="B41" s="8" t="s">
        <v>44</v>
      </c>
      <c r="C41" s="15" t="s">
        <v>76</v>
      </c>
      <c r="D41" s="13"/>
      <c r="E41" s="5"/>
      <c r="F41" s="5"/>
    </row>
    <row r="42" spans="1:6" x14ac:dyDescent="0.25">
      <c r="A42" s="3" t="s">
        <v>56</v>
      </c>
      <c r="B42" s="704" t="s">
        <v>57</v>
      </c>
      <c r="C42" s="705"/>
      <c r="D42" s="11" t="s">
        <v>56</v>
      </c>
      <c r="E42" s="704" t="s">
        <v>57</v>
      </c>
      <c r="F42" s="711"/>
    </row>
    <row r="43" spans="1:6" x14ac:dyDescent="0.25">
      <c r="A43" s="6" t="s">
        <v>58</v>
      </c>
      <c r="B43" s="5" t="s">
        <v>60</v>
      </c>
      <c r="C43" s="15" t="s">
        <v>78</v>
      </c>
      <c r="D43" s="12" t="s">
        <v>58</v>
      </c>
      <c r="E43" s="5" t="s">
        <v>60</v>
      </c>
      <c r="F43" s="706" t="s">
        <v>79</v>
      </c>
    </row>
    <row r="44" spans="1:6" x14ac:dyDescent="0.25">
      <c r="A44" s="6"/>
      <c r="B44" s="7" t="s">
        <v>61</v>
      </c>
      <c r="C44" s="16"/>
      <c r="D44" s="13"/>
      <c r="E44" s="7" t="s">
        <v>91</v>
      </c>
      <c r="F44" s="707"/>
    </row>
    <row r="45" spans="1:6" x14ac:dyDescent="0.25">
      <c r="A45" s="5"/>
      <c r="B45" s="7" t="s">
        <v>62</v>
      </c>
      <c r="C45" s="16"/>
      <c r="D45" s="13"/>
      <c r="E45" s="7" t="s">
        <v>92</v>
      </c>
      <c r="F45" s="707"/>
    </row>
    <row r="46" spans="1:6" x14ac:dyDescent="0.25">
      <c r="A46" s="6" t="s">
        <v>59</v>
      </c>
      <c r="B46" s="5" t="s">
        <v>63</v>
      </c>
      <c r="C46" s="15" t="s">
        <v>78</v>
      </c>
      <c r="D46" s="12" t="s">
        <v>59</v>
      </c>
      <c r="E46" s="5" t="s">
        <v>63</v>
      </c>
      <c r="F46" s="707"/>
    </row>
    <row r="47" spans="1:6" x14ac:dyDescent="0.25">
      <c r="A47" s="5"/>
      <c r="B47" s="7" t="s">
        <v>61</v>
      </c>
      <c r="C47" s="16"/>
      <c r="D47" s="13"/>
      <c r="E47" s="7" t="s">
        <v>91</v>
      </c>
      <c r="F47" s="707"/>
    </row>
    <row r="48" spans="1:6" x14ac:dyDescent="0.25">
      <c r="A48" s="5"/>
      <c r="B48" s="7" t="s">
        <v>62</v>
      </c>
      <c r="C48" s="16"/>
      <c r="D48" s="13"/>
      <c r="E48" s="7" t="s">
        <v>92</v>
      </c>
      <c r="F48" s="708"/>
    </row>
    <row r="49" spans="1:6" x14ac:dyDescent="0.25">
      <c r="A49" s="5"/>
      <c r="B49" s="7"/>
      <c r="C49" s="16"/>
      <c r="D49" s="11" t="s">
        <v>64</v>
      </c>
      <c r="E49" s="3" t="s">
        <v>95</v>
      </c>
      <c r="F49" s="5"/>
    </row>
    <row r="50" spans="1:6" x14ac:dyDescent="0.25">
      <c r="A50" s="5"/>
      <c r="B50" s="7"/>
      <c r="C50" s="16"/>
      <c r="D50" s="20" t="s">
        <v>101</v>
      </c>
      <c r="E50" s="19" t="s">
        <v>96</v>
      </c>
      <c r="F50" s="712" t="s">
        <v>98</v>
      </c>
    </row>
    <row r="51" spans="1:6" x14ac:dyDescent="0.25">
      <c r="A51" s="5"/>
      <c r="B51" s="7"/>
      <c r="C51" s="16"/>
      <c r="D51" s="12" t="s">
        <v>102</v>
      </c>
      <c r="E51" s="5" t="s">
        <v>97</v>
      </c>
      <c r="F51" s="713"/>
    </row>
    <row r="52" spans="1:6" x14ac:dyDescent="0.25">
      <c r="A52" s="5"/>
      <c r="B52" s="7"/>
      <c r="C52" s="16"/>
      <c r="D52" s="13"/>
      <c r="E52" s="7" t="s">
        <v>66</v>
      </c>
      <c r="F52" s="5"/>
    </row>
    <row r="53" spans="1:6" x14ac:dyDescent="0.25">
      <c r="A53" s="5"/>
      <c r="B53" s="7"/>
      <c r="C53" s="16"/>
      <c r="D53" s="13"/>
      <c r="E53" s="7" t="s">
        <v>67</v>
      </c>
      <c r="F53" s="5"/>
    </row>
    <row r="54" spans="1:6" ht="30" x14ac:dyDescent="0.25">
      <c r="A54" s="3" t="s">
        <v>64</v>
      </c>
      <c r="B54" s="8" t="s">
        <v>65</v>
      </c>
      <c r="C54" s="714" t="s">
        <v>99</v>
      </c>
      <c r="D54" s="3" t="s">
        <v>100</v>
      </c>
      <c r="E54" s="8" t="s">
        <v>94</v>
      </c>
      <c r="F54" s="706" t="s">
        <v>99</v>
      </c>
    </row>
    <row r="55" spans="1:6" x14ac:dyDescent="0.25">
      <c r="A55" s="5"/>
      <c r="B55" s="7" t="s">
        <v>66</v>
      </c>
      <c r="C55" s="715"/>
      <c r="D55" s="13"/>
      <c r="E55" s="7" t="s">
        <v>66</v>
      </c>
      <c r="F55" s="707"/>
    </row>
    <row r="56" spans="1:6" x14ac:dyDescent="0.25">
      <c r="A56" s="5"/>
      <c r="B56" s="7" t="s">
        <v>67</v>
      </c>
      <c r="C56" s="716"/>
      <c r="D56" s="13"/>
      <c r="E56" s="7" t="s">
        <v>67</v>
      </c>
      <c r="F56" s="708"/>
    </row>
    <row r="57" spans="1:6" x14ac:dyDescent="0.25">
      <c r="A57" s="5"/>
      <c r="B57" s="18" t="s">
        <v>93</v>
      </c>
      <c r="C57" s="16"/>
      <c r="D57" s="13"/>
      <c r="E57" s="18" t="s">
        <v>93</v>
      </c>
      <c r="F57" s="5"/>
    </row>
  </sheetData>
  <mergeCells count="12">
    <mergeCell ref="F43:F48"/>
    <mergeCell ref="F50:F51"/>
    <mergeCell ref="C54:C56"/>
    <mergeCell ref="F54:F56"/>
    <mergeCell ref="F3:F8"/>
    <mergeCell ref="B34:C34"/>
    <mergeCell ref="B2:C2"/>
    <mergeCell ref="F35:F39"/>
    <mergeCell ref="E34:F34"/>
    <mergeCell ref="B42:C42"/>
    <mergeCell ref="E42:F42"/>
    <mergeCell ref="E2:F2"/>
  </mergeCells>
  <pageMargins left="0.7" right="0.7" top="0.75" bottom="0.75" header="0.3" footer="0.3"/>
  <pageSetup paperSize="9" scale="64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L97"/>
  <sheetViews>
    <sheetView view="pageBreakPreview" zoomScale="80" zoomScaleNormal="80" zoomScaleSheetLayoutView="80" workbookViewId="0">
      <selection activeCell="F97" sqref="F97"/>
    </sheetView>
  </sheetViews>
  <sheetFormatPr defaultRowHeight="15" x14ac:dyDescent="0.25"/>
  <cols>
    <col min="1" max="1" width="6.7109375" style="21" customWidth="1"/>
    <col min="2" max="2" width="71.5703125" style="21" customWidth="1"/>
    <col min="3" max="6" width="20.85546875" style="21" customWidth="1"/>
    <col min="7" max="7" width="6.7109375" style="21" customWidth="1"/>
    <col min="8" max="8" width="71.5703125" style="21" customWidth="1"/>
    <col min="9" max="12" width="20.7109375" style="21" customWidth="1"/>
    <col min="13" max="16384" width="9.140625" style="21"/>
  </cols>
  <sheetData>
    <row r="1" spans="1:12" ht="40.5" customHeight="1" x14ac:dyDescent="0.25">
      <c r="A1" s="76"/>
      <c r="B1" s="77" t="s">
        <v>514</v>
      </c>
      <c r="C1" s="76" t="s">
        <v>1101</v>
      </c>
      <c r="D1" s="76" t="s">
        <v>1106</v>
      </c>
      <c r="E1" s="657" t="s">
        <v>1110</v>
      </c>
      <c r="F1" s="76" t="s">
        <v>1102</v>
      </c>
      <c r="G1" s="76"/>
      <c r="H1" s="77" t="s">
        <v>515</v>
      </c>
      <c r="I1" s="76" t="s">
        <v>1101</v>
      </c>
      <c r="J1" s="76" t="s">
        <v>1106</v>
      </c>
      <c r="K1" s="657" t="s">
        <v>1110</v>
      </c>
      <c r="L1" s="76" t="s">
        <v>1102</v>
      </c>
    </row>
    <row r="2" spans="1:12" ht="20.25" customHeight="1" x14ac:dyDescent="0.25">
      <c r="A2" s="689"/>
      <c r="B2" s="690" t="s">
        <v>180</v>
      </c>
      <c r="C2" s="691">
        <f>C3+C18+C25+C36</f>
        <v>102969.2378</v>
      </c>
      <c r="D2" s="691">
        <f t="shared" ref="D2:F2" si="0">D3+D18+D25+D36</f>
        <v>0</v>
      </c>
      <c r="E2" s="691">
        <f t="shared" ref="E2" si="1">E3+E18+E25+E36</f>
        <v>-21297.999999999996</v>
      </c>
      <c r="F2" s="691">
        <f t="shared" si="0"/>
        <v>81671.237800000003</v>
      </c>
      <c r="G2" s="689"/>
      <c r="H2" s="690" t="s">
        <v>196</v>
      </c>
      <c r="I2" s="691">
        <f>I3+I7+I18+I25+I36</f>
        <v>188638.9605168</v>
      </c>
      <c r="J2" s="691">
        <f t="shared" ref="J2" si="2">J3+J7+J18+J25+J36</f>
        <v>975</v>
      </c>
      <c r="K2" s="691">
        <f t="shared" ref="K2" si="3">K3+K7+K18+K25+K36</f>
        <v>-13148.574803149606</v>
      </c>
      <c r="L2" s="691">
        <f>L3+L7+L18+L25+L36</f>
        <v>176465.38571365038</v>
      </c>
    </row>
    <row r="3" spans="1:12" ht="20.25" customHeight="1" x14ac:dyDescent="0.25">
      <c r="A3" s="421" t="s">
        <v>23</v>
      </c>
      <c r="B3" s="422" t="s">
        <v>312</v>
      </c>
      <c r="C3" s="423">
        <f>C4+C12+C13+C14+C15+C16</f>
        <v>0</v>
      </c>
      <c r="D3" s="423">
        <f t="shared" ref="D3:F3" si="4">D4+D12+D13+D14+D15+D16</f>
        <v>0</v>
      </c>
      <c r="E3" s="423">
        <f t="shared" ref="E3" si="5">E4+E12+E13+E14+E15+E16</f>
        <v>0</v>
      </c>
      <c r="F3" s="423">
        <f t="shared" si="4"/>
        <v>0</v>
      </c>
      <c r="G3" s="421" t="s">
        <v>23</v>
      </c>
      <c r="H3" s="414" t="s">
        <v>213</v>
      </c>
      <c r="I3" s="415">
        <f>SUM(I4:I5)</f>
        <v>53089</v>
      </c>
      <c r="J3" s="415">
        <f t="shared" ref="J3:L3" si="6">SUM(J4:J5)</f>
        <v>768</v>
      </c>
      <c r="K3" s="415">
        <f t="shared" ref="K3" si="7">SUM(K4:K5)</f>
        <v>-1215</v>
      </c>
      <c r="L3" s="415">
        <f t="shared" si="6"/>
        <v>52642</v>
      </c>
    </row>
    <row r="4" spans="1:12" ht="20.25" customHeight="1" x14ac:dyDescent="0.25">
      <c r="A4" s="70"/>
      <c r="B4" s="111" t="s">
        <v>247</v>
      </c>
      <c r="C4" s="109">
        <f>SUM(C5:C8)</f>
        <v>0</v>
      </c>
      <c r="D4" s="109">
        <f t="shared" ref="D4:F4" si="8">SUM(D5:D8)</f>
        <v>0</v>
      </c>
      <c r="E4" s="109">
        <f t="shared" ref="E4" si="9">SUM(E5:E8)</f>
        <v>0</v>
      </c>
      <c r="F4" s="109">
        <f t="shared" si="8"/>
        <v>0</v>
      </c>
      <c r="G4" s="80"/>
      <c r="H4" s="69" t="s">
        <v>507</v>
      </c>
      <c r="I4" s="97">
        <f>'5.a forrás részletes'!U12+'5.a forrás részletes'!I12</f>
        <v>51917</v>
      </c>
      <c r="J4" s="97">
        <f>'5.a forrás részletes'!V12+'5.a forrás részletes'!J12</f>
        <v>768</v>
      </c>
      <c r="K4" s="97">
        <f>'5.a forrás részletes'!W12+'5.a forrás részletes'!K12</f>
        <v>-1215</v>
      </c>
      <c r="L4" s="97">
        <f>'5.a forrás részletes'!X12+'5.a forrás részletes'!L12</f>
        <v>51470</v>
      </c>
    </row>
    <row r="5" spans="1:12" ht="24" customHeight="1" x14ac:dyDescent="0.25">
      <c r="A5" s="80"/>
      <c r="B5" s="84" t="s">
        <v>248</v>
      </c>
      <c r="C5" s="109">
        <f>'5.a forrás részletes'!C5+'5.a forrás részletes'!O5</f>
        <v>0</v>
      </c>
      <c r="D5" s="109">
        <f>'5.a forrás részletes'!D5+'5.a forrás részletes'!P5</f>
        <v>0</v>
      </c>
      <c r="E5" s="109">
        <f>'5.a forrás részletes'!E5+'5.a forrás részletes'!Q5</f>
        <v>0</v>
      </c>
      <c r="F5" s="109">
        <f>'5.a forrás részletes'!F5+'5.a forrás részletes'!R5</f>
        <v>0</v>
      </c>
      <c r="G5" s="80"/>
      <c r="H5" s="69" t="s">
        <v>508</v>
      </c>
      <c r="I5" s="97">
        <f>'5.a forrás részletes'!I16+'5.a forrás részletes'!U16</f>
        <v>1172</v>
      </c>
      <c r="J5" s="97">
        <f>'5.a forrás részletes'!J16+'5.a forrás részletes'!V16</f>
        <v>0</v>
      </c>
      <c r="K5" s="97">
        <f>'5.a forrás részletes'!K16+'5.a forrás részletes'!W16</f>
        <v>0</v>
      </c>
      <c r="L5" s="97">
        <f>'5.a forrás részletes'!L16+'5.a forrás részletes'!X16</f>
        <v>1172</v>
      </c>
    </row>
    <row r="6" spans="1:12" ht="24" customHeight="1" x14ac:dyDescent="0.25">
      <c r="A6" s="80"/>
      <c r="B6" s="84" t="s">
        <v>249</v>
      </c>
      <c r="C6" s="109"/>
      <c r="D6" s="109"/>
      <c r="E6" s="109"/>
      <c r="F6" s="109"/>
      <c r="G6" s="80"/>
      <c r="H6" s="69"/>
      <c r="I6" s="97"/>
      <c r="J6" s="97"/>
      <c r="K6" s="97"/>
      <c r="L6" s="97"/>
    </row>
    <row r="7" spans="1:12" ht="22.5" customHeight="1" x14ac:dyDescent="0.25">
      <c r="A7" s="80"/>
      <c r="B7" s="84" t="s">
        <v>250</v>
      </c>
      <c r="C7" s="109">
        <f>'5.a forrás részletes'!C7+'5.a forrás részletes'!O7</f>
        <v>0</v>
      </c>
      <c r="D7" s="109">
        <f>'5.a forrás részletes'!D7+'5.a forrás részletes'!P7</f>
        <v>0</v>
      </c>
      <c r="E7" s="109">
        <f>'5.a forrás részletes'!E7+'5.a forrás részletes'!Q7</f>
        <v>0</v>
      </c>
      <c r="F7" s="109">
        <f>'5.a forrás részletes'!F7+'5.a forrás részletes'!R7</f>
        <v>0</v>
      </c>
      <c r="G7" s="421" t="s">
        <v>45</v>
      </c>
      <c r="H7" s="414" t="s">
        <v>214</v>
      </c>
      <c r="I7" s="415">
        <f>'5.a forrás részletes'!U17+'5.a forrás részletes'!I17</f>
        <v>14562.0327168</v>
      </c>
      <c r="J7" s="415">
        <f>'5.a forrás részletes'!V17+'5.a forrás részletes'!J17</f>
        <v>207</v>
      </c>
      <c r="K7" s="415">
        <f>'5.a forrás részletes'!W17+'5.a forrás részletes'!K17</f>
        <v>-332</v>
      </c>
      <c r="L7" s="415">
        <f>'5.a forrás részletes'!X17+'5.a forrás részletes'!L17</f>
        <v>14437.0327168</v>
      </c>
    </row>
    <row r="8" spans="1:12" ht="22.5" customHeight="1" x14ac:dyDescent="0.25">
      <c r="A8" s="80"/>
      <c r="B8" s="84" t="s">
        <v>251</v>
      </c>
      <c r="C8" s="109"/>
      <c r="D8" s="109"/>
      <c r="E8" s="109"/>
      <c r="F8" s="109"/>
      <c r="G8" s="80"/>
      <c r="H8" s="69"/>
      <c r="I8" s="97"/>
      <c r="J8" s="97"/>
      <c r="K8" s="97"/>
      <c r="L8" s="97"/>
    </row>
    <row r="9" spans="1:12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0"/>
      <c r="H9" s="69"/>
      <c r="I9" s="97"/>
      <c r="J9" s="97"/>
      <c r="K9" s="97"/>
      <c r="L9" s="97"/>
    </row>
    <row r="10" spans="1:12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5"/>
      <c r="H10" s="69"/>
      <c r="I10" s="98"/>
      <c r="J10" s="98"/>
      <c r="K10" s="98"/>
      <c r="L10" s="98"/>
    </row>
    <row r="11" spans="1:12" ht="20.25" customHeight="1" x14ac:dyDescent="0.25">
      <c r="A11" s="80"/>
      <c r="B11" s="115"/>
      <c r="C11" s="88"/>
      <c r="D11" s="88"/>
      <c r="E11" s="88"/>
      <c r="F11" s="88"/>
      <c r="G11" s="85"/>
      <c r="H11" s="69"/>
      <c r="I11" s="99"/>
      <c r="J11" s="99"/>
      <c r="K11" s="99"/>
      <c r="L11" s="99"/>
    </row>
    <row r="12" spans="1:12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7"/>
      <c r="J12" s="107"/>
      <c r="K12" s="107"/>
      <c r="L12" s="107"/>
    </row>
    <row r="13" spans="1:12" ht="30" x14ac:dyDescent="0.25">
      <c r="A13" s="70"/>
      <c r="B13" s="84" t="s">
        <v>256</v>
      </c>
      <c r="C13" s="109"/>
      <c r="D13" s="109"/>
      <c r="E13" s="109"/>
      <c r="F13" s="109"/>
      <c r="G13" s="85"/>
      <c r="H13" s="69"/>
      <c r="I13" s="99"/>
      <c r="J13" s="99"/>
      <c r="K13" s="99"/>
      <c r="L13" s="99"/>
    </row>
    <row r="14" spans="1:12" ht="29.25" customHeight="1" x14ac:dyDescent="0.25">
      <c r="A14" s="70"/>
      <c r="B14" s="84" t="s">
        <v>257</v>
      </c>
      <c r="C14" s="109"/>
      <c r="D14" s="109"/>
      <c r="E14" s="109"/>
      <c r="F14" s="109"/>
      <c r="G14" s="85"/>
      <c r="H14" s="69"/>
      <c r="I14" s="99"/>
      <c r="J14" s="99"/>
      <c r="K14" s="99"/>
      <c r="L14" s="99"/>
    </row>
    <row r="15" spans="1:12" ht="29.25" customHeight="1" x14ac:dyDescent="0.25">
      <c r="A15" s="70"/>
      <c r="B15" s="84" t="s">
        <v>258</v>
      </c>
      <c r="C15" s="109"/>
      <c r="D15" s="109"/>
      <c r="E15" s="109"/>
      <c r="F15" s="109"/>
      <c r="G15" s="85"/>
      <c r="H15" s="69"/>
      <c r="I15" s="99"/>
      <c r="J15" s="99"/>
      <c r="K15" s="99"/>
      <c r="L15" s="99"/>
    </row>
    <row r="16" spans="1:12" ht="29.25" customHeight="1" x14ac:dyDescent="0.25">
      <c r="A16" s="70"/>
      <c r="B16" s="84" t="s">
        <v>259</v>
      </c>
      <c r="C16" s="109">
        <f>'5.a forrás részletes'!C16+'5.a forrás részletes'!O16</f>
        <v>0</v>
      </c>
      <c r="D16" s="109">
        <f>'5.a forrás részletes'!D16+'5.a forrás részletes'!P16</f>
        <v>0</v>
      </c>
      <c r="E16" s="109">
        <f>'5.a forrás részletes'!E16+'5.a forrás részletes'!Q16</f>
        <v>0</v>
      </c>
      <c r="F16" s="109">
        <f>'5.a forrás részletes'!F16+'5.a forrás részletes'!R16</f>
        <v>0</v>
      </c>
      <c r="G16" s="85"/>
      <c r="H16" s="88"/>
      <c r="I16" s="107"/>
      <c r="J16" s="107"/>
      <c r="K16" s="107"/>
      <c r="L16" s="107"/>
    </row>
    <row r="17" spans="1:12" ht="18.75" customHeight="1" x14ac:dyDescent="0.25">
      <c r="A17" s="70"/>
      <c r="C17" s="109"/>
      <c r="D17" s="109"/>
      <c r="E17" s="109"/>
      <c r="F17" s="109"/>
      <c r="H17" s="88"/>
      <c r="I17" s="99"/>
      <c r="J17" s="99"/>
      <c r="K17" s="99"/>
      <c r="L17" s="99"/>
    </row>
    <row r="18" spans="1:12" ht="20.25" customHeight="1" x14ac:dyDescent="0.25">
      <c r="A18" s="421" t="s">
        <v>45</v>
      </c>
      <c r="B18" s="422" t="s">
        <v>266</v>
      </c>
      <c r="C18" s="423">
        <f>C19+C20+C24</f>
        <v>0</v>
      </c>
      <c r="D18" s="423">
        <f t="shared" ref="D18:F18" si="10">D19+D20+D24</f>
        <v>0</v>
      </c>
      <c r="E18" s="423">
        <f t="shared" ref="E18" si="11">E19+E20+E24</f>
        <v>0</v>
      </c>
      <c r="F18" s="423">
        <f t="shared" si="10"/>
        <v>0</v>
      </c>
      <c r="G18" s="421" t="s">
        <v>56</v>
      </c>
      <c r="H18" s="414" t="s">
        <v>215</v>
      </c>
      <c r="I18" s="415">
        <f>SUM(I19:I23)</f>
        <v>120987.9278</v>
      </c>
      <c r="J18" s="415">
        <f t="shared" ref="J18:L18" si="12">SUM(J19:J23)</f>
        <v>0</v>
      </c>
      <c r="K18" s="415">
        <f t="shared" ref="K18" si="13">SUM(K19:K23)</f>
        <v>-11601.574803149606</v>
      </c>
      <c r="L18" s="415">
        <f t="shared" si="12"/>
        <v>109386.35299685039</v>
      </c>
    </row>
    <row r="19" spans="1:12" ht="20.25" customHeight="1" x14ac:dyDescent="0.25">
      <c r="A19" s="86"/>
      <c r="B19" s="88" t="s">
        <v>267</v>
      </c>
      <c r="C19" s="97"/>
      <c r="D19" s="97"/>
      <c r="E19" s="97"/>
      <c r="F19" s="97"/>
      <c r="G19" s="71"/>
      <c r="H19" s="119" t="s">
        <v>238</v>
      </c>
      <c r="I19" s="107">
        <f>'5.a forrás részletes'!U40+'5.a forrás részletes'!I40</f>
        <v>63837</v>
      </c>
      <c r="J19" s="107">
        <f>'5.a forrás részletes'!V40+'5.a forrás részletes'!J40</f>
        <v>0</v>
      </c>
      <c r="K19" s="107">
        <f>'5.a forrás részletes'!W40+'5.a forrás részletes'!K40</f>
        <v>-10748.031496062991</v>
      </c>
      <c r="L19" s="107">
        <f>'5.a forrás részletes'!X40+'5.a forrás részletes'!L40</f>
        <v>53088.968503937009</v>
      </c>
    </row>
    <row r="20" spans="1:12" ht="20.25" customHeight="1" x14ac:dyDescent="0.25">
      <c r="A20" s="86"/>
      <c r="B20" s="88" t="s">
        <v>268</v>
      </c>
      <c r="C20" s="97"/>
      <c r="D20" s="97"/>
      <c r="E20" s="97"/>
      <c r="F20" s="97"/>
      <c r="G20" s="71"/>
      <c r="H20" s="119" t="s">
        <v>239</v>
      </c>
      <c r="I20" s="107">
        <f>'5.a forrás részletes'!U43+'5.a forrás részletes'!I43</f>
        <v>1135</v>
      </c>
      <c r="J20" s="107">
        <f>'5.a forrás részletes'!V43+'5.a forrás részletes'!J43</f>
        <v>0</v>
      </c>
      <c r="K20" s="107">
        <f>'5.a forrás részletes'!W43+'5.a forrás részletes'!K43</f>
        <v>0</v>
      </c>
      <c r="L20" s="107">
        <f>'5.a forrás részletes'!X43+'5.a forrás részletes'!L43</f>
        <v>1135</v>
      </c>
    </row>
    <row r="21" spans="1:12" ht="20.25" customHeight="1" x14ac:dyDescent="0.25">
      <c r="A21" s="86"/>
      <c r="B21" s="88" t="s">
        <v>269</v>
      </c>
      <c r="C21" s="97"/>
      <c r="D21" s="97"/>
      <c r="E21" s="97"/>
      <c r="F21" s="97"/>
      <c r="G21" s="71"/>
      <c r="H21" s="119" t="s">
        <v>240</v>
      </c>
      <c r="I21" s="107">
        <f>'5.a forrás részletes'!U69+'5.a forrás részletes'!I69</f>
        <v>26063</v>
      </c>
      <c r="J21" s="107">
        <f>'5.a forrás részletes'!V69+'5.a forrás részletes'!J69</f>
        <v>0</v>
      </c>
      <c r="K21" s="107">
        <f>'5.a forrás részletes'!W69+'5.a forrás részletes'!K69</f>
        <v>1613.4566929133857</v>
      </c>
      <c r="L21" s="107">
        <f>'5.a forrás részletes'!X69+'5.a forrás részletes'!L69</f>
        <v>27676.456692913387</v>
      </c>
    </row>
    <row r="22" spans="1:12" ht="20.25" customHeight="1" x14ac:dyDescent="0.25">
      <c r="A22" s="86"/>
      <c r="B22" s="88" t="s">
        <v>270</v>
      </c>
      <c r="C22" s="97"/>
      <c r="D22" s="97"/>
      <c r="E22" s="97"/>
      <c r="F22" s="97"/>
      <c r="G22" s="71"/>
      <c r="H22" s="119" t="s">
        <v>241</v>
      </c>
      <c r="I22" s="107">
        <f>'5.a forrás részletes'!U72+'5.a forrás részletes'!I72</f>
        <v>737</v>
      </c>
      <c r="J22" s="107">
        <f>'5.a forrás részletes'!V72+'5.a forrás részletes'!J72</f>
        <v>0</v>
      </c>
      <c r="K22" s="107">
        <f>'5.a forrás részletes'!W72+'5.a forrás részletes'!K72</f>
        <v>0</v>
      </c>
      <c r="L22" s="107">
        <f>'5.a forrás részletes'!X72+'5.a forrás részletes'!L72</f>
        <v>737</v>
      </c>
    </row>
    <row r="23" spans="1:12" ht="20.25" customHeight="1" x14ac:dyDescent="0.25">
      <c r="A23" s="86"/>
      <c r="B23" s="88" t="s">
        <v>271</v>
      </c>
      <c r="C23" s="97"/>
      <c r="D23" s="97"/>
      <c r="E23" s="97"/>
      <c r="F23" s="97"/>
      <c r="G23" s="71"/>
      <c r="H23" s="119" t="s">
        <v>242</v>
      </c>
      <c r="I23" s="107">
        <f>'5.a forrás részletes'!U78+'5.a forrás részletes'!I78</f>
        <v>29215.927799999998</v>
      </c>
      <c r="J23" s="107">
        <f>'5.a forrás részletes'!V78+'5.a forrás részletes'!J78</f>
        <v>0</v>
      </c>
      <c r="K23" s="107">
        <f>'5.a forrás részletes'!W78+'5.a forrás részletes'!K78</f>
        <v>-2467</v>
      </c>
      <c r="L23" s="107">
        <f>'5.a forrás részletes'!X78+'5.a forrás részletes'!L78</f>
        <v>26748.927799999998</v>
      </c>
    </row>
    <row r="24" spans="1:12" ht="20.25" customHeight="1" x14ac:dyDescent="0.25">
      <c r="A24" s="86"/>
      <c r="B24" s="88" t="s">
        <v>272</v>
      </c>
      <c r="C24" s="97"/>
      <c r="D24" s="97"/>
      <c r="E24" s="97"/>
      <c r="F24" s="97"/>
      <c r="G24" s="71"/>
      <c r="H24" s="71"/>
      <c r="I24" s="99"/>
      <c r="J24" s="99"/>
      <c r="K24" s="99"/>
      <c r="L24" s="99"/>
    </row>
    <row r="25" spans="1:12" ht="20.25" customHeight="1" x14ac:dyDescent="0.25">
      <c r="A25" s="421" t="s">
        <v>56</v>
      </c>
      <c r="B25" s="422" t="s">
        <v>273</v>
      </c>
      <c r="C25" s="423">
        <f>SUM(C26:C35)</f>
        <v>102969.2378</v>
      </c>
      <c r="D25" s="423">
        <f t="shared" ref="D25:F25" si="14">SUM(D26:D35)</f>
        <v>0</v>
      </c>
      <c r="E25" s="423">
        <f t="shared" ref="E25" si="15">SUM(E26:E35)</f>
        <v>-21297.999999999996</v>
      </c>
      <c r="F25" s="423">
        <f t="shared" si="14"/>
        <v>81671.237800000003</v>
      </c>
      <c r="G25" s="421" t="s">
        <v>64</v>
      </c>
      <c r="H25" s="414" t="s">
        <v>216</v>
      </c>
      <c r="I25" s="415">
        <f>'5.a forrás részletes'!I79+'5.a forrás részletes'!U79</f>
        <v>0</v>
      </c>
      <c r="J25" s="415">
        <f>'5.a forrás részletes'!J79+'5.a forrás részletes'!V79</f>
        <v>0</v>
      </c>
      <c r="K25" s="415">
        <f>'5.a forrás részletes'!K79+'5.a forrás részletes'!W79</f>
        <v>0</v>
      </c>
      <c r="L25" s="415">
        <f>'5.a forrás részletes'!L79+'5.a forrás részletes'!X79</f>
        <v>0</v>
      </c>
    </row>
    <row r="26" spans="1:12" ht="20.25" customHeight="1" x14ac:dyDescent="0.25">
      <c r="A26" s="86"/>
      <c r="B26" s="89" t="s">
        <v>274</v>
      </c>
      <c r="C26" s="103">
        <f>'5.a forrás részletes'!C24+'5.a forrás részletes'!O24</f>
        <v>0</v>
      </c>
      <c r="D26" s="103">
        <f>'5.a forrás részletes'!D24+'5.a forrás részletes'!P24</f>
        <v>0</v>
      </c>
      <c r="E26" s="103">
        <f>'5.a forrás részletes'!E24+'5.a forrás részletes'!Q24</f>
        <v>0</v>
      </c>
      <c r="F26" s="103">
        <f>'5.a forrás részletes'!F24+'5.a forrás részletes'!R24</f>
        <v>0</v>
      </c>
      <c r="G26" s="71"/>
      <c r="H26" s="71" t="s">
        <v>202</v>
      </c>
      <c r="I26" s="102"/>
      <c r="J26" s="102"/>
      <c r="K26" s="102"/>
      <c r="L26" s="102"/>
    </row>
    <row r="27" spans="1:12" ht="20.25" customHeight="1" x14ac:dyDescent="0.25">
      <c r="A27" s="86"/>
      <c r="B27" s="89" t="s">
        <v>275</v>
      </c>
      <c r="C27" s="103">
        <f>'5.a forrás részletes'!C25+'5.a forrás részletes'!O25</f>
        <v>81078.14</v>
      </c>
      <c r="D27" s="103">
        <f>'5.a forrás részletes'!D25+'5.a forrás részletes'!P25</f>
        <v>0</v>
      </c>
      <c r="E27" s="103">
        <f>'5.a forrás részletes'!E25+'5.a forrás részletes'!Q25</f>
        <v>-16770.078740157478</v>
      </c>
      <c r="F27" s="103">
        <f>'5.a forrás részletes'!F25+'5.a forrás részletes'!R25</f>
        <v>64308.061259842521</v>
      </c>
      <c r="G27" s="71"/>
      <c r="H27" s="88" t="s">
        <v>203</v>
      </c>
      <c r="I27" s="102"/>
      <c r="J27" s="102"/>
      <c r="K27" s="102"/>
      <c r="L27" s="102"/>
    </row>
    <row r="28" spans="1:12" ht="20.25" customHeight="1" x14ac:dyDescent="0.25">
      <c r="A28" s="86"/>
      <c r="B28" s="89" t="s">
        <v>276</v>
      </c>
      <c r="C28" s="103"/>
      <c r="D28" s="103"/>
      <c r="E28" s="103"/>
      <c r="F28" s="103"/>
      <c r="G28" s="71"/>
      <c r="H28" s="71" t="s">
        <v>204</v>
      </c>
      <c r="I28" s="102"/>
      <c r="J28" s="102"/>
      <c r="K28" s="102"/>
      <c r="L28" s="102"/>
    </row>
    <row r="29" spans="1:12" ht="20.25" customHeight="1" x14ac:dyDescent="0.25">
      <c r="A29" s="86"/>
      <c r="B29" s="89" t="s">
        <v>277</v>
      </c>
      <c r="C29" s="103"/>
      <c r="D29" s="103"/>
      <c r="E29" s="103"/>
      <c r="F29" s="103"/>
      <c r="G29" s="71"/>
      <c r="H29" s="71" t="s">
        <v>205</v>
      </c>
      <c r="I29" s="102"/>
      <c r="J29" s="102"/>
      <c r="K29" s="102"/>
      <c r="L29" s="102"/>
    </row>
    <row r="30" spans="1:12" ht="20.25" customHeight="1" x14ac:dyDescent="0.25">
      <c r="A30" s="86"/>
      <c r="B30" s="89" t="s">
        <v>278</v>
      </c>
      <c r="C30" s="103">
        <f>'5.a forrás részletes'!C39+'5.a forrás részletes'!O39</f>
        <v>0</v>
      </c>
      <c r="D30" s="103">
        <f>'5.a forrás részletes'!D39+'5.a forrás részletes'!P39</f>
        <v>0</v>
      </c>
      <c r="E30" s="103">
        <f>'5.a forrás részletes'!E39+'5.a forrás részletes'!Q39</f>
        <v>0</v>
      </c>
      <c r="F30" s="103">
        <f>'5.a forrás részletes'!F39+'5.a forrás részletes'!R39</f>
        <v>0</v>
      </c>
      <c r="G30" s="71"/>
      <c r="H30" s="71" t="s">
        <v>206</v>
      </c>
      <c r="I30" s="102"/>
      <c r="J30" s="102"/>
      <c r="K30" s="102"/>
      <c r="L30" s="102"/>
    </row>
    <row r="31" spans="1:12" ht="20.25" customHeight="1" x14ac:dyDescent="0.25">
      <c r="A31" s="86"/>
      <c r="B31" s="89" t="s">
        <v>279</v>
      </c>
      <c r="C31" s="103">
        <f>'5.a forrás részletes'!C45</f>
        <v>21891.0978</v>
      </c>
      <c r="D31" s="103">
        <f>'5.a forrás részletes'!D45</f>
        <v>0</v>
      </c>
      <c r="E31" s="103">
        <f>'5.a forrás részletes'!E45</f>
        <v>-4527.9212598425192</v>
      </c>
      <c r="F31" s="103">
        <f>'5.a forrás részletes'!F45</f>
        <v>17363.176540157481</v>
      </c>
      <c r="G31" s="71"/>
      <c r="H31" s="71" t="s">
        <v>207</v>
      </c>
      <c r="I31" s="102"/>
      <c r="J31" s="102"/>
      <c r="K31" s="102"/>
      <c r="L31" s="102"/>
    </row>
    <row r="32" spans="1:12" ht="20.25" customHeight="1" x14ac:dyDescent="0.25">
      <c r="A32" s="86"/>
      <c r="B32" s="89" t="s">
        <v>280</v>
      </c>
      <c r="C32" s="103">
        <f>'5.a forrás részletes'!C46+'5.a forrás részletes'!O46</f>
        <v>0</v>
      </c>
      <c r="D32" s="103">
        <f>'5.a forrás részletes'!D46+'5.a forrás részletes'!P46</f>
        <v>0</v>
      </c>
      <c r="E32" s="103">
        <f>'5.a forrás részletes'!E46+'5.a forrás részletes'!Q46</f>
        <v>0</v>
      </c>
      <c r="F32" s="103">
        <f>'5.a forrás részletes'!F46+'5.a forrás részletes'!R46</f>
        <v>0</v>
      </c>
      <c r="G32" s="71"/>
      <c r="H32" s="71"/>
      <c r="I32" s="99"/>
      <c r="J32" s="99"/>
      <c r="K32" s="99"/>
      <c r="L32" s="99"/>
    </row>
    <row r="33" spans="1:12" ht="20.25" customHeight="1" x14ac:dyDescent="0.25">
      <c r="A33" s="86"/>
      <c r="B33" s="89" t="s">
        <v>281</v>
      </c>
      <c r="C33" s="103"/>
      <c r="D33" s="103"/>
      <c r="E33" s="103"/>
      <c r="F33" s="103"/>
      <c r="G33" s="71"/>
      <c r="I33" s="107"/>
      <c r="J33" s="107"/>
      <c r="K33" s="107"/>
      <c r="L33" s="107"/>
    </row>
    <row r="34" spans="1:12" ht="20.25" customHeight="1" x14ac:dyDescent="0.25">
      <c r="A34" s="86"/>
      <c r="B34" s="89" t="s">
        <v>282</v>
      </c>
      <c r="C34" s="103"/>
      <c r="D34" s="103"/>
      <c r="E34" s="103"/>
      <c r="F34" s="103"/>
      <c r="G34" s="71"/>
      <c r="H34" s="71"/>
      <c r="I34" s="99"/>
      <c r="J34" s="99"/>
      <c r="K34" s="99"/>
      <c r="L34" s="99"/>
    </row>
    <row r="35" spans="1:12" ht="20.25" customHeight="1" x14ac:dyDescent="0.25">
      <c r="A35" s="86"/>
      <c r="B35" s="89" t="s">
        <v>283</v>
      </c>
      <c r="C35" s="103">
        <f>'5.a forrás részletes'!C49+'5.a forrás részletes'!O49</f>
        <v>0</v>
      </c>
      <c r="D35" s="103">
        <f>'5.a forrás részletes'!D49+'5.a forrás részletes'!P49</f>
        <v>0</v>
      </c>
      <c r="E35" s="103">
        <f>'5.a forrás részletes'!E49+'5.a forrás részletes'!Q49</f>
        <v>0</v>
      </c>
      <c r="F35" s="103">
        <f>'5.a forrás részletes'!F49+'5.a forrás részletes'!R49</f>
        <v>0</v>
      </c>
      <c r="G35" s="71"/>
      <c r="H35" s="71"/>
      <c r="I35" s="99"/>
      <c r="J35" s="99"/>
      <c r="K35" s="99"/>
      <c r="L35" s="99"/>
    </row>
    <row r="36" spans="1:12" ht="20.25" customHeight="1" x14ac:dyDescent="0.25">
      <c r="A36" s="421" t="s">
        <v>64</v>
      </c>
      <c r="B36" s="422" t="s">
        <v>290</v>
      </c>
      <c r="C36" s="423">
        <f>C37+C38+C39</f>
        <v>0</v>
      </c>
      <c r="D36" s="423">
        <f t="shared" ref="D36:F36" si="16">D37+D38+D39</f>
        <v>0</v>
      </c>
      <c r="E36" s="423">
        <f t="shared" ref="E36" si="17">E37+E38+E39</f>
        <v>0</v>
      </c>
      <c r="F36" s="423">
        <f t="shared" si="16"/>
        <v>0</v>
      </c>
      <c r="G36" s="421" t="s">
        <v>100</v>
      </c>
      <c r="H36" s="414" t="s">
        <v>237</v>
      </c>
      <c r="I36" s="415">
        <f>'5.a forrás részletes'!I86+'5.a forrás részletes'!U86</f>
        <v>0</v>
      </c>
      <c r="J36" s="415">
        <f>'5.a forrás részletes'!J86+'5.a forrás részletes'!V86</f>
        <v>0</v>
      </c>
      <c r="K36" s="415">
        <f>'5.a forrás részletes'!K86+'5.a forrás részletes'!W86</f>
        <v>0</v>
      </c>
      <c r="L36" s="415">
        <f>'5.a forrás részletes'!L86+'5.a forrás részletes'!X86</f>
        <v>0</v>
      </c>
    </row>
    <row r="37" spans="1:12" ht="30" x14ac:dyDescent="0.25">
      <c r="A37" s="86"/>
      <c r="B37" s="89" t="s">
        <v>291</v>
      </c>
      <c r="C37" s="103"/>
      <c r="D37" s="103"/>
      <c r="E37" s="103"/>
      <c r="F37" s="103"/>
      <c r="G37" s="71"/>
      <c r="H37" s="71" t="s">
        <v>208</v>
      </c>
      <c r="I37" s="108" t="s">
        <v>253</v>
      </c>
      <c r="J37" s="108"/>
      <c r="K37" s="108"/>
      <c r="L37" s="108"/>
    </row>
    <row r="38" spans="1:12" ht="28.5" customHeight="1" x14ac:dyDescent="0.25">
      <c r="A38" s="86"/>
      <c r="B38" s="84" t="s">
        <v>292</v>
      </c>
      <c r="C38" s="103"/>
      <c r="D38" s="103"/>
      <c r="E38" s="103"/>
      <c r="F38" s="103"/>
      <c r="G38" s="71"/>
      <c r="H38" s="71" t="s">
        <v>210</v>
      </c>
      <c r="I38" s="102"/>
      <c r="J38" s="102"/>
      <c r="K38" s="102"/>
      <c r="L38" s="102"/>
    </row>
    <row r="39" spans="1:12" ht="19.5" customHeight="1" x14ac:dyDescent="0.25">
      <c r="A39" s="86"/>
      <c r="B39" s="89" t="s">
        <v>293</v>
      </c>
      <c r="C39" s="103"/>
      <c r="D39" s="103"/>
      <c r="E39" s="103"/>
      <c r="F39" s="103"/>
      <c r="G39" s="71"/>
      <c r="H39" s="71" t="s">
        <v>209</v>
      </c>
      <c r="I39" s="102"/>
      <c r="J39" s="102"/>
      <c r="K39" s="102"/>
      <c r="L39" s="102"/>
    </row>
    <row r="40" spans="1:12" ht="19.5" customHeight="1" x14ac:dyDescent="0.25">
      <c r="A40" s="86"/>
      <c r="B40" s="89"/>
      <c r="C40" s="103"/>
      <c r="D40" s="103"/>
      <c r="E40" s="103"/>
      <c r="F40" s="103"/>
      <c r="G40" s="71"/>
      <c r="H40" s="71" t="s">
        <v>211</v>
      </c>
      <c r="I40" s="102"/>
      <c r="J40" s="102"/>
      <c r="K40" s="102"/>
      <c r="L40" s="102"/>
    </row>
    <row r="41" spans="1:12" ht="19.5" customHeight="1" x14ac:dyDescent="0.25">
      <c r="A41" s="86"/>
      <c r="B41" s="89"/>
      <c r="C41" s="101"/>
      <c r="D41" s="101"/>
      <c r="E41" s="101"/>
      <c r="F41" s="101"/>
      <c r="G41" s="71"/>
      <c r="H41" s="71" t="s">
        <v>377</v>
      </c>
      <c r="I41" s="102"/>
      <c r="J41" s="102"/>
      <c r="K41" s="102"/>
      <c r="L41" s="102"/>
    </row>
    <row r="42" spans="1:12" ht="19.5" customHeight="1" x14ac:dyDescent="0.25">
      <c r="A42" s="86"/>
      <c r="B42" s="89"/>
      <c r="C42" s="101"/>
      <c r="D42" s="101"/>
      <c r="E42" s="101"/>
      <c r="F42" s="101"/>
      <c r="G42" s="71"/>
      <c r="H42" s="71" t="s">
        <v>212</v>
      </c>
      <c r="I42" s="102"/>
      <c r="J42" s="102"/>
      <c r="K42" s="102"/>
      <c r="L42" s="102"/>
    </row>
    <row r="43" spans="1:12" ht="19.5" customHeight="1" x14ac:dyDescent="0.25">
      <c r="A43" s="86"/>
      <c r="B43" s="89"/>
      <c r="C43" s="101"/>
      <c r="D43" s="101"/>
      <c r="E43" s="101"/>
      <c r="F43" s="101"/>
      <c r="G43" s="73"/>
      <c r="H43" s="83"/>
      <c r="I43" s="102"/>
      <c r="J43" s="102"/>
      <c r="K43" s="102"/>
      <c r="L43" s="102"/>
    </row>
    <row r="44" spans="1:12" ht="19.5" customHeight="1" x14ac:dyDescent="0.25">
      <c r="A44" s="86"/>
      <c r="B44" s="89"/>
      <c r="C44" s="101"/>
      <c r="D44" s="101"/>
      <c r="E44" s="101"/>
      <c r="F44" s="101"/>
      <c r="G44" s="71"/>
      <c r="H44" s="71"/>
      <c r="I44" s="102"/>
      <c r="J44" s="102"/>
      <c r="K44" s="102"/>
      <c r="L44" s="102"/>
    </row>
    <row r="45" spans="1:12" ht="19.5" customHeight="1" x14ac:dyDescent="0.25">
      <c r="A45" s="86"/>
      <c r="B45" s="89"/>
      <c r="C45" s="101"/>
      <c r="D45" s="101"/>
      <c r="E45" s="101"/>
      <c r="F45" s="101"/>
      <c r="G45" s="71"/>
      <c r="H45" s="88"/>
      <c r="I45" s="102"/>
      <c r="J45" s="102"/>
      <c r="K45" s="102"/>
      <c r="L45" s="102"/>
    </row>
    <row r="46" spans="1:12" ht="19.5" customHeight="1" x14ac:dyDescent="0.25">
      <c r="A46" s="86"/>
      <c r="B46" s="89"/>
      <c r="C46" s="101"/>
      <c r="D46" s="101"/>
      <c r="E46" s="101"/>
      <c r="F46" s="101"/>
      <c r="G46" s="71"/>
      <c r="H46" s="71"/>
      <c r="I46" s="102"/>
      <c r="J46" s="102"/>
      <c r="K46" s="102"/>
      <c r="L46" s="102"/>
    </row>
    <row r="47" spans="1:12" ht="19.5" customHeight="1" x14ac:dyDescent="0.25">
      <c r="A47" s="86"/>
      <c r="B47" s="89"/>
      <c r="C47" s="101"/>
      <c r="D47" s="101"/>
      <c r="E47" s="101"/>
      <c r="F47" s="101"/>
      <c r="G47" s="71"/>
      <c r="H47" s="71"/>
      <c r="I47" s="102"/>
      <c r="J47" s="102"/>
      <c r="K47" s="102"/>
      <c r="L47" s="102"/>
    </row>
    <row r="48" spans="1:12" ht="19.5" customHeight="1" x14ac:dyDescent="0.25">
      <c r="A48" s="86"/>
      <c r="B48" s="89"/>
      <c r="C48" s="101"/>
      <c r="D48" s="101"/>
      <c r="E48" s="101"/>
      <c r="F48" s="101"/>
      <c r="G48" s="71"/>
      <c r="H48" s="71"/>
      <c r="I48" s="102"/>
      <c r="J48" s="102"/>
      <c r="K48" s="102"/>
      <c r="L48" s="102"/>
    </row>
    <row r="49" spans="1:12" ht="19.5" customHeight="1" x14ac:dyDescent="0.25">
      <c r="A49" s="86"/>
      <c r="B49" s="89"/>
      <c r="C49" s="101"/>
      <c r="D49" s="101"/>
      <c r="E49" s="101"/>
      <c r="F49" s="101"/>
      <c r="G49" s="71"/>
      <c r="H49" s="71"/>
      <c r="I49" s="102"/>
      <c r="J49" s="102"/>
      <c r="K49" s="102"/>
      <c r="L49" s="102"/>
    </row>
    <row r="50" spans="1:12" ht="19.5" customHeight="1" x14ac:dyDescent="0.25">
      <c r="A50" s="86"/>
      <c r="B50" s="87"/>
      <c r="C50" s="101"/>
      <c r="D50" s="101"/>
      <c r="E50" s="101"/>
      <c r="F50" s="101"/>
      <c r="G50" s="73"/>
      <c r="H50" s="83"/>
      <c r="I50" s="102"/>
      <c r="J50" s="102"/>
      <c r="K50" s="102"/>
      <c r="L50" s="102"/>
    </row>
    <row r="51" spans="1:12" ht="21.75" customHeight="1" x14ac:dyDescent="0.25">
      <c r="A51" s="86"/>
      <c r="B51" s="89"/>
      <c r="C51" s="101"/>
      <c r="D51" s="101"/>
      <c r="E51" s="101"/>
      <c r="F51" s="101"/>
      <c r="G51" s="71"/>
      <c r="H51" s="71"/>
      <c r="I51" s="108"/>
      <c r="J51" s="108"/>
      <c r="K51" s="108"/>
      <c r="L51" s="108"/>
    </row>
    <row r="52" spans="1:12" ht="21.75" customHeight="1" x14ac:dyDescent="0.25">
      <c r="A52" s="86"/>
      <c r="B52" s="84"/>
      <c r="C52" s="101"/>
      <c r="D52" s="101"/>
      <c r="E52" s="101"/>
      <c r="F52" s="101"/>
      <c r="G52" s="71"/>
      <c r="H52" s="71"/>
      <c r="I52" s="102"/>
      <c r="J52" s="102"/>
      <c r="K52" s="102"/>
      <c r="L52" s="102"/>
    </row>
    <row r="53" spans="1:12" ht="19.5" customHeight="1" x14ac:dyDescent="0.25">
      <c r="A53" s="86"/>
      <c r="B53" s="89"/>
      <c r="C53" s="101"/>
      <c r="D53" s="101"/>
      <c r="E53" s="101"/>
      <c r="F53" s="101"/>
      <c r="G53" s="71"/>
      <c r="H53" s="71"/>
      <c r="I53" s="102"/>
      <c r="J53" s="102"/>
      <c r="K53" s="102"/>
      <c r="L53" s="102"/>
    </row>
    <row r="54" spans="1:12" ht="19.5" customHeight="1" x14ac:dyDescent="0.25">
      <c r="A54" s="86"/>
      <c r="B54" s="89"/>
      <c r="C54" s="101"/>
      <c r="D54" s="101"/>
      <c r="E54" s="101"/>
      <c r="F54" s="101"/>
      <c r="G54" s="71"/>
      <c r="H54" s="71"/>
      <c r="I54" s="102"/>
      <c r="J54" s="102"/>
      <c r="K54" s="102"/>
      <c r="L54" s="102"/>
    </row>
    <row r="55" spans="1:12" ht="19.5" customHeight="1" x14ac:dyDescent="0.25">
      <c r="A55" s="86"/>
      <c r="B55" s="89"/>
      <c r="C55" s="101"/>
      <c r="D55" s="101"/>
      <c r="E55" s="101"/>
      <c r="F55" s="101"/>
      <c r="G55" s="71"/>
      <c r="H55" s="71"/>
      <c r="I55" s="102"/>
      <c r="J55" s="102"/>
      <c r="K55" s="102"/>
      <c r="L55" s="102"/>
    </row>
    <row r="56" spans="1:12" ht="20.25" customHeight="1" x14ac:dyDescent="0.25">
      <c r="A56" s="86"/>
      <c r="B56" s="89"/>
      <c r="C56" s="101"/>
      <c r="D56" s="101"/>
      <c r="E56" s="101"/>
      <c r="F56" s="101"/>
      <c r="G56" s="71"/>
      <c r="H56" s="71"/>
      <c r="I56" s="102"/>
      <c r="J56" s="102"/>
      <c r="K56" s="102"/>
      <c r="L56" s="102"/>
    </row>
    <row r="57" spans="1:12" ht="20.25" customHeight="1" x14ac:dyDescent="0.25">
      <c r="A57" s="689"/>
      <c r="B57" s="690" t="s">
        <v>192</v>
      </c>
      <c r="C57" s="691">
        <f>C58+C64+C70</f>
        <v>0</v>
      </c>
      <c r="D57" s="691">
        <f t="shared" ref="D57:F57" si="18">D58+D64+D70</f>
        <v>0</v>
      </c>
      <c r="E57" s="691">
        <f t="shared" ref="E57" si="19">E58+E64+E70</f>
        <v>0</v>
      </c>
      <c r="F57" s="691">
        <f t="shared" si="18"/>
        <v>0</v>
      </c>
      <c r="G57" s="689"/>
      <c r="H57" s="690" t="s">
        <v>200</v>
      </c>
      <c r="I57" s="691">
        <f>I58+I66+I71</f>
        <v>7293.6100000000006</v>
      </c>
      <c r="J57" s="691">
        <f t="shared" ref="J57" si="20">J58+J66+J71</f>
        <v>0</v>
      </c>
      <c r="K57" s="691">
        <f t="shared" ref="K57" si="21">K58+K66+K71</f>
        <v>0</v>
      </c>
      <c r="L57" s="691">
        <f>L58+L66+L71</f>
        <v>7293.6100000000006</v>
      </c>
    </row>
    <row r="58" spans="1:12" ht="20.25" customHeight="1" x14ac:dyDescent="0.25">
      <c r="A58" s="421" t="s">
        <v>100</v>
      </c>
      <c r="B58" s="422" t="s">
        <v>260</v>
      </c>
      <c r="C58" s="423">
        <f>SUM(C59:C63)</f>
        <v>0</v>
      </c>
      <c r="D58" s="423">
        <f t="shared" ref="D58:F58" si="22">SUM(D59:D63)</f>
        <v>0</v>
      </c>
      <c r="E58" s="423">
        <f t="shared" ref="E58" si="23">SUM(E59:E63)</f>
        <v>0</v>
      </c>
      <c r="F58" s="423">
        <f t="shared" si="22"/>
        <v>0</v>
      </c>
      <c r="G58" s="421" t="s">
        <v>181</v>
      </c>
      <c r="H58" s="414" t="s">
        <v>217</v>
      </c>
      <c r="I58" s="415">
        <f>SUM(I59:I65)</f>
        <v>7293.6100000000006</v>
      </c>
      <c r="J58" s="415">
        <f t="shared" ref="J58:L58" si="24">SUM(J59:J65)</f>
        <v>0</v>
      </c>
      <c r="K58" s="415">
        <f t="shared" ref="K58" si="25">SUM(K59:K65)</f>
        <v>0</v>
      </c>
      <c r="L58" s="415">
        <f t="shared" si="24"/>
        <v>7293.6100000000006</v>
      </c>
    </row>
    <row r="59" spans="1:12" ht="20.25" customHeight="1" x14ac:dyDescent="0.25">
      <c r="A59" s="86"/>
      <c r="B59" s="84" t="s">
        <v>261</v>
      </c>
      <c r="C59" s="103"/>
      <c r="D59" s="103"/>
      <c r="E59" s="103"/>
      <c r="F59" s="103"/>
      <c r="G59" s="86"/>
      <c r="H59" s="92" t="s">
        <v>218</v>
      </c>
      <c r="I59" s="97"/>
      <c r="J59" s="97"/>
      <c r="K59" s="97"/>
      <c r="L59" s="97"/>
    </row>
    <row r="60" spans="1:12" ht="29.25" customHeight="1" x14ac:dyDescent="0.25">
      <c r="A60" s="86"/>
      <c r="B60" s="84" t="s">
        <v>262</v>
      </c>
      <c r="C60" s="103"/>
      <c r="D60" s="103"/>
      <c r="E60" s="103"/>
      <c r="F60" s="103"/>
      <c r="G60" s="86"/>
      <c r="H60" s="92" t="s">
        <v>219</v>
      </c>
      <c r="I60" s="97"/>
      <c r="J60" s="97"/>
      <c r="K60" s="97"/>
      <c r="L60" s="97"/>
    </row>
    <row r="61" spans="1:12" ht="29.25" customHeight="1" x14ac:dyDescent="0.25">
      <c r="A61" s="86"/>
      <c r="B61" s="84" t="s">
        <v>263</v>
      </c>
      <c r="C61" s="103"/>
      <c r="D61" s="103"/>
      <c r="E61" s="103"/>
      <c r="F61" s="103"/>
      <c r="G61" s="71"/>
      <c r="H61" s="71" t="s">
        <v>220</v>
      </c>
      <c r="I61" s="100">
        <f>'5.a forrás részletes'!U97</f>
        <v>250</v>
      </c>
      <c r="J61" s="100">
        <f>'5.a forrás részletes'!V97</f>
        <v>0</v>
      </c>
      <c r="K61" s="100">
        <f>'5.a forrás részletes'!W97</f>
        <v>0</v>
      </c>
      <c r="L61" s="100">
        <f>'5.a forrás részletes'!X97</f>
        <v>250</v>
      </c>
    </row>
    <row r="62" spans="1:12" ht="29.25" customHeight="1" x14ac:dyDescent="0.25">
      <c r="A62" s="86"/>
      <c r="B62" s="84" t="s">
        <v>264</v>
      </c>
      <c r="C62" s="103"/>
      <c r="D62" s="103"/>
      <c r="E62" s="103"/>
      <c r="F62" s="103"/>
      <c r="G62" s="71"/>
      <c r="H62" s="71" t="s">
        <v>221</v>
      </c>
      <c r="I62" s="100">
        <f>'5.a forrás részletes'!U98+'5.a forrás részletes'!I98</f>
        <v>5493</v>
      </c>
      <c r="J62" s="100">
        <f>'5.a forrás részletes'!V98+'5.a forrás részletes'!J98</f>
        <v>0</v>
      </c>
      <c r="K62" s="100">
        <f>'5.a forrás részletes'!W98+'5.a forrás részletes'!K98</f>
        <v>0</v>
      </c>
      <c r="L62" s="100">
        <f>'5.a forrás részletes'!X98+'5.a forrás részletes'!L98</f>
        <v>5493</v>
      </c>
    </row>
    <row r="63" spans="1:12" ht="21" customHeight="1" x14ac:dyDescent="0.25">
      <c r="A63" s="86"/>
      <c r="B63" s="84" t="s">
        <v>265</v>
      </c>
      <c r="C63" s="103"/>
      <c r="D63" s="103"/>
      <c r="E63" s="103"/>
      <c r="F63" s="103"/>
      <c r="G63" s="71"/>
      <c r="H63" s="71" t="s">
        <v>222</v>
      </c>
      <c r="I63" s="100"/>
      <c r="J63" s="100"/>
      <c r="K63" s="100"/>
      <c r="L63" s="100"/>
    </row>
    <row r="64" spans="1:12" ht="20.25" customHeight="1" x14ac:dyDescent="0.25">
      <c r="A64" s="421" t="s">
        <v>181</v>
      </c>
      <c r="B64" s="422" t="s">
        <v>284</v>
      </c>
      <c r="C64" s="423">
        <f>SUM(C65:C69)</f>
        <v>0</v>
      </c>
      <c r="D64" s="423">
        <f t="shared" ref="D64:F64" si="26">SUM(D65:D69)</f>
        <v>0</v>
      </c>
      <c r="E64" s="423">
        <f t="shared" ref="E64" si="27">SUM(E65:E69)</f>
        <v>0</v>
      </c>
      <c r="F64" s="423">
        <f t="shared" si="26"/>
        <v>0</v>
      </c>
      <c r="G64" s="71"/>
      <c r="H64" s="71" t="s">
        <v>223</v>
      </c>
      <c r="I64" s="100"/>
      <c r="J64" s="100"/>
      <c r="K64" s="100"/>
      <c r="L64" s="100"/>
    </row>
    <row r="65" spans="1:12" ht="20.25" customHeight="1" x14ac:dyDescent="0.25">
      <c r="A65" s="86"/>
      <c r="B65" s="89" t="s">
        <v>285</v>
      </c>
      <c r="C65" s="103"/>
      <c r="D65" s="103"/>
      <c r="E65" s="103"/>
      <c r="F65" s="103"/>
      <c r="G65" s="71"/>
      <c r="H65" s="71" t="s">
        <v>224</v>
      </c>
      <c r="I65" s="100">
        <f>'5.a forrás részletes'!U101+'5.a forrás részletes'!I101</f>
        <v>1550.6100000000001</v>
      </c>
      <c r="J65" s="100">
        <f>'5.a forrás részletes'!V101+'5.a forrás részletes'!J101</f>
        <v>0</v>
      </c>
      <c r="K65" s="100">
        <f>'5.a forrás részletes'!W101+'5.a forrás részletes'!K101</f>
        <v>0</v>
      </c>
      <c r="L65" s="100">
        <f>'5.a forrás részletes'!X101+'5.a forrás részletes'!L101</f>
        <v>1550.6100000000001</v>
      </c>
    </row>
    <row r="66" spans="1:12" ht="20.25" customHeight="1" x14ac:dyDescent="0.25">
      <c r="A66" s="86"/>
      <c r="B66" s="89" t="s">
        <v>286</v>
      </c>
      <c r="C66" s="103"/>
      <c r="D66" s="103"/>
      <c r="E66" s="103"/>
      <c r="F66" s="103"/>
      <c r="G66" s="414" t="s">
        <v>191</v>
      </c>
      <c r="H66" s="415" t="s">
        <v>225</v>
      </c>
      <c r="I66" s="414">
        <f>SUM(I67:I70)</f>
        <v>0</v>
      </c>
      <c r="J66" s="414">
        <f t="shared" ref="J66:L66" si="28">SUM(J67:J70)</f>
        <v>0</v>
      </c>
      <c r="K66" s="414">
        <f t="shared" ref="K66" si="29">SUM(K67:K70)</f>
        <v>0</v>
      </c>
      <c r="L66" s="414">
        <f t="shared" si="28"/>
        <v>0</v>
      </c>
    </row>
    <row r="67" spans="1:12" ht="20.25" customHeight="1" x14ac:dyDescent="0.25">
      <c r="A67" s="86"/>
      <c r="B67" s="89" t="s">
        <v>287</v>
      </c>
      <c r="C67" s="103"/>
      <c r="D67" s="103"/>
      <c r="E67" s="103"/>
      <c r="F67" s="103"/>
      <c r="G67" s="71"/>
      <c r="H67" s="71" t="s">
        <v>226</v>
      </c>
      <c r="I67" s="100"/>
      <c r="J67" s="100"/>
      <c r="K67" s="100"/>
      <c r="L67" s="100"/>
    </row>
    <row r="68" spans="1:12" ht="20.25" customHeight="1" x14ac:dyDescent="0.25">
      <c r="A68" s="86"/>
      <c r="B68" s="89" t="s">
        <v>288</v>
      </c>
      <c r="C68" s="103"/>
      <c r="D68" s="103"/>
      <c r="E68" s="103"/>
      <c r="F68" s="103"/>
      <c r="G68" s="71"/>
      <c r="H68" s="71" t="s">
        <v>227</v>
      </c>
      <c r="I68" s="100"/>
      <c r="J68" s="100"/>
      <c r="K68" s="100"/>
      <c r="L68" s="100"/>
    </row>
    <row r="69" spans="1:12" ht="20.25" customHeight="1" x14ac:dyDescent="0.25">
      <c r="A69" s="86"/>
      <c r="B69" s="89" t="s">
        <v>289</v>
      </c>
      <c r="C69" s="103"/>
      <c r="D69" s="103"/>
      <c r="E69" s="103"/>
      <c r="F69" s="103"/>
      <c r="G69" s="71"/>
      <c r="H69" s="71" t="s">
        <v>228</v>
      </c>
      <c r="I69" s="100"/>
      <c r="J69" s="100"/>
      <c r="K69" s="100"/>
      <c r="L69" s="100"/>
    </row>
    <row r="70" spans="1:12" ht="20.25" customHeight="1" x14ac:dyDescent="0.25">
      <c r="A70" s="421" t="s">
        <v>191</v>
      </c>
      <c r="B70" s="422" t="s">
        <v>294</v>
      </c>
      <c r="C70" s="423">
        <f>C71+C72+C73</f>
        <v>0</v>
      </c>
      <c r="D70" s="423">
        <f t="shared" ref="D70:F70" si="30">D71+D72+D73</f>
        <v>0</v>
      </c>
      <c r="E70" s="423">
        <f t="shared" ref="E70" si="31">E71+E72+E73</f>
        <v>0</v>
      </c>
      <c r="F70" s="423">
        <f t="shared" si="30"/>
        <v>0</v>
      </c>
      <c r="G70" s="71"/>
      <c r="H70" s="71" t="s">
        <v>229</v>
      </c>
      <c r="I70" s="100"/>
      <c r="J70" s="100"/>
      <c r="K70" s="100"/>
      <c r="L70" s="100"/>
    </row>
    <row r="71" spans="1:12" ht="29.25" customHeight="1" x14ac:dyDescent="0.25">
      <c r="A71" s="86"/>
      <c r="B71" s="89" t="s">
        <v>295</v>
      </c>
      <c r="C71" s="103"/>
      <c r="D71" s="103"/>
      <c r="E71" s="103"/>
      <c r="F71" s="103"/>
      <c r="G71" s="414" t="s">
        <v>199</v>
      </c>
      <c r="H71" s="415" t="s">
        <v>230</v>
      </c>
      <c r="I71" s="414"/>
      <c r="J71" s="414"/>
      <c r="K71" s="414"/>
      <c r="L71" s="414"/>
    </row>
    <row r="72" spans="1:12" ht="29.25" customHeight="1" x14ac:dyDescent="0.25">
      <c r="A72" s="86"/>
      <c r="B72" s="84" t="s">
        <v>296</v>
      </c>
      <c r="C72" s="103"/>
      <c r="D72" s="103"/>
      <c r="E72" s="103"/>
      <c r="F72" s="103"/>
      <c r="G72" s="71"/>
      <c r="H72" s="71"/>
      <c r="I72" s="100"/>
      <c r="J72" s="100"/>
      <c r="K72" s="100"/>
      <c r="L72" s="100"/>
    </row>
    <row r="73" spans="1:12" ht="21" customHeight="1" x14ac:dyDescent="0.25">
      <c r="A73" s="86"/>
      <c r="B73" s="89" t="s">
        <v>297</v>
      </c>
      <c r="C73" s="103"/>
      <c r="D73" s="103"/>
      <c r="E73" s="103"/>
      <c r="F73" s="103"/>
      <c r="G73" s="71"/>
      <c r="H73" s="71"/>
      <c r="I73" s="100"/>
      <c r="J73" s="100"/>
      <c r="K73" s="100"/>
      <c r="L73" s="100"/>
    </row>
    <row r="74" spans="1:12" ht="20.25" customHeight="1" x14ac:dyDescent="0.25">
      <c r="A74" s="689"/>
      <c r="B74" s="690" t="s">
        <v>298</v>
      </c>
      <c r="C74" s="691">
        <f>C84+C95</f>
        <v>92964</v>
      </c>
      <c r="D74" s="691">
        <f t="shared" ref="D74:F74" si="32">D84+D95</f>
        <v>975</v>
      </c>
      <c r="E74" s="691">
        <f t="shared" ref="E74" si="33">E84+E95</f>
        <v>8149</v>
      </c>
      <c r="F74" s="691">
        <f t="shared" si="32"/>
        <v>102088</v>
      </c>
      <c r="G74" s="689"/>
      <c r="H74" s="690" t="s">
        <v>299</v>
      </c>
      <c r="I74" s="691">
        <f>I83+I94</f>
        <v>0</v>
      </c>
      <c r="J74" s="691">
        <f t="shared" ref="J74:L74" si="34">J83+J94</f>
        <v>0</v>
      </c>
      <c r="K74" s="691">
        <f t="shared" ref="K74" si="35">K83+K94</f>
        <v>0</v>
      </c>
      <c r="L74" s="691">
        <f t="shared" si="34"/>
        <v>0</v>
      </c>
    </row>
    <row r="75" spans="1:12" ht="21" customHeight="1" x14ac:dyDescent="0.25">
      <c r="A75" s="75"/>
      <c r="B75" s="94" t="s">
        <v>300</v>
      </c>
      <c r="C75" s="103"/>
      <c r="D75" s="103"/>
      <c r="E75" s="103"/>
      <c r="F75" s="103"/>
      <c r="G75" s="75"/>
      <c r="H75" s="94" t="s">
        <v>231</v>
      </c>
      <c r="I75" s="103"/>
      <c r="J75" s="103"/>
      <c r="K75" s="103"/>
      <c r="L75" s="103"/>
    </row>
    <row r="76" spans="1:12" ht="20.25" customHeight="1" x14ac:dyDescent="0.25">
      <c r="A76" s="75"/>
      <c r="B76" s="94" t="s">
        <v>301</v>
      </c>
      <c r="C76" s="103"/>
      <c r="D76" s="103"/>
      <c r="E76" s="103"/>
      <c r="F76" s="103"/>
      <c r="G76" s="75"/>
      <c r="H76" s="94" t="s">
        <v>232</v>
      </c>
      <c r="I76" s="103"/>
      <c r="J76" s="103"/>
      <c r="K76" s="103"/>
      <c r="L76" s="103"/>
    </row>
    <row r="77" spans="1:12" ht="20.25" customHeight="1" x14ac:dyDescent="0.25">
      <c r="A77" s="75"/>
      <c r="B77" s="94" t="s">
        <v>302</v>
      </c>
      <c r="C77" s="103"/>
      <c r="D77" s="103"/>
      <c r="E77" s="103"/>
      <c r="F77" s="103"/>
      <c r="G77" s="75"/>
      <c r="H77" s="94" t="s">
        <v>233</v>
      </c>
      <c r="I77" s="103"/>
      <c r="J77" s="103"/>
      <c r="K77" s="103"/>
      <c r="L77" s="103"/>
    </row>
    <row r="78" spans="1:12" ht="20.25" customHeight="1" x14ac:dyDescent="0.25">
      <c r="A78" s="75"/>
      <c r="B78" s="95" t="s">
        <v>303</v>
      </c>
      <c r="C78" s="103">
        <f>C75+C76+C77</f>
        <v>0</v>
      </c>
      <c r="D78" s="103">
        <f t="shared" ref="D78:F78" si="36">D75+D76+D77</f>
        <v>0</v>
      </c>
      <c r="E78" s="103">
        <f t="shared" ref="E78" si="37">E75+E76+E77</f>
        <v>0</v>
      </c>
      <c r="F78" s="103">
        <f t="shared" si="36"/>
        <v>0</v>
      </c>
      <c r="G78" s="75"/>
      <c r="H78" s="95" t="s">
        <v>243</v>
      </c>
      <c r="I78" s="103">
        <f>I75+I76+I77</f>
        <v>0</v>
      </c>
      <c r="J78" s="103">
        <f t="shared" ref="J78:L78" si="38">J75+J76+J77</f>
        <v>0</v>
      </c>
      <c r="K78" s="103">
        <f t="shared" ref="K78" si="39">K75+K76+K77</f>
        <v>0</v>
      </c>
      <c r="L78" s="103">
        <f t="shared" si="38"/>
        <v>0</v>
      </c>
    </row>
    <row r="79" spans="1:12" ht="20.25" customHeight="1" x14ac:dyDescent="0.25">
      <c r="A79" s="75"/>
      <c r="B79" s="69" t="s">
        <v>304</v>
      </c>
      <c r="C79" s="103"/>
      <c r="D79" s="103"/>
      <c r="E79" s="103"/>
      <c r="F79" s="103"/>
      <c r="G79" s="75"/>
      <c r="H79" s="94" t="s">
        <v>235</v>
      </c>
      <c r="I79" s="103"/>
      <c r="J79" s="103"/>
      <c r="K79" s="103"/>
      <c r="L79" s="103"/>
    </row>
    <row r="80" spans="1:12" ht="20.25" customHeight="1" x14ac:dyDescent="0.25">
      <c r="A80" s="75"/>
      <c r="B80" s="69" t="s">
        <v>305</v>
      </c>
      <c r="C80" s="103"/>
      <c r="D80" s="103"/>
      <c r="E80" s="103"/>
      <c r="F80" s="103"/>
      <c r="G80" s="75"/>
      <c r="H80" s="94" t="s">
        <v>234</v>
      </c>
      <c r="I80" s="103"/>
      <c r="J80" s="103"/>
      <c r="K80" s="103"/>
      <c r="L80" s="103"/>
    </row>
    <row r="81" spans="1:12" ht="20.25" customHeight="1" x14ac:dyDescent="0.25">
      <c r="A81" s="75"/>
      <c r="B81" s="70" t="s">
        <v>306</v>
      </c>
      <c r="C81" s="103">
        <f>C79+C80</f>
        <v>0</v>
      </c>
      <c r="D81" s="103">
        <f t="shared" ref="D81:F81" si="40">D79+D80</f>
        <v>0</v>
      </c>
      <c r="E81" s="103">
        <f t="shared" ref="E81" si="41">E79+E80</f>
        <v>0</v>
      </c>
      <c r="F81" s="103">
        <f t="shared" si="40"/>
        <v>0</v>
      </c>
      <c r="G81" s="75"/>
      <c r="H81" s="95" t="s">
        <v>244</v>
      </c>
      <c r="I81" s="103">
        <f>I79+I80</f>
        <v>0</v>
      </c>
      <c r="J81" s="103">
        <f t="shared" ref="J81:L81" si="42">J79+J80</f>
        <v>0</v>
      </c>
      <c r="K81" s="103">
        <f t="shared" ref="K81" si="43">K79+K80</f>
        <v>0</v>
      </c>
      <c r="L81" s="103">
        <f t="shared" si="42"/>
        <v>0</v>
      </c>
    </row>
    <row r="82" spans="1:12" ht="20.25" customHeight="1" x14ac:dyDescent="0.25">
      <c r="A82" s="75"/>
      <c r="B82" s="70" t="s">
        <v>307</v>
      </c>
      <c r="C82" s="103">
        <f>'5.a forrás részletes'!C118+'5.a forrás részletes'!O118</f>
        <v>33</v>
      </c>
      <c r="D82" s="103">
        <f>'5.a forrás részletes'!D118+'5.a forrás részletes'!P118</f>
        <v>0</v>
      </c>
      <c r="E82" s="103">
        <f>'5.a forrás részletes'!E118+'5.a forrás részletes'!Q118</f>
        <v>1977</v>
      </c>
      <c r="F82" s="103">
        <f>'5.a forrás részletes'!F118+'5.a forrás részletes'!R118</f>
        <v>2010</v>
      </c>
      <c r="G82" s="75"/>
      <c r="H82" s="95" t="s">
        <v>236</v>
      </c>
      <c r="I82" s="103"/>
      <c r="J82" s="103"/>
      <c r="K82" s="103"/>
      <c r="L82" s="103"/>
    </row>
    <row r="83" spans="1:12" ht="20.25" customHeight="1" x14ac:dyDescent="0.25">
      <c r="A83" s="75"/>
      <c r="B83" s="70" t="s">
        <v>308</v>
      </c>
      <c r="C83" s="103">
        <f>'5.a forrás részletes'!C119+'5.a forrás részletes'!O119</f>
        <v>85628</v>
      </c>
      <c r="D83" s="103">
        <f>'5.a forrás részletes'!D119+'5.a forrás részletes'!P119</f>
        <v>975</v>
      </c>
      <c r="E83" s="103">
        <f>'5.a forrás részletes'!E119+'5.a forrás részletes'!Q119</f>
        <v>6172</v>
      </c>
      <c r="F83" s="103">
        <f>'5.a forrás részletes'!F119+'5.a forrás részletes'!R119</f>
        <v>92775</v>
      </c>
      <c r="G83" s="75"/>
      <c r="H83" s="75" t="s">
        <v>245</v>
      </c>
      <c r="I83" s="113">
        <f>I78+I81+I82</f>
        <v>0</v>
      </c>
      <c r="J83" s="113">
        <f t="shared" ref="J83:L83" si="44">J78+J81+J82</f>
        <v>0</v>
      </c>
      <c r="K83" s="113">
        <f t="shared" ref="K83" si="45">K78+K81+K82</f>
        <v>0</v>
      </c>
      <c r="L83" s="113">
        <f t="shared" si="44"/>
        <v>0</v>
      </c>
    </row>
    <row r="84" spans="1:12" ht="20.25" customHeight="1" x14ac:dyDescent="0.25">
      <c r="A84" s="75"/>
      <c r="B84" s="80" t="s">
        <v>309</v>
      </c>
      <c r="C84" s="113">
        <f>C78+C81+C82+C83</f>
        <v>85661</v>
      </c>
      <c r="D84" s="113">
        <f t="shared" ref="D84:F84" si="46">D78+D81+D82+D83</f>
        <v>975</v>
      </c>
      <c r="E84" s="113">
        <f t="shared" ref="E84" si="47">E78+E81+E82+E83</f>
        <v>8149</v>
      </c>
      <c r="F84" s="113">
        <f t="shared" si="46"/>
        <v>94785</v>
      </c>
      <c r="G84" s="75"/>
      <c r="H84" s="95"/>
      <c r="I84" s="103"/>
      <c r="J84" s="103"/>
      <c r="K84" s="103"/>
      <c r="L84" s="103"/>
    </row>
    <row r="85" spans="1:12" ht="11.25" customHeight="1" x14ac:dyDescent="0.25">
      <c r="A85" s="90"/>
      <c r="B85" s="79"/>
      <c r="C85" s="104"/>
      <c r="D85" s="104"/>
      <c r="E85" s="104"/>
      <c r="F85" s="104"/>
      <c r="G85" s="90"/>
      <c r="H85" s="90"/>
      <c r="I85" s="104"/>
      <c r="J85" s="104"/>
      <c r="K85" s="104"/>
      <c r="L85" s="104"/>
    </row>
    <row r="86" spans="1:12" ht="20.25" customHeight="1" x14ac:dyDescent="0.25">
      <c r="A86" s="75"/>
      <c r="B86" s="94" t="s">
        <v>300</v>
      </c>
      <c r="C86" s="103"/>
      <c r="D86" s="103"/>
      <c r="E86" s="103"/>
      <c r="F86" s="103"/>
      <c r="G86" s="75"/>
      <c r="H86" s="94" t="s">
        <v>231</v>
      </c>
      <c r="I86" s="103"/>
      <c r="J86" s="103"/>
      <c r="K86" s="103"/>
      <c r="L86" s="103"/>
    </row>
    <row r="87" spans="1:12" ht="20.25" customHeight="1" x14ac:dyDescent="0.25">
      <c r="A87" s="75"/>
      <c r="B87" s="94" t="s">
        <v>301</v>
      </c>
      <c r="C87" s="103"/>
      <c r="D87" s="103"/>
      <c r="E87" s="103"/>
      <c r="F87" s="103"/>
      <c r="G87" s="75"/>
      <c r="H87" s="94" t="s">
        <v>232</v>
      </c>
      <c r="I87" s="103"/>
      <c r="J87" s="103"/>
      <c r="K87" s="103"/>
      <c r="L87" s="103"/>
    </row>
    <row r="88" spans="1:12" ht="20.25" customHeight="1" x14ac:dyDescent="0.25">
      <c r="A88" s="75"/>
      <c r="B88" s="94" t="s">
        <v>302</v>
      </c>
      <c r="C88" s="103"/>
      <c r="D88" s="103"/>
      <c r="E88" s="103"/>
      <c r="F88" s="103"/>
      <c r="G88" s="75"/>
      <c r="H88" s="94" t="s">
        <v>233</v>
      </c>
      <c r="I88" s="103"/>
      <c r="J88" s="103"/>
      <c r="K88" s="103"/>
      <c r="L88" s="103"/>
    </row>
    <row r="89" spans="1:12" ht="20.25" customHeight="1" x14ac:dyDescent="0.25">
      <c r="A89" s="75"/>
      <c r="B89" s="95" t="s">
        <v>303</v>
      </c>
      <c r="C89" s="103">
        <f>C86+C87+C88</f>
        <v>0</v>
      </c>
      <c r="D89" s="103">
        <f t="shared" ref="D89:F89" si="48">D86+D87+D88</f>
        <v>0</v>
      </c>
      <c r="E89" s="103">
        <f t="shared" ref="E89" si="49">E86+E87+E88</f>
        <v>0</v>
      </c>
      <c r="F89" s="103">
        <f t="shared" si="48"/>
        <v>0</v>
      </c>
      <c r="G89" s="75"/>
      <c r="H89" s="95" t="s">
        <v>243</v>
      </c>
      <c r="I89" s="103">
        <f>I86+I87+I88</f>
        <v>0</v>
      </c>
      <c r="J89" s="103">
        <f t="shared" ref="J89:L89" si="50">J86+J87+J88</f>
        <v>0</v>
      </c>
      <c r="K89" s="103">
        <f t="shared" ref="K89" si="51">K86+K87+K88</f>
        <v>0</v>
      </c>
      <c r="L89" s="103">
        <f t="shared" si="50"/>
        <v>0</v>
      </c>
    </row>
    <row r="90" spans="1:12" ht="20.25" customHeight="1" x14ac:dyDescent="0.25">
      <c r="A90" s="75"/>
      <c r="B90" s="69" t="s">
        <v>304</v>
      </c>
      <c r="C90" s="103"/>
      <c r="D90" s="103"/>
      <c r="E90" s="103"/>
      <c r="F90" s="103"/>
      <c r="G90" s="75"/>
      <c r="H90" s="94" t="s">
        <v>235</v>
      </c>
      <c r="I90" s="103"/>
      <c r="J90" s="103"/>
      <c r="K90" s="103"/>
      <c r="L90" s="103"/>
    </row>
    <row r="91" spans="1:12" ht="20.25" customHeight="1" x14ac:dyDescent="0.25">
      <c r="A91" s="75"/>
      <c r="B91" s="69" t="s">
        <v>305</v>
      </c>
      <c r="C91" s="103"/>
      <c r="D91" s="103"/>
      <c r="E91" s="103"/>
      <c r="F91" s="103"/>
      <c r="G91" s="75"/>
      <c r="H91" s="94" t="s">
        <v>234</v>
      </c>
      <c r="I91" s="103"/>
      <c r="J91" s="103"/>
      <c r="K91" s="103"/>
      <c r="L91" s="103"/>
    </row>
    <row r="92" spans="1:12" ht="20.25" customHeight="1" x14ac:dyDescent="0.25">
      <c r="A92" s="75"/>
      <c r="B92" s="70" t="s">
        <v>306</v>
      </c>
      <c r="C92" s="103">
        <f>C90+C91</f>
        <v>0</v>
      </c>
      <c r="D92" s="103">
        <f t="shared" ref="D92:F92" si="52">D90+D91</f>
        <v>0</v>
      </c>
      <c r="E92" s="103">
        <f t="shared" ref="E92" si="53">E90+E91</f>
        <v>0</v>
      </c>
      <c r="F92" s="103">
        <f t="shared" si="52"/>
        <v>0</v>
      </c>
      <c r="G92" s="75"/>
      <c r="H92" s="95" t="s">
        <v>244</v>
      </c>
      <c r="I92" s="103">
        <f>I90+I91</f>
        <v>0</v>
      </c>
      <c r="J92" s="103">
        <f t="shared" ref="J92:L92" si="54">J90+J91</f>
        <v>0</v>
      </c>
      <c r="K92" s="103">
        <f t="shared" ref="K92" si="55">K90+K91</f>
        <v>0</v>
      </c>
      <c r="L92" s="103">
        <f t="shared" si="54"/>
        <v>0</v>
      </c>
    </row>
    <row r="93" spans="1:12" ht="20.25" customHeight="1" x14ac:dyDescent="0.25">
      <c r="A93" s="75"/>
      <c r="B93" s="70" t="s">
        <v>311</v>
      </c>
      <c r="C93" s="103"/>
      <c r="D93" s="103"/>
      <c r="E93" s="103"/>
      <c r="F93" s="103"/>
      <c r="G93" s="75"/>
      <c r="H93" s="95" t="s">
        <v>236</v>
      </c>
      <c r="I93" s="103"/>
      <c r="J93" s="103"/>
      <c r="K93" s="103"/>
      <c r="L93" s="103"/>
    </row>
    <row r="94" spans="1:12" ht="20.25" customHeight="1" x14ac:dyDescent="0.25">
      <c r="A94" s="75"/>
      <c r="B94" s="70" t="s">
        <v>308</v>
      </c>
      <c r="C94" s="103">
        <f>'5.a forrás részletes'!C130+'5.a forrás részletes'!O130</f>
        <v>7303</v>
      </c>
      <c r="D94" s="103">
        <f>'5.a forrás részletes'!D130+'5.a forrás részletes'!P130</f>
        <v>0</v>
      </c>
      <c r="E94" s="103">
        <f>'5.a forrás részletes'!E130+'5.a forrás részletes'!Q130</f>
        <v>0</v>
      </c>
      <c r="F94" s="103">
        <f>'5.a forrás részletes'!F130+'5.a forrás részletes'!R130</f>
        <v>7303</v>
      </c>
      <c r="G94" s="75"/>
      <c r="H94" s="75" t="s">
        <v>246</v>
      </c>
      <c r="I94" s="113">
        <f>I89+I92+I93</f>
        <v>0</v>
      </c>
      <c r="J94" s="113">
        <f t="shared" ref="J94:L94" si="56">J89+J92+J93</f>
        <v>0</v>
      </c>
      <c r="K94" s="113">
        <f t="shared" ref="K94" si="57">K89+K92+K93</f>
        <v>0</v>
      </c>
      <c r="L94" s="113">
        <f t="shared" si="56"/>
        <v>0</v>
      </c>
    </row>
    <row r="95" spans="1:12" ht="20.25" customHeight="1" x14ac:dyDescent="0.25">
      <c r="A95" s="110"/>
      <c r="B95" s="80" t="s">
        <v>310</v>
      </c>
      <c r="C95" s="113">
        <f>C89+C92+C93+C94</f>
        <v>7303</v>
      </c>
      <c r="D95" s="113">
        <f t="shared" ref="D95:F95" si="58">D89+D92+D93+D94</f>
        <v>0</v>
      </c>
      <c r="E95" s="113">
        <f t="shared" ref="E95" si="59">E89+E92+E93+E94</f>
        <v>0</v>
      </c>
      <c r="F95" s="113">
        <f t="shared" si="58"/>
        <v>7303</v>
      </c>
      <c r="G95" s="110"/>
      <c r="H95" s="95"/>
      <c r="I95" s="103"/>
      <c r="J95" s="103"/>
      <c r="K95" s="103"/>
      <c r="L95" s="103"/>
    </row>
    <row r="96" spans="1:12" ht="20.25" customHeight="1" x14ac:dyDescent="0.25">
      <c r="A96" s="740" t="s">
        <v>143</v>
      </c>
      <c r="B96" s="741"/>
      <c r="C96" s="428">
        <f>C2+C57+C74</f>
        <v>195933.2378</v>
      </c>
      <c r="D96" s="428">
        <f t="shared" ref="D96" si="60">D2+D57+D74</f>
        <v>975</v>
      </c>
      <c r="E96" s="428">
        <f>E2+E57+E74</f>
        <v>-13148.999999999996</v>
      </c>
      <c r="F96" s="428">
        <f>F2+F57+F74</f>
        <v>183759.2378</v>
      </c>
      <c r="G96" s="740" t="s">
        <v>144</v>
      </c>
      <c r="H96" s="741"/>
      <c r="I96" s="428">
        <f>I2+I57+I74</f>
        <v>195932.57051679998</v>
      </c>
      <c r="J96" s="428">
        <f t="shared" ref="J96:L96" si="61">J2+J57+J74</f>
        <v>975</v>
      </c>
      <c r="K96" s="428">
        <f t="shared" ref="K96" si="62">K2+K57+K74</f>
        <v>-13148.574803149606</v>
      </c>
      <c r="L96" s="428">
        <f t="shared" si="61"/>
        <v>183758.99571365037</v>
      </c>
    </row>
    <row r="97" spans="9:12" x14ac:dyDescent="0.25">
      <c r="I97" s="117">
        <f>C96-I96</f>
        <v>0.66728320001857355</v>
      </c>
      <c r="J97" s="117">
        <f>D96-J96</f>
        <v>0</v>
      </c>
      <c r="K97" s="117">
        <f>E96-K96</f>
        <v>-0.42519685039042088</v>
      </c>
      <c r="L97" s="117">
        <f>F96-L96</f>
        <v>0.24208634963724762</v>
      </c>
    </row>
  </sheetData>
  <mergeCells count="2">
    <mergeCell ref="A96:B96"/>
    <mergeCell ref="G96:H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&amp;CTaksony Nagyközség Önkormányzat 2016. évi költségvetés 
2. sz. módosítás&amp;R5.sz. melléklet</oddHeader>
    <oddFooter xml:space="preserve">&amp;LKészült: &amp;D
&amp;R/:Kreisz László://:Dr.Micheller Anita:/       </oddFooter>
  </headerFooter>
  <rowBreaks count="1" manualBreakCount="1">
    <brk id="56" max="9" man="1"/>
  </rowBreaks>
  <colBreaks count="1" manualBreakCount="1">
    <brk id="6" max="9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A140"/>
  <sheetViews>
    <sheetView view="pageBreakPreview" zoomScale="70" zoomScaleNormal="80" zoomScaleSheetLayoutView="70" workbookViewId="0">
      <selection activeCell="D127" sqref="D127"/>
    </sheetView>
  </sheetViews>
  <sheetFormatPr defaultRowHeight="15" x14ac:dyDescent="0.25"/>
  <cols>
    <col min="1" max="1" width="5" style="21" bestFit="1" customWidth="1"/>
    <col min="2" max="2" width="71" style="21" customWidth="1"/>
    <col min="3" max="3" width="16.5703125" style="21" bestFit="1" customWidth="1"/>
    <col min="4" max="6" width="16.5703125" style="21" customWidth="1"/>
    <col min="7" max="7" width="5.85546875" style="21" bestFit="1" customWidth="1"/>
    <col min="8" max="8" width="70.85546875" style="21" customWidth="1"/>
    <col min="9" max="9" width="16.5703125" style="21" bestFit="1" customWidth="1"/>
    <col min="10" max="12" width="16.5703125" style="21" customWidth="1"/>
    <col min="13" max="13" width="6.7109375" style="21" customWidth="1"/>
    <col min="14" max="14" width="71" style="21" customWidth="1"/>
    <col min="15" max="18" width="16.5703125" style="21" customWidth="1"/>
    <col min="19" max="19" width="5.85546875" style="21" bestFit="1" customWidth="1"/>
    <col min="20" max="20" width="82" style="21" bestFit="1" customWidth="1"/>
    <col min="21" max="24" width="16.5703125" style="591" bestFit="1" customWidth="1"/>
    <col min="25" max="25" width="16.5703125" style="340" bestFit="1" customWidth="1"/>
    <col min="26" max="26" width="9.140625" style="340"/>
    <col min="27" max="27" width="71" style="340" customWidth="1"/>
    <col min="28" max="28" width="14.7109375" style="21" bestFit="1" customWidth="1"/>
    <col min="29" max="16384" width="9.140625" style="21"/>
  </cols>
  <sheetData>
    <row r="1" spans="1:24" ht="40.5" customHeight="1" x14ac:dyDescent="0.25">
      <c r="A1" s="76"/>
      <c r="B1" s="77" t="s">
        <v>503</v>
      </c>
      <c r="C1" s="76" t="s">
        <v>1101</v>
      </c>
      <c r="D1" s="76" t="s">
        <v>1106</v>
      </c>
      <c r="E1" s="657" t="s">
        <v>1110</v>
      </c>
      <c r="F1" s="76" t="s">
        <v>1102</v>
      </c>
      <c r="G1" s="76"/>
      <c r="H1" s="77" t="s">
        <v>504</v>
      </c>
      <c r="I1" s="76" t="s">
        <v>1101</v>
      </c>
      <c r="J1" s="76" t="s">
        <v>1106</v>
      </c>
      <c r="K1" s="657" t="s">
        <v>1110</v>
      </c>
      <c r="L1" s="76" t="s">
        <v>1102</v>
      </c>
      <c r="M1" s="77"/>
      <c r="N1" s="76" t="s">
        <v>506</v>
      </c>
      <c r="O1" s="76" t="s">
        <v>1101</v>
      </c>
      <c r="P1" s="76" t="s">
        <v>1106</v>
      </c>
      <c r="Q1" s="657" t="s">
        <v>1110</v>
      </c>
      <c r="R1" s="76" t="s">
        <v>1102</v>
      </c>
      <c r="S1" s="77"/>
      <c r="T1" s="76" t="s">
        <v>505</v>
      </c>
      <c r="U1" s="76" t="s">
        <v>1101</v>
      </c>
      <c r="V1" s="76" t="s">
        <v>1106</v>
      </c>
      <c r="W1" s="657" t="s">
        <v>1110</v>
      </c>
      <c r="X1" s="76" t="s">
        <v>1102</v>
      </c>
    </row>
    <row r="2" spans="1:24" ht="20.25" customHeight="1" x14ac:dyDescent="0.25">
      <c r="A2" s="418"/>
      <c r="B2" s="419" t="s">
        <v>180</v>
      </c>
      <c r="C2" s="420">
        <f>C3+C21+C23+C72</f>
        <v>102969.2378</v>
      </c>
      <c r="D2" s="420">
        <f t="shared" ref="D2" si="0">D3+D21+D23+D72</f>
        <v>0</v>
      </c>
      <c r="E2" s="420">
        <f t="shared" ref="E2" si="1">E3+E21+E23+E72</f>
        <v>-21297.999999999996</v>
      </c>
      <c r="F2" s="420">
        <f>F3+F21+F23+F72</f>
        <v>81671.237800000003</v>
      </c>
      <c r="G2" s="418"/>
      <c r="H2" s="419" t="s">
        <v>196</v>
      </c>
      <c r="I2" s="420">
        <f>I3+I17+I21+I79+I86</f>
        <v>116803.7105168</v>
      </c>
      <c r="J2" s="420">
        <f t="shared" ref="J2:L2" si="2">J3+J17+J21+J79+J86</f>
        <v>279</v>
      </c>
      <c r="K2" s="420">
        <f>K3+K17+K21+K79+K86</f>
        <v>-13148.574803149606</v>
      </c>
      <c r="L2" s="420">
        <f t="shared" si="2"/>
        <v>103934.13571365038</v>
      </c>
      <c r="M2" s="419"/>
      <c r="N2" s="420" t="s">
        <v>180</v>
      </c>
      <c r="O2" s="431">
        <f>O3+O21+O23+O72</f>
        <v>0</v>
      </c>
      <c r="P2" s="431">
        <f t="shared" ref="P2:R2" si="3">P3+P21+P23+P72</f>
        <v>0</v>
      </c>
      <c r="Q2" s="431">
        <f t="shared" ref="Q2" si="4">Q3+Q21+Q23+Q72</f>
        <v>0</v>
      </c>
      <c r="R2" s="431">
        <f t="shared" si="3"/>
        <v>0</v>
      </c>
      <c r="S2" s="419"/>
      <c r="T2" s="420" t="s">
        <v>196</v>
      </c>
      <c r="U2" s="579">
        <f>U3+U17+U21+U79+U86</f>
        <v>71835.25</v>
      </c>
      <c r="V2" s="579">
        <f>V3+V17+V21+V79+V86</f>
        <v>696</v>
      </c>
      <c r="W2" s="579">
        <f>W3+W17+W21+W79+W86</f>
        <v>0</v>
      </c>
      <c r="X2" s="579">
        <f>X3+X17+X21+X79+X86</f>
        <v>72531.25</v>
      </c>
    </row>
    <row r="3" spans="1:24" ht="20.25" customHeight="1" x14ac:dyDescent="0.25">
      <c r="A3" s="421" t="s">
        <v>23</v>
      </c>
      <c r="B3" s="422" t="s">
        <v>405</v>
      </c>
      <c r="C3" s="423">
        <f>C4+C12+C13+C14+C15+C16</f>
        <v>0</v>
      </c>
      <c r="D3" s="423">
        <f t="shared" ref="D3:F3" si="5">D4+D12+D13+D14+D15+D16</f>
        <v>0</v>
      </c>
      <c r="E3" s="423">
        <f t="shared" ref="E3" si="6">E4+E12+E13+E14+E15+E16</f>
        <v>0</v>
      </c>
      <c r="F3" s="423">
        <f t="shared" si="5"/>
        <v>0</v>
      </c>
      <c r="G3" s="421" t="s">
        <v>23</v>
      </c>
      <c r="H3" s="414" t="s">
        <v>313</v>
      </c>
      <c r="I3" s="415">
        <f>I12+I16</f>
        <v>22639</v>
      </c>
      <c r="J3" s="415">
        <f t="shared" ref="J3:L3" si="7">J12+J16</f>
        <v>220</v>
      </c>
      <c r="K3" s="415">
        <f t="shared" ref="K3" si="8">K12+K16</f>
        <v>-1215</v>
      </c>
      <c r="L3" s="415">
        <f t="shared" si="7"/>
        <v>21644</v>
      </c>
      <c r="M3" s="414" t="s">
        <v>23</v>
      </c>
      <c r="N3" s="415" t="s">
        <v>405</v>
      </c>
      <c r="O3" s="415">
        <f>O4+O12+O13+O14+O15+O16</f>
        <v>0</v>
      </c>
      <c r="P3" s="415">
        <f t="shared" ref="P3:R3" si="9">P4+P12+P13+P14+P15+P16</f>
        <v>0</v>
      </c>
      <c r="Q3" s="415">
        <f t="shared" ref="Q3" si="10">Q4+Q12+Q13+Q14+Q15+Q16</f>
        <v>0</v>
      </c>
      <c r="R3" s="415">
        <f t="shared" si="9"/>
        <v>0</v>
      </c>
      <c r="S3" s="414" t="s">
        <v>23</v>
      </c>
      <c r="T3" s="415" t="s">
        <v>313</v>
      </c>
      <c r="U3" s="580">
        <f>U12+U16</f>
        <v>30450</v>
      </c>
      <c r="V3" s="580">
        <f>V12+V16</f>
        <v>548</v>
      </c>
      <c r="W3" s="580">
        <f>W12+W16</f>
        <v>0</v>
      </c>
      <c r="X3" s="580">
        <f>X12+X16</f>
        <v>30998</v>
      </c>
    </row>
    <row r="4" spans="1:24" x14ac:dyDescent="0.25">
      <c r="A4" s="70"/>
      <c r="B4" s="111" t="s">
        <v>446</v>
      </c>
      <c r="C4" s="109">
        <f>SUM(C5:C8)</f>
        <v>0</v>
      </c>
      <c r="D4" s="109">
        <f t="shared" ref="D4:F4" si="11">SUM(D5:D8)</f>
        <v>0</v>
      </c>
      <c r="E4" s="109">
        <f t="shared" ref="E4" si="12">SUM(E5:E8)</f>
        <v>0</v>
      </c>
      <c r="F4" s="109">
        <f t="shared" si="11"/>
        <v>0</v>
      </c>
      <c r="G4" s="80"/>
      <c r="H4" s="69" t="s">
        <v>1074</v>
      </c>
      <c r="I4" s="97">
        <f>20496+300</f>
        <v>20796</v>
      </c>
      <c r="J4" s="97"/>
      <c r="K4" s="97">
        <v>-1161</v>
      </c>
      <c r="L4" s="97">
        <f>I4+J4+K4</f>
        <v>19635</v>
      </c>
      <c r="M4" s="70"/>
      <c r="N4" s="111" t="s">
        <v>446</v>
      </c>
      <c r="O4" s="109">
        <f>SUM(O5:O8)</f>
        <v>0</v>
      </c>
      <c r="P4" s="109">
        <f t="shared" ref="P4:R4" si="13">SUM(P5:P8)</f>
        <v>0</v>
      </c>
      <c r="Q4" s="109">
        <f t="shared" ref="Q4" si="14">SUM(Q5:Q8)</f>
        <v>0</v>
      </c>
      <c r="R4" s="109">
        <f t="shared" si="13"/>
        <v>0</v>
      </c>
      <c r="S4" s="80"/>
      <c r="T4" s="69" t="s">
        <v>880</v>
      </c>
      <c r="U4" s="581">
        <v>27705</v>
      </c>
      <c r="V4" s="581"/>
      <c r="W4" s="581"/>
      <c r="X4" s="581">
        <f>U4+V4</f>
        <v>27705</v>
      </c>
    </row>
    <row r="5" spans="1:24" ht="24" customHeight="1" x14ac:dyDescent="0.25">
      <c r="A5" s="80"/>
      <c r="B5" s="84" t="s">
        <v>407</v>
      </c>
      <c r="C5" s="109"/>
      <c r="D5" s="109"/>
      <c r="E5" s="109"/>
      <c r="F5" s="109"/>
      <c r="G5" s="80"/>
      <c r="H5" s="69" t="s">
        <v>314</v>
      </c>
      <c r="I5" s="97">
        <v>650</v>
      </c>
      <c r="J5" s="97"/>
      <c r="K5" s="97"/>
      <c r="L5" s="97">
        <f t="shared" ref="L5:L15" si="15">I5+J5+K5</f>
        <v>650</v>
      </c>
      <c r="M5" s="80"/>
      <c r="N5" s="84" t="s">
        <v>407</v>
      </c>
      <c r="O5" s="109"/>
      <c r="P5" s="109"/>
      <c r="Q5" s="109"/>
      <c r="R5" s="109"/>
      <c r="S5" s="80"/>
      <c r="T5" s="69" t="s">
        <v>314</v>
      </c>
      <c r="U5" s="315">
        <v>450</v>
      </c>
      <c r="V5" s="315"/>
      <c r="W5" s="315"/>
      <c r="X5" s="581">
        <f t="shared" ref="X5:X68" si="16">U5+V5</f>
        <v>450</v>
      </c>
    </row>
    <row r="6" spans="1:24" ht="24" customHeight="1" x14ac:dyDescent="0.25">
      <c r="A6" s="80"/>
      <c r="B6" s="84" t="s">
        <v>408</v>
      </c>
      <c r="C6" s="109"/>
      <c r="D6" s="109"/>
      <c r="E6" s="109"/>
      <c r="F6" s="109"/>
      <c r="G6" s="80"/>
      <c r="H6" s="69" t="s">
        <v>315</v>
      </c>
      <c r="I6" s="97"/>
      <c r="J6" s="97"/>
      <c r="K6" s="97"/>
      <c r="L6" s="97">
        <f t="shared" si="15"/>
        <v>0</v>
      </c>
      <c r="M6" s="80"/>
      <c r="N6" s="84" t="s">
        <v>408</v>
      </c>
      <c r="O6" s="109"/>
      <c r="P6" s="109"/>
      <c r="Q6" s="109"/>
      <c r="R6" s="109"/>
      <c r="S6" s="80"/>
      <c r="T6" s="69" t="s">
        <v>315</v>
      </c>
      <c r="U6" s="581"/>
      <c r="V6" s="581"/>
      <c r="W6" s="581"/>
      <c r="X6" s="581">
        <f t="shared" si="16"/>
        <v>0</v>
      </c>
    </row>
    <row r="7" spans="1:24" ht="30" x14ac:dyDescent="0.25">
      <c r="A7" s="80"/>
      <c r="B7" s="84" t="s">
        <v>1044</v>
      </c>
      <c r="C7" s="109">
        <v>0</v>
      </c>
      <c r="D7" s="109"/>
      <c r="E7" s="109"/>
      <c r="F7" s="109"/>
      <c r="G7" s="80"/>
      <c r="H7" s="69" t="s">
        <v>316</v>
      </c>
      <c r="I7" s="97"/>
      <c r="J7" s="97"/>
      <c r="K7" s="97"/>
      <c r="L7" s="97">
        <f t="shared" si="15"/>
        <v>0</v>
      </c>
      <c r="M7" s="80"/>
      <c r="N7" s="84" t="s">
        <v>1044</v>
      </c>
      <c r="O7" s="109"/>
      <c r="P7" s="109"/>
      <c r="Q7" s="109"/>
      <c r="R7" s="109"/>
      <c r="S7" s="80"/>
      <c r="T7" s="69" t="s">
        <v>316</v>
      </c>
      <c r="U7" s="315"/>
      <c r="V7" s="315"/>
      <c r="W7" s="315"/>
      <c r="X7" s="581">
        <f t="shared" si="16"/>
        <v>0</v>
      </c>
    </row>
    <row r="8" spans="1:24" ht="22.5" customHeight="1" x14ac:dyDescent="0.25">
      <c r="A8" s="80"/>
      <c r="B8" s="84" t="s">
        <v>409</v>
      </c>
      <c r="C8" s="109"/>
      <c r="D8" s="109"/>
      <c r="E8" s="109"/>
      <c r="F8" s="109"/>
      <c r="G8" s="80"/>
      <c r="H8" s="69" t="s">
        <v>1059</v>
      </c>
      <c r="I8" s="97">
        <f>11*6*12+285</f>
        <v>1077</v>
      </c>
      <c r="J8" s="97"/>
      <c r="K8" s="97">
        <v>-54</v>
      </c>
      <c r="L8" s="97">
        <f t="shared" si="15"/>
        <v>1023</v>
      </c>
      <c r="M8" s="80"/>
      <c r="N8" s="84" t="s">
        <v>409</v>
      </c>
      <c r="O8" s="109"/>
      <c r="P8" s="109"/>
      <c r="Q8" s="109"/>
      <c r="R8" s="109"/>
      <c r="S8" s="80"/>
      <c r="T8" s="69" t="s">
        <v>1059</v>
      </c>
      <c r="U8" s="581">
        <f>11*6*12+540-285</f>
        <v>1047</v>
      </c>
      <c r="V8" s="581"/>
      <c r="W8" s="581"/>
      <c r="X8" s="581">
        <f t="shared" si="16"/>
        <v>1047</v>
      </c>
    </row>
    <row r="9" spans="1:24" ht="24.75" customHeight="1" x14ac:dyDescent="0.25">
      <c r="A9" s="80"/>
      <c r="B9" s="84" t="s">
        <v>1045</v>
      </c>
      <c r="C9" s="82" t="s">
        <v>253</v>
      </c>
      <c r="D9" s="82"/>
      <c r="E9" s="82"/>
      <c r="F9" s="82"/>
      <c r="G9" s="80"/>
      <c r="H9" s="69" t="s">
        <v>318</v>
      </c>
      <c r="I9" s="97">
        <v>96</v>
      </c>
      <c r="J9" s="97"/>
      <c r="K9" s="97"/>
      <c r="L9" s="97">
        <f t="shared" si="15"/>
        <v>96</v>
      </c>
      <c r="M9" s="80"/>
      <c r="N9" s="84" t="s">
        <v>410</v>
      </c>
      <c r="O9" s="82" t="s">
        <v>253</v>
      </c>
      <c r="P9" s="82"/>
      <c r="Q9" s="82"/>
      <c r="R9" s="82"/>
      <c r="S9" s="80"/>
      <c r="T9" s="69" t="s">
        <v>318</v>
      </c>
      <c r="U9" s="581"/>
      <c r="V9" s="581"/>
      <c r="W9" s="581"/>
      <c r="X9" s="581">
        <f t="shared" si="16"/>
        <v>0</v>
      </c>
    </row>
    <row r="10" spans="1:24" ht="18" customHeight="1" x14ac:dyDescent="0.25">
      <c r="A10" s="80"/>
      <c r="B10" s="84" t="s">
        <v>1046</v>
      </c>
      <c r="C10" s="82" t="s">
        <v>253</v>
      </c>
      <c r="D10" s="82"/>
      <c r="E10" s="82"/>
      <c r="F10" s="82"/>
      <c r="G10" s="85"/>
      <c r="H10" s="69" t="s">
        <v>319</v>
      </c>
      <c r="I10" s="314"/>
      <c r="J10" s="314"/>
      <c r="K10" s="314"/>
      <c r="L10" s="97">
        <f t="shared" si="15"/>
        <v>0</v>
      </c>
      <c r="M10" s="80"/>
      <c r="N10" s="84" t="s">
        <v>411</v>
      </c>
      <c r="O10" s="82" t="s">
        <v>253</v>
      </c>
      <c r="P10" s="82"/>
      <c r="Q10" s="82"/>
      <c r="R10" s="82"/>
      <c r="S10" s="85"/>
      <c r="T10" s="69" t="s">
        <v>319</v>
      </c>
      <c r="U10" s="582"/>
      <c r="V10" s="582"/>
      <c r="W10" s="582"/>
      <c r="X10" s="581">
        <f t="shared" si="16"/>
        <v>0</v>
      </c>
    </row>
    <row r="11" spans="1:24" ht="20.25" customHeight="1" x14ac:dyDescent="0.25">
      <c r="A11" s="80"/>
      <c r="B11" s="115"/>
      <c r="C11" s="88"/>
      <c r="D11" s="88"/>
      <c r="E11" s="88"/>
      <c r="F11" s="88"/>
      <c r="G11" s="85"/>
      <c r="H11" s="69" t="s">
        <v>913</v>
      </c>
      <c r="I11" s="107">
        <v>20</v>
      </c>
      <c r="J11" s="107">
        <f>I11*11</f>
        <v>220</v>
      </c>
      <c r="K11" s="107"/>
      <c r="L11" s="97">
        <f t="shared" si="15"/>
        <v>240</v>
      </c>
      <c r="M11" s="80"/>
      <c r="N11" s="115"/>
      <c r="O11" s="88"/>
      <c r="P11" s="88"/>
      <c r="Q11" s="88"/>
      <c r="R11" s="88"/>
      <c r="S11" s="85"/>
      <c r="T11" s="69" t="s">
        <v>913</v>
      </c>
      <c r="U11" s="315">
        <v>76</v>
      </c>
      <c r="V11" s="315">
        <f>768-J11</f>
        <v>548</v>
      </c>
      <c r="W11" s="315"/>
      <c r="X11" s="581">
        <f t="shared" si="16"/>
        <v>624</v>
      </c>
    </row>
    <row r="12" spans="1:24" ht="20.25" customHeight="1" x14ac:dyDescent="0.25">
      <c r="A12" s="80"/>
      <c r="B12" s="84" t="s">
        <v>412</v>
      </c>
      <c r="C12" s="88"/>
      <c r="D12" s="88"/>
      <c r="E12" s="88"/>
      <c r="F12" s="88"/>
      <c r="G12" s="85"/>
      <c r="H12" s="70" t="s">
        <v>321</v>
      </c>
      <c r="I12" s="107">
        <f>I4+I5+I6+I7+I8+I9+I10+I11</f>
        <v>22639</v>
      </c>
      <c r="J12" s="107">
        <f t="shared" ref="J12:K12" si="17">J4+J5+J6+J7+J8+J9+J10+J11</f>
        <v>220</v>
      </c>
      <c r="K12" s="107">
        <f t="shared" si="17"/>
        <v>-1215</v>
      </c>
      <c r="L12" s="97">
        <f t="shared" si="15"/>
        <v>21644</v>
      </c>
      <c r="M12" s="80"/>
      <c r="N12" s="84" t="s">
        <v>412</v>
      </c>
      <c r="O12" s="88"/>
      <c r="P12" s="88"/>
      <c r="Q12" s="88"/>
      <c r="R12" s="88"/>
      <c r="S12" s="85"/>
      <c r="T12" s="70" t="s">
        <v>321</v>
      </c>
      <c r="U12" s="315">
        <f>U4+U5+U6+U7+U8+U9+U10+U11</f>
        <v>29278</v>
      </c>
      <c r="V12" s="315">
        <f>V4+V5+V6+V7+V8+V9+V10+V11</f>
        <v>548</v>
      </c>
      <c r="W12" s="315">
        <f>W4+W5+W6+W7+W8+W9+W10+W11</f>
        <v>0</v>
      </c>
      <c r="X12" s="581">
        <f t="shared" si="16"/>
        <v>29826</v>
      </c>
    </row>
    <row r="13" spans="1:24" ht="30" x14ac:dyDescent="0.25">
      <c r="A13" s="70"/>
      <c r="B13" s="84" t="s">
        <v>413</v>
      </c>
      <c r="C13" s="109"/>
      <c r="D13" s="109"/>
      <c r="E13" s="109"/>
      <c r="F13" s="109"/>
      <c r="G13" s="85"/>
      <c r="H13" s="69" t="s">
        <v>322</v>
      </c>
      <c r="I13" s="99"/>
      <c r="J13" s="99"/>
      <c r="K13" s="99"/>
      <c r="L13" s="97">
        <f t="shared" si="15"/>
        <v>0</v>
      </c>
      <c r="M13" s="70"/>
      <c r="N13" s="84" t="s">
        <v>413</v>
      </c>
      <c r="O13" s="109"/>
      <c r="P13" s="109"/>
      <c r="Q13" s="109"/>
      <c r="R13" s="109"/>
      <c r="S13" s="85"/>
      <c r="T13" s="69" t="s">
        <v>322</v>
      </c>
      <c r="U13" s="583"/>
      <c r="V13" s="583"/>
      <c r="W13" s="583"/>
      <c r="X13" s="581">
        <f t="shared" si="16"/>
        <v>0</v>
      </c>
    </row>
    <row r="14" spans="1:24" ht="29.25" customHeight="1" x14ac:dyDescent="0.25">
      <c r="A14" s="70"/>
      <c r="B14" s="84" t="s">
        <v>414</v>
      </c>
      <c r="C14" s="109"/>
      <c r="D14" s="109"/>
      <c r="E14" s="109"/>
      <c r="F14" s="109"/>
      <c r="G14" s="85"/>
      <c r="H14" s="69" t="s">
        <v>323</v>
      </c>
      <c r="I14" s="99"/>
      <c r="J14" s="99"/>
      <c r="K14" s="99"/>
      <c r="L14" s="97">
        <f t="shared" si="15"/>
        <v>0</v>
      </c>
      <c r="M14" s="70"/>
      <c r="N14" s="84" t="s">
        <v>414</v>
      </c>
      <c r="O14" s="109"/>
      <c r="P14" s="109"/>
      <c r="Q14" s="109"/>
      <c r="R14" s="109"/>
      <c r="S14" s="85"/>
      <c r="T14" s="69" t="s">
        <v>323</v>
      </c>
      <c r="U14" s="315"/>
      <c r="V14" s="315">
        <v>420</v>
      </c>
      <c r="W14" s="315"/>
      <c r="X14" s="581">
        <f t="shared" si="16"/>
        <v>420</v>
      </c>
    </row>
    <row r="15" spans="1:24" ht="29.25" customHeight="1" x14ac:dyDescent="0.25">
      <c r="A15" s="70"/>
      <c r="B15" s="84" t="s">
        <v>415</v>
      </c>
      <c r="C15" s="109"/>
      <c r="D15" s="109"/>
      <c r="E15" s="109"/>
      <c r="F15" s="109"/>
      <c r="G15" s="85"/>
      <c r="H15" s="69" t="s">
        <v>324</v>
      </c>
      <c r="I15" s="99"/>
      <c r="J15" s="99"/>
      <c r="K15" s="99"/>
      <c r="L15" s="97">
        <f t="shared" si="15"/>
        <v>0</v>
      </c>
      <c r="M15" s="70"/>
      <c r="N15" s="84" t="s">
        <v>415</v>
      </c>
      <c r="O15" s="109"/>
      <c r="P15" s="109"/>
      <c r="Q15" s="109"/>
      <c r="R15" s="109"/>
      <c r="S15" s="85"/>
      <c r="T15" s="69" t="s">
        <v>1065</v>
      </c>
      <c r="U15" s="315">
        <f>1172</f>
        <v>1172</v>
      </c>
      <c r="V15" s="315">
        <v>-420</v>
      </c>
      <c r="W15" s="315"/>
      <c r="X15" s="581">
        <f t="shared" si="16"/>
        <v>752</v>
      </c>
    </row>
    <row r="16" spans="1:24" ht="21" customHeight="1" x14ac:dyDescent="0.25">
      <c r="A16" s="70"/>
      <c r="B16" s="84" t="s">
        <v>416</v>
      </c>
      <c r="C16" s="109"/>
      <c r="D16" s="109"/>
      <c r="E16" s="109"/>
      <c r="F16" s="109"/>
      <c r="G16" s="85"/>
      <c r="H16" s="70" t="s">
        <v>325</v>
      </c>
      <c r="I16" s="107">
        <f>I13+I14+I15</f>
        <v>0</v>
      </c>
      <c r="J16" s="107">
        <f t="shared" ref="J16:K16" si="18">J13+J14+J15</f>
        <v>0</v>
      </c>
      <c r="K16" s="107">
        <f t="shared" si="18"/>
        <v>0</v>
      </c>
      <c r="L16" s="97">
        <f t="shared" ref="L16" si="19">I16+J16</f>
        <v>0</v>
      </c>
      <c r="M16" s="70"/>
      <c r="N16" s="84" t="s">
        <v>416</v>
      </c>
      <c r="O16" s="109"/>
      <c r="P16" s="109"/>
      <c r="Q16" s="109"/>
      <c r="R16" s="109"/>
      <c r="S16" s="85"/>
      <c r="T16" s="70" t="s">
        <v>325</v>
      </c>
      <c r="U16" s="315">
        <f>U13+U14+U15</f>
        <v>1172</v>
      </c>
      <c r="V16" s="315">
        <f>V13+V14+V15</f>
        <v>0</v>
      </c>
      <c r="W16" s="315">
        <f>W13+W14+W15</f>
        <v>0</v>
      </c>
      <c r="X16" s="581">
        <f t="shared" si="16"/>
        <v>1172</v>
      </c>
    </row>
    <row r="17" spans="1:24" ht="18.75" customHeight="1" x14ac:dyDescent="0.25">
      <c r="A17" s="70"/>
      <c r="B17" s="84"/>
      <c r="C17" s="109"/>
      <c r="D17" s="109"/>
      <c r="E17" s="109"/>
      <c r="F17" s="109"/>
      <c r="G17" s="421" t="s">
        <v>45</v>
      </c>
      <c r="H17" s="414" t="s">
        <v>326</v>
      </c>
      <c r="I17" s="415">
        <f>SUM(I18:I20)</f>
        <v>6207.0327168000003</v>
      </c>
      <c r="J17" s="415">
        <f t="shared" ref="J17" si="20">SUM(J18:J20)</f>
        <v>59</v>
      </c>
      <c r="K17" s="415">
        <f t="shared" ref="K17" si="21">SUM(K18:K20)</f>
        <v>-332</v>
      </c>
      <c r="L17" s="415">
        <f>SUM(L18:L20)</f>
        <v>5934.0327168000003</v>
      </c>
      <c r="M17" s="70"/>
      <c r="N17" s="84"/>
      <c r="O17" s="109"/>
      <c r="P17" s="109"/>
      <c r="Q17" s="109"/>
      <c r="R17" s="109"/>
      <c r="S17" s="414" t="s">
        <v>45</v>
      </c>
      <c r="T17" s="415" t="s">
        <v>326</v>
      </c>
      <c r="U17" s="580">
        <f>SUM(U18:U20)</f>
        <v>8355</v>
      </c>
      <c r="V17" s="580">
        <f>SUM(V18:V20)</f>
        <v>148</v>
      </c>
      <c r="W17" s="580">
        <f>SUM(W18:W20)</f>
        <v>0</v>
      </c>
      <c r="X17" s="580">
        <f>SUM(X18:X20)</f>
        <v>8503</v>
      </c>
    </row>
    <row r="18" spans="1:24" ht="18.75" customHeight="1" x14ac:dyDescent="0.25">
      <c r="A18" s="70"/>
      <c r="B18" s="84"/>
      <c r="C18" s="109"/>
      <c r="D18" s="109"/>
      <c r="E18" s="109"/>
      <c r="F18" s="109"/>
      <c r="G18" s="80"/>
      <c r="H18" s="69" t="s">
        <v>864</v>
      </c>
      <c r="I18" s="99">
        <f>(I5+I4)*27%</f>
        <v>5790.42</v>
      </c>
      <c r="J18" s="99">
        <f>207-V18</f>
        <v>59</v>
      </c>
      <c r="K18" s="99">
        <v>-332</v>
      </c>
      <c r="L18" s="97">
        <f>I18+J18+K18</f>
        <v>5517.42</v>
      </c>
      <c r="M18" s="70"/>
      <c r="N18" s="84"/>
      <c r="O18" s="109"/>
      <c r="P18" s="109"/>
      <c r="Q18" s="109"/>
      <c r="R18" s="109"/>
      <c r="S18" s="80"/>
      <c r="T18" s="69" t="s">
        <v>864</v>
      </c>
      <c r="U18" s="315">
        <v>7918</v>
      </c>
      <c r="V18" s="315">
        <v>148</v>
      </c>
      <c r="W18" s="315">
        <f>W11*27%</f>
        <v>0</v>
      </c>
      <c r="X18" s="581">
        <f t="shared" si="16"/>
        <v>8066</v>
      </c>
    </row>
    <row r="19" spans="1:24" ht="18.75" customHeight="1" x14ac:dyDescent="0.25">
      <c r="A19" s="70"/>
      <c r="B19" s="84"/>
      <c r="C19" s="109"/>
      <c r="D19" s="109"/>
      <c r="E19" s="109"/>
      <c r="F19" s="109"/>
      <c r="G19" s="80"/>
      <c r="H19" s="69" t="s">
        <v>865</v>
      </c>
      <c r="I19" s="99">
        <f>I8*1.19*14%+I42*127%*20%*1.19*27%</f>
        <v>208.3182108</v>
      </c>
      <c r="J19" s="99"/>
      <c r="K19" s="99"/>
      <c r="L19" s="97">
        <f t="shared" ref="L19:L20" si="22">I19+J19</f>
        <v>208.3182108</v>
      </c>
      <c r="M19" s="70"/>
      <c r="N19" s="84"/>
      <c r="O19" s="109"/>
      <c r="P19" s="109"/>
      <c r="Q19" s="109"/>
      <c r="R19" s="109"/>
      <c r="S19" s="80"/>
      <c r="T19" s="69" t="s">
        <v>865</v>
      </c>
      <c r="U19" s="315">
        <v>223</v>
      </c>
      <c r="V19" s="315"/>
      <c r="W19" s="315"/>
      <c r="X19" s="581">
        <f t="shared" si="16"/>
        <v>223</v>
      </c>
    </row>
    <row r="20" spans="1:24" ht="18.75" customHeight="1" x14ac:dyDescent="0.25">
      <c r="A20" s="70"/>
      <c r="B20" s="84"/>
      <c r="C20" s="109"/>
      <c r="D20" s="109"/>
      <c r="E20" s="109"/>
      <c r="F20" s="109"/>
      <c r="G20" s="80"/>
      <c r="H20" s="69" t="s">
        <v>866</v>
      </c>
      <c r="I20" s="99">
        <f>(I8+I42*127%*20%)*1.19*15%</f>
        <v>208.29450599999996</v>
      </c>
      <c r="J20" s="99"/>
      <c r="K20" s="99"/>
      <c r="L20" s="97">
        <f t="shared" si="22"/>
        <v>208.29450599999996</v>
      </c>
      <c r="M20" s="70"/>
      <c r="N20" s="84"/>
      <c r="O20" s="109"/>
      <c r="P20" s="109"/>
      <c r="Q20" s="109"/>
      <c r="R20" s="109"/>
      <c r="S20" s="80"/>
      <c r="T20" s="69" t="s">
        <v>866</v>
      </c>
      <c r="U20" s="315">
        <v>214</v>
      </c>
      <c r="V20" s="315"/>
      <c r="W20" s="315"/>
      <c r="X20" s="581">
        <f t="shared" si="16"/>
        <v>214</v>
      </c>
    </row>
    <row r="21" spans="1:24" ht="20.25" customHeight="1" x14ac:dyDescent="0.25">
      <c r="A21" s="421" t="s">
        <v>45</v>
      </c>
      <c r="B21" s="422" t="s">
        <v>448</v>
      </c>
      <c r="C21" s="423">
        <f>0</f>
        <v>0</v>
      </c>
      <c r="D21" s="423">
        <f>0</f>
        <v>0</v>
      </c>
      <c r="E21" s="423">
        <f>0</f>
        <v>0</v>
      </c>
      <c r="F21" s="423">
        <f>0</f>
        <v>0</v>
      </c>
      <c r="G21" s="421" t="s">
        <v>56</v>
      </c>
      <c r="H21" s="414" t="s">
        <v>327</v>
      </c>
      <c r="I21" s="415">
        <f>I40+I43+I69+I72+I78</f>
        <v>87957.677800000005</v>
      </c>
      <c r="J21" s="415">
        <f t="shared" ref="J21:L21" si="23">J40+J43+J69+J72+J78</f>
        <v>0</v>
      </c>
      <c r="K21" s="415">
        <f t="shared" ref="K21" si="24">K40+K43+K69+K72+K78</f>
        <v>-11601.574803149606</v>
      </c>
      <c r="L21" s="415">
        <f t="shared" si="23"/>
        <v>76356.102996850386</v>
      </c>
      <c r="M21" s="414" t="s">
        <v>45</v>
      </c>
      <c r="N21" s="415" t="s">
        <v>448</v>
      </c>
      <c r="O21" s="415">
        <f>0</f>
        <v>0</v>
      </c>
      <c r="P21" s="415">
        <f>0</f>
        <v>0</v>
      </c>
      <c r="Q21" s="415">
        <f>0</f>
        <v>0</v>
      </c>
      <c r="R21" s="415">
        <f>0</f>
        <v>0</v>
      </c>
      <c r="S21" s="414" t="s">
        <v>56</v>
      </c>
      <c r="T21" s="415" t="s">
        <v>327</v>
      </c>
      <c r="U21" s="580">
        <f>U40+U43+U69+U72+U78</f>
        <v>33030.25</v>
      </c>
      <c r="V21" s="580">
        <f>V40+V43+V69+V72+V78</f>
        <v>0</v>
      </c>
      <c r="W21" s="580">
        <f>W40+W43+W69+W72+W78</f>
        <v>0</v>
      </c>
      <c r="X21" s="580">
        <f>X40+X43+X69+X72+X78</f>
        <v>33030.25</v>
      </c>
    </row>
    <row r="22" spans="1:24" ht="20.25" customHeight="1" x14ac:dyDescent="0.25">
      <c r="A22" s="86"/>
      <c r="B22" s="88"/>
      <c r="C22" s="97"/>
      <c r="D22" s="97"/>
      <c r="E22" s="97"/>
      <c r="F22" s="97"/>
      <c r="G22" s="71"/>
      <c r="H22" s="71" t="s">
        <v>328</v>
      </c>
      <c r="I22" s="107">
        <f>SUM(I23:I25)</f>
        <v>15</v>
      </c>
      <c r="J22" s="107">
        <f t="shared" ref="J22:K22" si="25">SUM(J23:J25)</f>
        <v>0</v>
      </c>
      <c r="K22" s="107">
        <f t="shared" si="25"/>
        <v>0</v>
      </c>
      <c r="L22" s="97">
        <f t="shared" ref="L22:L39" si="26">I22+J22</f>
        <v>15</v>
      </c>
      <c r="M22" s="86"/>
      <c r="N22" s="88"/>
      <c r="O22" s="97"/>
      <c r="P22" s="97"/>
      <c r="Q22" s="97"/>
      <c r="R22" s="97"/>
      <c r="S22" s="71"/>
      <c r="T22" s="71" t="s">
        <v>328</v>
      </c>
      <c r="U22" s="315">
        <f>SUM(U23:U25)</f>
        <v>35</v>
      </c>
      <c r="V22" s="315">
        <f>SUM(V23:V25)</f>
        <v>0</v>
      </c>
      <c r="W22" s="315">
        <f>SUM(W23:W25)</f>
        <v>0</v>
      </c>
      <c r="X22" s="581">
        <f t="shared" si="16"/>
        <v>35</v>
      </c>
    </row>
    <row r="23" spans="1:24" ht="20.25" customHeight="1" x14ac:dyDescent="0.25">
      <c r="A23" s="421" t="s">
        <v>56</v>
      </c>
      <c r="B23" s="422" t="s">
        <v>447</v>
      </c>
      <c r="C23" s="423">
        <f>SUM(C25,C24,C31,C38,C39,C45,C46,C47,C48,C49)</f>
        <v>102969.2378</v>
      </c>
      <c r="D23" s="423">
        <f t="shared" ref="D23" si="27">SUM(D25,D24,D31,D38,D39,D45,D46,D47,D48,D49)</f>
        <v>0</v>
      </c>
      <c r="E23" s="423">
        <f>SUM(E25,E24,E31,E38,E39,E45,E46,E47,E48,E49)</f>
        <v>-21297.999999999996</v>
      </c>
      <c r="F23" s="423">
        <f>SUM(F25,F24,F31,F38,F39,F45,F46,F47,F48,F49)</f>
        <v>81671.237800000003</v>
      </c>
      <c r="G23" s="71"/>
      <c r="H23" s="71" t="s">
        <v>329</v>
      </c>
      <c r="I23" s="107">
        <v>15</v>
      </c>
      <c r="J23" s="107"/>
      <c r="K23" s="107"/>
      <c r="L23" s="97">
        <f t="shared" si="26"/>
        <v>15</v>
      </c>
      <c r="M23" s="414" t="s">
        <v>56</v>
      </c>
      <c r="N23" s="415" t="s">
        <v>447</v>
      </c>
      <c r="O23" s="415">
        <f>O24+O25+O31+O38+O39+O45+O46+O47+O48+O49</f>
        <v>0</v>
      </c>
      <c r="P23" s="415">
        <f t="shared" ref="P23:R23" si="28">P24+P25+P31+P38+P39+P45+P46+P47+P48+P49</f>
        <v>0</v>
      </c>
      <c r="Q23" s="415">
        <f t="shared" ref="Q23" si="29">Q24+Q25+Q31+Q38+Q39+Q45+Q46+Q47+Q48+Q49</f>
        <v>0</v>
      </c>
      <c r="R23" s="415">
        <f t="shared" si="28"/>
        <v>0</v>
      </c>
      <c r="S23" s="71"/>
      <c r="T23" s="71" t="s">
        <v>329</v>
      </c>
      <c r="U23" s="315">
        <v>35</v>
      </c>
      <c r="V23" s="315"/>
      <c r="W23" s="315"/>
      <c r="X23" s="581">
        <f t="shared" si="16"/>
        <v>35</v>
      </c>
    </row>
    <row r="24" spans="1:24" ht="20.25" customHeight="1" x14ac:dyDescent="0.25">
      <c r="A24" s="86"/>
      <c r="B24" s="89" t="s">
        <v>449</v>
      </c>
      <c r="C24" s="103"/>
      <c r="D24" s="103"/>
      <c r="E24" s="103"/>
      <c r="F24" s="103"/>
      <c r="G24" s="71"/>
      <c r="H24" s="71" t="s">
        <v>330</v>
      </c>
      <c r="I24" s="107"/>
      <c r="J24" s="107"/>
      <c r="K24" s="107"/>
      <c r="L24" s="97">
        <f t="shared" si="26"/>
        <v>0</v>
      </c>
      <c r="M24" s="86"/>
      <c r="N24" s="89" t="s">
        <v>449</v>
      </c>
      <c r="O24" s="103"/>
      <c r="P24" s="103"/>
      <c r="Q24" s="103"/>
      <c r="R24" s="103"/>
      <c r="S24" s="71"/>
      <c r="T24" s="71" t="s">
        <v>330</v>
      </c>
      <c r="U24" s="315"/>
      <c r="V24" s="315"/>
      <c r="W24" s="315"/>
      <c r="X24" s="581">
        <f t="shared" si="16"/>
        <v>0</v>
      </c>
    </row>
    <row r="25" spans="1:24" ht="20.25" customHeight="1" x14ac:dyDescent="0.25">
      <c r="A25" s="86"/>
      <c r="B25" s="89" t="s">
        <v>450</v>
      </c>
      <c r="C25" s="103">
        <f>SUM(C26:C30)</f>
        <v>81078.14</v>
      </c>
      <c r="D25" s="103">
        <f t="shared" ref="D25:E25" si="30">SUM(D26:D30)</f>
        <v>0</v>
      </c>
      <c r="E25" s="103">
        <f t="shared" si="30"/>
        <v>-16770.078740157478</v>
      </c>
      <c r="F25" s="103">
        <f>C25+D25+E25</f>
        <v>64308.061259842521</v>
      </c>
      <c r="G25" s="71"/>
      <c r="H25" s="71" t="s">
        <v>331</v>
      </c>
      <c r="I25" s="107">
        <v>0</v>
      </c>
      <c r="J25" s="107">
        <v>0</v>
      </c>
      <c r="K25" s="107">
        <v>0</v>
      </c>
      <c r="L25" s="97">
        <f t="shared" si="26"/>
        <v>0</v>
      </c>
      <c r="M25" s="86"/>
      <c r="N25" s="89" t="s">
        <v>450</v>
      </c>
      <c r="O25" s="103">
        <f>SUM(O26:O30)</f>
        <v>0</v>
      </c>
      <c r="P25" s="103">
        <f t="shared" ref="P25:R25" si="31">SUM(P26:P30)</f>
        <v>0</v>
      </c>
      <c r="Q25" s="103">
        <f t="shared" ref="Q25" si="32">SUM(Q26:Q30)</f>
        <v>0</v>
      </c>
      <c r="R25" s="103">
        <f t="shared" si="31"/>
        <v>0</v>
      </c>
      <c r="S25" s="71"/>
      <c r="T25" s="71" t="s">
        <v>331</v>
      </c>
      <c r="U25" s="315"/>
      <c r="V25" s="315"/>
      <c r="W25" s="315"/>
      <c r="X25" s="581">
        <f t="shared" si="16"/>
        <v>0</v>
      </c>
    </row>
    <row r="26" spans="1:24" ht="20.25" customHeight="1" x14ac:dyDescent="0.25">
      <c r="A26" s="86"/>
      <c r="B26" s="89" t="s">
        <v>469</v>
      </c>
      <c r="C26" s="103"/>
      <c r="D26" s="103"/>
      <c r="E26" s="103"/>
      <c r="F26" s="103"/>
      <c r="G26" s="71"/>
      <c r="H26" s="71" t="s">
        <v>338</v>
      </c>
      <c r="I26" s="107">
        <f>SUM(I27:I38)</f>
        <v>55310</v>
      </c>
      <c r="J26" s="107">
        <f t="shared" ref="J26:K26" si="33">SUM(J27:J38)</f>
        <v>0</v>
      </c>
      <c r="K26" s="107">
        <f t="shared" si="33"/>
        <v>-10748.031496062991</v>
      </c>
      <c r="L26" s="97">
        <f>I26+J26+K26</f>
        <v>44561.968503937009</v>
      </c>
      <c r="M26" s="86"/>
      <c r="N26" s="89" t="s">
        <v>469</v>
      </c>
      <c r="O26" s="103">
        <v>0</v>
      </c>
      <c r="P26" s="103">
        <v>0</v>
      </c>
      <c r="Q26" s="103">
        <v>0</v>
      </c>
      <c r="R26" s="103">
        <v>0</v>
      </c>
      <c r="S26" s="71"/>
      <c r="T26" s="71" t="s">
        <v>338</v>
      </c>
      <c r="U26" s="315">
        <f>SUM(U27:U38)</f>
        <v>8477</v>
      </c>
      <c r="V26" s="315">
        <f>SUM(V27:V38)</f>
        <v>0</v>
      </c>
      <c r="W26" s="315">
        <f>SUM(W27:W38)</f>
        <v>0</v>
      </c>
      <c r="X26" s="581">
        <f t="shared" si="16"/>
        <v>8477</v>
      </c>
    </row>
    <row r="27" spans="1:24" ht="20.25" customHeight="1" x14ac:dyDescent="0.25">
      <c r="A27" s="86"/>
      <c r="B27" s="89" t="s">
        <v>467</v>
      </c>
      <c r="C27" s="103"/>
      <c r="D27" s="103"/>
      <c r="E27" s="103"/>
      <c r="F27" s="103"/>
      <c r="G27" s="71"/>
      <c r="H27" s="71" t="s">
        <v>1060</v>
      </c>
      <c r="I27" s="315">
        <f>49000+2908</f>
        <v>51908</v>
      </c>
      <c r="J27" s="315"/>
      <c r="K27" s="315">
        <f>-13118/127%</f>
        <v>-10329.133858267716</v>
      </c>
      <c r="L27" s="97">
        <f>I27+J27+K27</f>
        <v>41578.866141732287</v>
      </c>
      <c r="M27" s="86"/>
      <c r="N27" s="89" t="s">
        <v>467</v>
      </c>
      <c r="O27" s="103"/>
      <c r="P27" s="103"/>
      <c r="Q27" s="103"/>
      <c r="R27" s="103"/>
      <c r="S27" s="71"/>
      <c r="T27" s="71" t="s">
        <v>332</v>
      </c>
      <c r="U27" s="315"/>
      <c r="V27" s="315"/>
      <c r="W27" s="315"/>
      <c r="X27" s="581">
        <f t="shared" si="16"/>
        <v>0</v>
      </c>
    </row>
    <row r="28" spans="1:24" ht="20.25" customHeight="1" x14ac:dyDescent="0.25">
      <c r="A28" s="86"/>
      <c r="B28" s="21" t="s">
        <v>468</v>
      </c>
      <c r="C28" s="103"/>
      <c r="D28" s="103"/>
      <c r="E28" s="103"/>
      <c r="F28" s="103"/>
      <c r="G28" s="71"/>
      <c r="H28" s="71" t="s">
        <v>333</v>
      </c>
      <c r="I28" s="107">
        <v>313</v>
      </c>
      <c r="J28" s="107"/>
      <c r="K28" s="107"/>
      <c r="L28" s="97">
        <f t="shared" ref="L28:L34" si="34">I28+J28+K28</f>
        <v>313</v>
      </c>
      <c r="M28" s="86"/>
      <c r="N28" s="21" t="s">
        <v>468</v>
      </c>
      <c r="O28" s="103"/>
      <c r="P28" s="103"/>
      <c r="Q28" s="103"/>
      <c r="R28" s="103"/>
      <c r="S28" s="71"/>
      <c r="T28" s="71" t="s">
        <v>333</v>
      </c>
      <c r="U28" s="315">
        <v>135</v>
      </c>
      <c r="V28" s="315"/>
      <c r="W28" s="315"/>
      <c r="X28" s="581">
        <f t="shared" si="16"/>
        <v>135</v>
      </c>
    </row>
    <row r="29" spans="1:24" ht="20.25" customHeight="1" x14ac:dyDescent="0.25">
      <c r="A29" s="86"/>
      <c r="B29" s="89" t="s">
        <v>494</v>
      </c>
      <c r="C29" s="103">
        <f>2890*101%</f>
        <v>2918.9</v>
      </c>
      <c r="D29" s="103"/>
      <c r="E29" s="103">
        <f>-(394+20419)/127%</f>
        <v>-16388.188976377951</v>
      </c>
      <c r="F29" s="103">
        <f t="shared" ref="F29:F30" si="35">C29+D29+E29</f>
        <v>-13469.288976377951</v>
      </c>
      <c r="G29" s="71"/>
      <c r="H29" s="71" t="s">
        <v>334</v>
      </c>
      <c r="I29" s="107">
        <v>55</v>
      </c>
      <c r="J29" s="107"/>
      <c r="K29" s="107"/>
      <c r="L29" s="97">
        <f t="shared" si="34"/>
        <v>55</v>
      </c>
      <c r="M29" s="86"/>
      <c r="N29" s="89" t="s">
        <v>494</v>
      </c>
      <c r="O29" s="103"/>
      <c r="P29" s="103"/>
      <c r="Q29" s="103"/>
      <c r="R29" s="103"/>
      <c r="S29" s="71"/>
      <c r="T29" s="71" t="s">
        <v>334</v>
      </c>
      <c r="U29" s="315">
        <v>52</v>
      </c>
      <c r="V29" s="315"/>
      <c r="W29" s="315"/>
      <c r="X29" s="581">
        <f t="shared" si="16"/>
        <v>52</v>
      </c>
    </row>
    <row r="30" spans="1:24" ht="20.25" customHeight="1" x14ac:dyDescent="0.25">
      <c r="A30" s="86"/>
      <c r="B30" s="89" t="s">
        <v>495</v>
      </c>
      <c r="C30" s="103">
        <f>77024*101%+365</f>
        <v>78159.240000000005</v>
      </c>
      <c r="D30" s="103"/>
      <c r="E30" s="103">
        <f>-(315+170)/127%</f>
        <v>-381.88976377952753</v>
      </c>
      <c r="F30" s="103">
        <f t="shared" si="35"/>
        <v>77777.350236220474</v>
      </c>
      <c r="G30" s="71"/>
      <c r="H30" s="71" t="s">
        <v>335</v>
      </c>
      <c r="I30" s="107"/>
      <c r="J30" s="107"/>
      <c r="K30" s="107"/>
      <c r="L30" s="97">
        <f t="shared" si="34"/>
        <v>0</v>
      </c>
      <c r="M30" s="86"/>
      <c r="N30" s="89" t="s">
        <v>495</v>
      </c>
      <c r="O30" s="103"/>
      <c r="P30" s="103"/>
      <c r="Q30" s="103"/>
      <c r="R30" s="103"/>
      <c r="S30" s="71"/>
      <c r="T30" s="71" t="s">
        <v>335</v>
      </c>
      <c r="U30" s="315">
        <v>2443</v>
      </c>
      <c r="V30" s="315"/>
      <c r="W30" s="315"/>
      <c r="X30" s="581">
        <f t="shared" si="16"/>
        <v>2443</v>
      </c>
    </row>
    <row r="31" spans="1:24" ht="20.25" customHeight="1" x14ac:dyDescent="0.25">
      <c r="A31" s="86"/>
      <c r="B31" s="89" t="s">
        <v>451</v>
      </c>
      <c r="C31" s="103"/>
      <c r="D31" s="103"/>
      <c r="E31" s="103"/>
      <c r="F31" s="103"/>
      <c r="G31" s="71"/>
      <c r="H31" s="71" t="s">
        <v>336</v>
      </c>
      <c r="I31" s="107">
        <f>55*12</f>
        <v>660</v>
      </c>
      <c r="J31" s="107"/>
      <c r="K31" s="107">
        <f>-209/127%</f>
        <v>-164.56692913385825</v>
      </c>
      <c r="L31" s="97">
        <f t="shared" si="34"/>
        <v>495.43307086614175</v>
      </c>
      <c r="M31" s="86"/>
      <c r="N31" s="89" t="s">
        <v>451</v>
      </c>
      <c r="O31" s="103"/>
      <c r="P31" s="103"/>
      <c r="Q31" s="103"/>
      <c r="R31" s="103"/>
      <c r="S31" s="71"/>
      <c r="T31" s="71" t="s">
        <v>336</v>
      </c>
      <c r="U31" s="315">
        <v>550</v>
      </c>
      <c r="V31" s="315"/>
      <c r="W31" s="315"/>
      <c r="X31" s="581">
        <f t="shared" si="16"/>
        <v>550</v>
      </c>
    </row>
    <row r="32" spans="1:24" ht="20.25" customHeight="1" x14ac:dyDescent="0.25">
      <c r="A32" s="86"/>
      <c r="B32" s="89"/>
      <c r="C32" s="103"/>
      <c r="D32" s="103"/>
      <c r="E32" s="103"/>
      <c r="F32" s="103"/>
      <c r="G32" s="71"/>
      <c r="H32" s="430" t="s">
        <v>881</v>
      </c>
      <c r="I32" s="107">
        <v>105</v>
      </c>
      <c r="J32" s="107"/>
      <c r="K32" s="107"/>
      <c r="L32" s="97">
        <f t="shared" si="34"/>
        <v>105</v>
      </c>
      <c r="M32" s="86"/>
      <c r="N32" s="89"/>
      <c r="O32" s="103"/>
      <c r="P32" s="103"/>
      <c r="Q32" s="103"/>
      <c r="R32" s="103"/>
      <c r="S32" s="71"/>
      <c r="T32" s="430" t="s">
        <v>881</v>
      </c>
      <c r="U32" s="315">
        <v>130</v>
      </c>
      <c r="V32" s="315"/>
      <c r="W32" s="315"/>
      <c r="X32" s="581">
        <f t="shared" si="16"/>
        <v>130</v>
      </c>
    </row>
    <row r="33" spans="1:24" ht="20.25" customHeight="1" x14ac:dyDescent="0.25">
      <c r="A33" s="86"/>
      <c r="B33" s="89"/>
      <c r="C33" s="103"/>
      <c r="D33" s="103"/>
      <c r="E33" s="103"/>
      <c r="F33" s="103"/>
      <c r="G33" s="71"/>
      <c r="H33" s="430" t="s">
        <v>1061</v>
      </c>
      <c r="I33" s="315">
        <f>1150+172+365</f>
        <v>1687</v>
      </c>
      <c r="J33" s="315"/>
      <c r="K33" s="315">
        <f>-323/127%</f>
        <v>-254.33070866141733</v>
      </c>
      <c r="L33" s="97">
        <f t="shared" si="34"/>
        <v>1432.6692913385828</v>
      </c>
      <c r="M33" s="86"/>
      <c r="N33" s="89"/>
      <c r="O33" s="103"/>
      <c r="P33" s="103"/>
      <c r="Q33" s="103"/>
      <c r="R33" s="103"/>
      <c r="S33" s="71"/>
      <c r="T33" s="430" t="s">
        <v>1066</v>
      </c>
      <c r="U33" s="315">
        <f>1512+157</f>
        <v>1669</v>
      </c>
      <c r="V33" s="315"/>
      <c r="W33" s="315"/>
      <c r="X33" s="581">
        <f t="shared" si="16"/>
        <v>1669</v>
      </c>
    </row>
    <row r="34" spans="1:24" ht="20.25" customHeight="1" x14ac:dyDescent="0.25">
      <c r="A34" s="86"/>
      <c r="B34" s="89"/>
      <c r="C34" s="103"/>
      <c r="D34" s="103"/>
      <c r="E34" s="103"/>
      <c r="F34" s="103"/>
      <c r="G34" s="71"/>
      <c r="H34" s="430" t="s">
        <v>886</v>
      </c>
      <c r="I34" s="107">
        <v>582</v>
      </c>
      <c r="J34" s="107"/>
      <c r="K34" s="107"/>
      <c r="L34" s="97">
        <f t="shared" si="34"/>
        <v>582</v>
      </c>
      <c r="M34" s="86"/>
      <c r="N34" s="89"/>
      <c r="O34" s="103"/>
      <c r="P34" s="103"/>
      <c r="Q34" s="103"/>
      <c r="R34" s="103"/>
      <c r="S34" s="71"/>
      <c r="T34" s="430" t="s">
        <v>1067</v>
      </c>
      <c r="U34" s="315">
        <f>450+135</f>
        <v>585</v>
      </c>
      <c r="V34" s="315"/>
      <c r="W34" s="315"/>
      <c r="X34" s="581">
        <f t="shared" si="16"/>
        <v>585</v>
      </c>
    </row>
    <row r="35" spans="1:24" ht="20.25" customHeight="1" x14ac:dyDescent="0.25">
      <c r="A35" s="86"/>
      <c r="B35" s="89"/>
      <c r="C35" s="103"/>
      <c r="D35" s="103"/>
      <c r="E35" s="103"/>
      <c r="F35" s="103"/>
      <c r="G35" s="71"/>
      <c r="H35" s="430"/>
      <c r="I35" s="107"/>
      <c r="J35" s="107"/>
      <c r="K35" s="107"/>
      <c r="L35" s="97">
        <f t="shared" si="26"/>
        <v>0</v>
      </c>
      <c r="M35" s="86"/>
      <c r="N35" s="89"/>
      <c r="O35" s="103"/>
      <c r="P35" s="103"/>
      <c r="Q35" s="103"/>
      <c r="R35" s="103"/>
      <c r="S35" s="71"/>
      <c r="T35" s="430" t="s">
        <v>1068</v>
      </c>
      <c r="U35" s="315">
        <f>1200+110+30+343+200+55</f>
        <v>1938</v>
      </c>
      <c r="V35" s="315"/>
      <c r="W35" s="315"/>
      <c r="X35" s="581">
        <f t="shared" si="16"/>
        <v>1938</v>
      </c>
    </row>
    <row r="36" spans="1:24" ht="20.25" customHeight="1" x14ac:dyDescent="0.25">
      <c r="A36" s="86"/>
      <c r="B36" s="89"/>
      <c r="C36" s="103"/>
      <c r="D36" s="103"/>
      <c r="E36" s="103"/>
      <c r="F36" s="103"/>
      <c r="G36" s="71"/>
      <c r="H36" s="71"/>
      <c r="I36" s="107"/>
      <c r="J36" s="107"/>
      <c r="K36" s="107"/>
      <c r="L36" s="97">
        <f t="shared" si="26"/>
        <v>0</v>
      </c>
      <c r="M36" s="86"/>
      <c r="N36" s="89"/>
      <c r="O36" s="103"/>
      <c r="P36" s="103"/>
      <c r="Q36" s="103"/>
      <c r="R36" s="103"/>
      <c r="S36" s="71"/>
      <c r="T36" s="430" t="s">
        <v>882</v>
      </c>
      <c r="U36" s="315">
        <v>285</v>
      </c>
      <c r="V36" s="315"/>
      <c r="W36" s="315"/>
      <c r="X36" s="581">
        <f t="shared" si="16"/>
        <v>285</v>
      </c>
    </row>
    <row r="37" spans="1:24" ht="20.25" customHeight="1" x14ac:dyDescent="0.25">
      <c r="A37" s="86"/>
      <c r="B37" s="89"/>
      <c r="C37" s="103"/>
      <c r="D37" s="103"/>
      <c r="E37" s="103"/>
      <c r="F37" s="103"/>
      <c r="G37" s="71"/>
      <c r="H37" s="71"/>
      <c r="I37" s="107"/>
      <c r="J37" s="107"/>
      <c r="K37" s="107"/>
      <c r="L37" s="97">
        <f t="shared" si="26"/>
        <v>0</v>
      </c>
      <c r="M37" s="86"/>
      <c r="N37" s="89"/>
      <c r="O37" s="103"/>
      <c r="P37" s="103"/>
      <c r="Q37" s="103"/>
      <c r="R37" s="103"/>
      <c r="S37" s="71"/>
      <c r="T37" s="430" t="s">
        <v>1069</v>
      </c>
      <c r="U37" s="315">
        <f>250+440</f>
        <v>690</v>
      </c>
      <c r="V37" s="315"/>
      <c r="W37" s="315"/>
      <c r="X37" s="581">
        <f t="shared" si="16"/>
        <v>690</v>
      </c>
    </row>
    <row r="38" spans="1:24" ht="20.25" customHeight="1" x14ac:dyDescent="0.25">
      <c r="A38" s="86"/>
      <c r="B38" s="89" t="s">
        <v>452</v>
      </c>
      <c r="C38" s="103"/>
      <c r="D38" s="103"/>
      <c r="E38" s="103"/>
      <c r="F38" s="103"/>
      <c r="G38" s="71"/>
      <c r="H38" s="71"/>
      <c r="I38" s="107"/>
      <c r="J38" s="107"/>
      <c r="K38" s="107"/>
      <c r="L38" s="97">
        <f t="shared" si="26"/>
        <v>0</v>
      </c>
      <c r="M38" s="86"/>
      <c r="N38" s="89" t="s">
        <v>452</v>
      </c>
      <c r="O38" s="103"/>
      <c r="P38" s="103"/>
      <c r="Q38" s="103"/>
      <c r="R38" s="103"/>
      <c r="S38" s="71"/>
      <c r="T38" s="430"/>
      <c r="U38" s="315"/>
      <c r="V38" s="315"/>
      <c r="W38" s="315"/>
      <c r="X38" s="581">
        <f t="shared" si="16"/>
        <v>0</v>
      </c>
    </row>
    <row r="39" spans="1:24" ht="20.25" customHeight="1" x14ac:dyDescent="0.25">
      <c r="A39" s="86"/>
      <c r="B39" s="89" t="s">
        <v>453</v>
      </c>
      <c r="C39" s="103">
        <f>SUM(C40:C44)</f>
        <v>0</v>
      </c>
      <c r="D39" s="103">
        <f t="shared" ref="D39:F39" si="36">SUM(D40:D44)</f>
        <v>0</v>
      </c>
      <c r="E39" s="103">
        <f t="shared" ref="E39" si="37">SUM(E40:E44)</f>
        <v>0</v>
      </c>
      <c r="F39" s="103">
        <f t="shared" si="36"/>
        <v>0</v>
      </c>
      <c r="G39" s="71"/>
      <c r="H39" s="71" t="s">
        <v>339</v>
      </c>
      <c r="I39" s="107"/>
      <c r="J39" s="107"/>
      <c r="K39" s="107"/>
      <c r="L39" s="97">
        <f t="shared" si="26"/>
        <v>0</v>
      </c>
      <c r="M39" s="86"/>
      <c r="N39" s="89" t="s">
        <v>453</v>
      </c>
      <c r="O39" s="103">
        <f>SUM(O40:O44)</f>
        <v>0</v>
      </c>
      <c r="P39" s="103">
        <f t="shared" ref="P39:R39" si="38">SUM(P40:P44)</f>
        <v>0</v>
      </c>
      <c r="Q39" s="103">
        <f t="shared" ref="Q39" si="39">SUM(Q40:Q44)</f>
        <v>0</v>
      </c>
      <c r="R39" s="103">
        <f t="shared" si="38"/>
        <v>0</v>
      </c>
      <c r="S39" s="71"/>
      <c r="T39" s="71" t="s">
        <v>339</v>
      </c>
      <c r="U39" s="315"/>
      <c r="V39" s="315"/>
      <c r="W39" s="315"/>
      <c r="X39" s="581">
        <f t="shared" si="16"/>
        <v>0</v>
      </c>
    </row>
    <row r="40" spans="1:24" ht="20.25" customHeight="1" x14ac:dyDescent="0.25">
      <c r="A40" s="86"/>
      <c r="B40" s="21" t="s">
        <v>497</v>
      </c>
      <c r="C40" s="103">
        <v>0</v>
      </c>
      <c r="D40" s="103">
        <v>0</v>
      </c>
      <c r="E40" s="103">
        <v>0</v>
      </c>
      <c r="F40" s="103">
        <v>0</v>
      </c>
      <c r="G40" s="71"/>
      <c r="H40" s="72" t="s">
        <v>340</v>
      </c>
      <c r="I40" s="107">
        <f>I22+I26+I39</f>
        <v>55325</v>
      </c>
      <c r="J40" s="107">
        <f t="shared" ref="J40:K40" si="40">J22+J26+J39</f>
        <v>0</v>
      </c>
      <c r="K40" s="107">
        <f t="shared" si="40"/>
        <v>-10748.031496062991</v>
      </c>
      <c r="L40" s="97">
        <f t="shared" ref="L40:L78" si="41">I40+J40+K40</f>
        <v>44576.968503937009</v>
      </c>
      <c r="M40" s="86"/>
      <c r="N40" s="21" t="s">
        <v>497</v>
      </c>
      <c r="O40" s="103"/>
      <c r="P40" s="103"/>
      <c r="Q40" s="103"/>
      <c r="R40" s="103"/>
      <c r="S40" s="71"/>
      <c r="T40" s="72" t="s">
        <v>340</v>
      </c>
      <c r="U40" s="315">
        <f>U22+U26+U39</f>
        <v>8512</v>
      </c>
      <c r="V40" s="315">
        <f>V22+V26+V39</f>
        <v>0</v>
      </c>
      <c r="W40" s="315">
        <f>W22+W26+W39</f>
        <v>0</v>
      </c>
      <c r="X40" s="581">
        <f t="shared" si="16"/>
        <v>8512</v>
      </c>
    </row>
    <row r="41" spans="1:24" ht="20.25" customHeight="1" x14ac:dyDescent="0.25">
      <c r="A41" s="86"/>
      <c r="B41" s="88" t="s">
        <v>498</v>
      </c>
      <c r="C41" s="118">
        <v>0</v>
      </c>
      <c r="D41" s="118">
        <v>0</v>
      </c>
      <c r="E41" s="118">
        <v>0</v>
      </c>
      <c r="F41" s="118">
        <v>0</v>
      </c>
      <c r="G41" s="71"/>
      <c r="H41" s="71" t="s">
        <v>914</v>
      </c>
      <c r="I41" s="107">
        <f>35+146</f>
        <v>181</v>
      </c>
      <c r="J41" s="107"/>
      <c r="K41" s="107"/>
      <c r="L41" s="97">
        <f t="shared" si="41"/>
        <v>181</v>
      </c>
      <c r="M41" s="86"/>
      <c r="N41" s="88" t="s">
        <v>498</v>
      </c>
      <c r="O41" s="118"/>
      <c r="P41" s="118"/>
      <c r="Q41" s="118"/>
      <c r="R41" s="118"/>
      <c r="S41" s="71"/>
      <c r="T41" s="71" t="s">
        <v>342</v>
      </c>
      <c r="U41" s="315"/>
      <c r="V41" s="315"/>
      <c r="W41" s="315"/>
      <c r="X41" s="581">
        <f t="shared" si="16"/>
        <v>0</v>
      </c>
    </row>
    <row r="42" spans="1:24" ht="20.25" customHeight="1" x14ac:dyDescent="0.25">
      <c r="A42" s="86"/>
      <c r="B42" s="88" t="s">
        <v>496</v>
      </c>
      <c r="C42" s="103"/>
      <c r="D42" s="103"/>
      <c r="E42" s="103"/>
      <c r="F42" s="103"/>
      <c r="G42" s="71"/>
      <c r="H42" s="71" t="s">
        <v>343</v>
      </c>
      <c r="I42" s="107">
        <v>354</v>
      </c>
      <c r="J42" s="107"/>
      <c r="K42" s="107"/>
      <c r="L42" s="97">
        <f t="shared" si="41"/>
        <v>354</v>
      </c>
      <c r="M42" s="86"/>
      <c r="N42" s="88" t="s">
        <v>496</v>
      </c>
      <c r="O42" s="103"/>
      <c r="P42" s="103"/>
      <c r="Q42" s="103"/>
      <c r="R42" s="103"/>
      <c r="S42" s="71"/>
      <c r="T42" s="71" t="s">
        <v>492</v>
      </c>
      <c r="U42" s="315">
        <v>600</v>
      </c>
      <c r="V42" s="315"/>
      <c r="W42" s="315"/>
      <c r="X42" s="581">
        <f t="shared" si="16"/>
        <v>600</v>
      </c>
    </row>
    <row r="43" spans="1:24" ht="20.25" customHeight="1" x14ac:dyDescent="0.25">
      <c r="A43" s="86"/>
      <c r="B43" s="88" t="s">
        <v>454</v>
      </c>
      <c r="C43" s="103"/>
      <c r="D43" s="103"/>
      <c r="E43" s="103"/>
      <c r="F43" s="103"/>
      <c r="G43" s="71"/>
      <c r="H43" s="72" t="s">
        <v>341</v>
      </c>
      <c r="I43" s="107">
        <f>I41+I42</f>
        <v>535</v>
      </c>
      <c r="J43" s="107">
        <f t="shared" ref="J43:K43" si="42">J41+J42</f>
        <v>0</v>
      </c>
      <c r="K43" s="107">
        <f t="shared" si="42"/>
        <v>0</v>
      </c>
      <c r="L43" s="97">
        <f t="shared" si="41"/>
        <v>535</v>
      </c>
      <c r="M43" s="86"/>
      <c r="N43" s="88" t="s">
        <v>454</v>
      </c>
      <c r="O43" s="103"/>
      <c r="P43" s="103"/>
      <c r="Q43" s="103"/>
      <c r="R43" s="103"/>
      <c r="S43" s="71"/>
      <c r="T43" s="72" t="s">
        <v>341</v>
      </c>
      <c r="U43" s="315">
        <f>SUM(U41:U42)</f>
        <v>600</v>
      </c>
      <c r="V43" s="315">
        <f>SUM(V41:V42)</f>
        <v>0</v>
      </c>
      <c r="W43" s="315">
        <f>SUM(W41:W42)</f>
        <v>0</v>
      </c>
      <c r="X43" s="581">
        <f t="shared" si="16"/>
        <v>600</v>
      </c>
    </row>
    <row r="44" spans="1:24" ht="20.25" customHeight="1" x14ac:dyDescent="0.25">
      <c r="A44" s="86"/>
      <c r="B44" s="21" t="s">
        <v>499</v>
      </c>
      <c r="C44" s="103"/>
      <c r="D44" s="103"/>
      <c r="E44" s="103"/>
      <c r="F44" s="103"/>
      <c r="G44" s="71"/>
      <c r="H44" s="71" t="s">
        <v>345</v>
      </c>
      <c r="I44" s="107">
        <f>SUM(I45:I47)</f>
        <v>2846</v>
      </c>
      <c r="J44" s="107">
        <f t="shared" ref="J44:K44" si="43">SUM(J45:J47)</f>
        <v>0</v>
      </c>
      <c r="K44" s="107">
        <f t="shared" si="43"/>
        <v>1613.4566929133857</v>
      </c>
      <c r="L44" s="97">
        <f t="shared" si="41"/>
        <v>4459.4566929133853</v>
      </c>
      <c r="M44" s="86"/>
      <c r="N44" s="21" t="s">
        <v>499</v>
      </c>
      <c r="O44" s="103"/>
      <c r="P44" s="103"/>
      <c r="Q44" s="103"/>
      <c r="R44" s="103"/>
      <c r="S44" s="71"/>
      <c r="T44" s="71" t="s">
        <v>345</v>
      </c>
      <c r="U44" s="315">
        <f>SUM(U45:U47)</f>
        <v>0</v>
      </c>
      <c r="V44" s="315">
        <f>SUM(V45:V47)</f>
        <v>0</v>
      </c>
      <c r="W44" s="315">
        <f>SUM(W45:W47)</f>
        <v>0</v>
      </c>
      <c r="X44" s="581">
        <f t="shared" si="16"/>
        <v>0</v>
      </c>
    </row>
    <row r="45" spans="1:24" ht="20.25" customHeight="1" x14ac:dyDescent="0.25">
      <c r="A45" s="86"/>
      <c r="B45" s="89" t="s">
        <v>455</v>
      </c>
      <c r="C45" s="103">
        <f>(C39+C25)*0.27</f>
        <v>21891.0978</v>
      </c>
      <c r="D45" s="103"/>
      <c r="E45" s="103">
        <f>E25*27%</f>
        <v>-4527.9212598425192</v>
      </c>
      <c r="F45" s="103">
        <f>C45+D45+E45</f>
        <v>17363.176540157481</v>
      </c>
      <c r="G45" s="71"/>
      <c r="H45" s="71" t="s">
        <v>346</v>
      </c>
      <c r="I45" s="107">
        <v>896</v>
      </c>
      <c r="J45" s="107"/>
      <c r="K45" s="107">
        <f>-170/127%+1867</f>
        <v>1733.1417322834645</v>
      </c>
      <c r="L45" s="97">
        <f t="shared" si="41"/>
        <v>2629.1417322834645</v>
      </c>
      <c r="M45" s="86"/>
      <c r="N45" s="89" t="s">
        <v>455</v>
      </c>
      <c r="O45" s="103"/>
      <c r="P45" s="103"/>
      <c r="Q45" s="103"/>
      <c r="R45" s="103"/>
      <c r="S45" s="71"/>
      <c r="T45" s="71" t="s">
        <v>346</v>
      </c>
      <c r="U45" s="315"/>
      <c r="V45" s="315"/>
      <c r="W45" s="315"/>
      <c r="X45" s="581">
        <f t="shared" si="16"/>
        <v>0</v>
      </c>
    </row>
    <row r="46" spans="1:24" ht="20.25" customHeight="1" x14ac:dyDescent="0.25">
      <c r="A46" s="88"/>
      <c r="B46" s="89" t="s">
        <v>456</v>
      </c>
      <c r="C46" s="103">
        <v>0</v>
      </c>
      <c r="D46" s="103"/>
      <c r="E46" s="103"/>
      <c r="F46" s="103"/>
      <c r="G46" s="71"/>
      <c r="H46" s="71" t="s">
        <v>1062</v>
      </c>
      <c r="I46" s="315">
        <v>594</v>
      </c>
      <c r="J46" s="315"/>
      <c r="K46" s="315">
        <f>-152/127%</f>
        <v>-119.68503937007874</v>
      </c>
      <c r="L46" s="97">
        <f t="shared" si="41"/>
        <v>474.31496062992125</v>
      </c>
      <c r="M46" s="88"/>
      <c r="N46" s="89" t="s">
        <v>456</v>
      </c>
      <c r="O46" s="88"/>
      <c r="P46" s="88"/>
      <c r="Q46" s="88"/>
      <c r="R46" s="88"/>
      <c r="S46" s="71"/>
      <c r="T46" s="71" t="s">
        <v>348</v>
      </c>
      <c r="U46" s="315"/>
      <c r="V46" s="315"/>
      <c r="W46" s="315"/>
      <c r="X46" s="581">
        <f t="shared" si="16"/>
        <v>0</v>
      </c>
    </row>
    <row r="47" spans="1:24" ht="20.25" customHeight="1" x14ac:dyDescent="0.25">
      <c r="A47" s="88"/>
      <c r="B47" s="89" t="s">
        <v>1048</v>
      </c>
      <c r="C47" s="88"/>
      <c r="D47" s="88"/>
      <c r="E47" s="88"/>
      <c r="F47" s="88"/>
      <c r="G47" s="71"/>
      <c r="H47" s="71" t="s">
        <v>347</v>
      </c>
      <c r="I47" s="107">
        <v>1356</v>
      </c>
      <c r="J47" s="107"/>
      <c r="K47" s="107"/>
      <c r="L47" s="97">
        <f t="shared" si="41"/>
        <v>1356</v>
      </c>
      <c r="M47" s="88"/>
      <c r="N47" s="89" t="s">
        <v>457</v>
      </c>
      <c r="O47" s="88"/>
      <c r="P47" s="88"/>
      <c r="Q47" s="88"/>
      <c r="R47" s="88"/>
      <c r="S47" s="71"/>
      <c r="T47" s="71" t="s">
        <v>347</v>
      </c>
      <c r="U47" s="315"/>
      <c r="V47" s="315"/>
      <c r="W47" s="315"/>
      <c r="X47" s="581">
        <f t="shared" si="16"/>
        <v>0</v>
      </c>
    </row>
    <row r="48" spans="1:24" ht="20.25" customHeight="1" x14ac:dyDescent="0.25">
      <c r="A48" s="88"/>
      <c r="B48" s="89" t="s">
        <v>458</v>
      </c>
      <c r="C48" s="88"/>
      <c r="D48" s="88"/>
      <c r="E48" s="88"/>
      <c r="F48" s="88"/>
      <c r="G48" s="71"/>
      <c r="H48" s="71" t="s">
        <v>349</v>
      </c>
      <c r="I48" s="107">
        <v>0</v>
      </c>
      <c r="J48" s="107">
        <v>0</v>
      </c>
      <c r="K48" s="107">
        <v>0</v>
      </c>
      <c r="L48" s="97">
        <f t="shared" si="41"/>
        <v>0</v>
      </c>
      <c r="M48" s="88"/>
      <c r="N48" s="89" t="s">
        <v>458</v>
      </c>
      <c r="O48" s="88"/>
      <c r="P48" s="88"/>
      <c r="Q48" s="88"/>
      <c r="R48" s="88"/>
      <c r="S48" s="71"/>
      <c r="T48" s="71" t="s">
        <v>349</v>
      </c>
      <c r="U48" s="315">
        <v>0</v>
      </c>
      <c r="V48" s="315"/>
      <c r="W48" s="315"/>
      <c r="X48" s="581">
        <f t="shared" si="16"/>
        <v>0</v>
      </c>
    </row>
    <row r="49" spans="1:24" ht="20.25" customHeight="1" x14ac:dyDescent="0.25">
      <c r="A49" s="88"/>
      <c r="B49" s="89" t="s">
        <v>459</v>
      </c>
      <c r="C49" s="88">
        <f>SUM(C52:C57)</f>
        <v>0</v>
      </c>
      <c r="D49" s="88">
        <f t="shared" ref="D49:F49" si="44">SUM(D52:D57)</f>
        <v>0</v>
      </c>
      <c r="E49" s="88">
        <f t="shared" ref="E49" si="45">SUM(E52:E57)</f>
        <v>0</v>
      </c>
      <c r="F49" s="88">
        <f t="shared" si="44"/>
        <v>0</v>
      </c>
      <c r="G49" s="71"/>
      <c r="H49" s="71" t="s">
        <v>350</v>
      </c>
      <c r="I49" s="107"/>
      <c r="J49" s="107"/>
      <c r="K49" s="107"/>
      <c r="L49" s="97">
        <f t="shared" si="41"/>
        <v>0</v>
      </c>
      <c r="M49" s="88"/>
      <c r="N49" s="89" t="s">
        <v>459</v>
      </c>
      <c r="O49" s="88">
        <f>SUM(O52:O57)</f>
        <v>0</v>
      </c>
      <c r="P49" s="88">
        <f t="shared" ref="P49:R49" si="46">SUM(P52:P57)</f>
        <v>0</v>
      </c>
      <c r="Q49" s="88">
        <f t="shared" ref="Q49" si="47">SUM(Q52:Q57)</f>
        <v>0</v>
      </c>
      <c r="R49" s="88">
        <f t="shared" si="46"/>
        <v>0</v>
      </c>
      <c r="S49" s="71"/>
      <c r="T49" s="71" t="s">
        <v>1070</v>
      </c>
      <c r="U49" s="315">
        <f>SUM(U50:U51)</f>
        <v>4924</v>
      </c>
      <c r="V49" s="315"/>
      <c r="W49" s="315"/>
      <c r="X49" s="581">
        <f t="shared" si="16"/>
        <v>4924</v>
      </c>
    </row>
    <row r="50" spans="1:24" ht="20.25" customHeight="1" x14ac:dyDescent="0.25">
      <c r="A50" s="88"/>
      <c r="B50" s="88" t="s">
        <v>460</v>
      </c>
      <c r="C50" s="88"/>
      <c r="D50" s="88"/>
      <c r="E50" s="88"/>
      <c r="F50" s="88"/>
      <c r="G50" s="71"/>
      <c r="H50" s="71"/>
      <c r="I50" s="107"/>
      <c r="J50" s="107"/>
      <c r="K50" s="107"/>
      <c r="L50" s="97">
        <f t="shared" si="41"/>
        <v>0</v>
      </c>
      <c r="M50" s="88"/>
      <c r="N50" s="89"/>
      <c r="O50" s="88"/>
      <c r="P50" s="88"/>
      <c r="Q50" s="88"/>
      <c r="R50" s="88"/>
      <c r="S50" s="71"/>
      <c r="T50" s="71" t="s">
        <v>1071</v>
      </c>
      <c r="U50" s="315">
        <f>12*80+1593+2371</f>
        <v>4924</v>
      </c>
      <c r="V50" s="315"/>
      <c r="W50" s="315"/>
      <c r="X50" s="581">
        <f t="shared" si="16"/>
        <v>4924</v>
      </c>
    </row>
    <row r="51" spans="1:24" ht="20.25" customHeight="1" x14ac:dyDescent="0.25">
      <c r="A51" s="88"/>
      <c r="B51" s="89"/>
      <c r="C51" s="88"/>
      <c r="D51" s="88"/>
      <c r="E51" s="88"/>
      <c r="F51" s="88"/>
      <c r="G51" s="71"/>
      <c r="H51" s="71"/>
      <c r="I51" s="107"/>
      <c r="J51" s="107"/>
      <c r="K51" s="107"/>
      <c r="L51" s="97">
        <f t="shared" si="41"/>
        <v>0</v>
      </c>
      <c r="M51" s="88"/>
      <c r="N51" s="89"/>
      <c r="O51" s="88"/>
      <c r="P51" s="88"/>
      <c r="Q51" s="88"/>
      <c r="R51" s="88"/>
      <c r="S51" s="71"/>
      <c r="T51" s="71"/>
      <c r="U51" s="315"/>
      <c r="V51" s="315"/>
      <c r="W51" s="315"/>
      <c r="X51" s="581">
        <f t="shared" si="16"/>
        <v>0</v>
      </c>
    </row>
    <row r="52" spans="1:24" ht="20.25" customHeight="1" x14ac:dyDescent="0.25">
      <c r="A52" s="88"/>
      <c r="B52" s="88"/>
      <c r="C52" s="88"/>
      <c r="D52" s="88"/>
      <c r="E52" s="88"/>
      <c r="F52" s="88"/>
      <c r="G52" s="71"/>
      <c r="H52" s="71" t="s">
        <v>351</v>
      </c>
      <c r="I52" s="107">
        <f>SUM(I53:I55)</f>
        <v>955</v>
      </c>
      <c r="J52" s="107">
        <f t="shared" ref="J52:K52" si="48">SUM(J53:J55)</f>
        <v>0</v>
      </c>
      <c r="K52" s="107">
        <f t="shared" si="48"/>
        <v>0</v>
      </c>
      <c r="L52" s="97">
        <f t="shared" si="41"/>
        <v>955</v>
      </c>
      <c r="M52" s="88"/>
      <c r="N52" s="88"/>
      <c r="O52" s="88"/>
      <c r="P52" s="88"/>
      <c r="Q52" s="88"/>
      <c r="R52" s="88"/>
      <c r="S52" s="71"/>
      <c r="T52" s="71" t="s">
        <v>351</v>
      </c>
      <c r="U52" s="315">
        <f>SUM(U53:U55)</f>
        <v>8847</v>
      </c>
      <c r="V52" s="315">
        <f>SUM(V53:V55)</f>
        <v>0</v>
      </c>
      <c r="W52" s="315">
        <f>SUM(W53:W55)</f>
        <v>0</v>
      </c>
      <c r="X52" s="581">
        <f t="shared" si="16"/>
        <v>8847</v>
      </c>
    </row>
    <row r="53" spans="1:24" ht="20.25" customHeight="1" x14ac:dyDescent="0.25">
      <c r="A53" s="88"/>
      <c r="B53" s="88"/>
      <c r="C53" s="88"/>
      <c r="D53" s="88"/>
      <c r="E53" s="88"/>
      <c r="F53" s="88"/>
      <c r="G53" s="71"/>
      <c r="H53" s="430" t="s">
        <v>1063</v>
      </c>
      <c r="I53" s="107">
        <f>75+530</f>
        <v>605</v>
      </c>
      <c r="J53" s="107"/>
      <c r="K53" s="107"/>
      <c r="L53" s="97">
        <f t="shared" si="41"/>
        <v>605</v>
      </c>
      <c r="M53" s="88"/>
      <c r="N53" s="88"/>
      <c r="O53" s="88"/>
      <c r="P53" s="88"/>
      <c r="Q53" s="88"/>
      <c r="R53" s="88"/>
      <c r="S53" s="71"/>
      <c r="T53" s="430" t="s">
        <v>1072</v>
      </c>
      <c r="U53" s="315">
        <f>45+1055+811</f>
        <v>1911</v>
      </c>
      <c r="V53" s="315"/>
      <c r="W53" s="315"/>
      <c r="X53" s="581">
        <f t="shared" si="16"/>
        <v>1911</v>
      </c>
    </row>
    <row r="54" spans="1:24" ht="20.25" customHeight="1" x14ac:dyDescent="0.25">
      <c r="A54" s="88"/>
      <c r="B54" s="88"/>
      <c r="C54" s="88"/>
      <c r="D54" s="88"/>
      <c r="E54" s="88"/>
      <c r="F54" s="88"/>
      <c r="G54" s="71"/>
      <c r="H54" s="430" t="s">
        <v>871</v>
      </c>
      <c r="I54" s="107">
        <v>350</v>
      </c>
      <c r="J54" s="107"/>
      <c r="K54" s="107"/>
      <c r="L54" s="97">
        <f t="shared" si="41"/>
        <v>350</v>
      </c>
      <c r="M54" s="88"/>
      <c r="N54" s="88"/>
      <c r="O54" s="88"/>
      <c r="P54" s="88"/>
      <c r="Q54" s="88"/>
      <c r="R54" s="88"/>
      <c r="S54" s="71"/>
      <c r="T54" s="430" t="s">
        <v>883</v>
      </c>
      <c r="U54" s="315">
        <f>436+650</f>
        <v>1086</v>
      </c>
      <c r="V54" s="315"/>
      <c r="W54" s="315"/>
      <c r="X54" s="581">
        <f t="shared" si="16"/>
        <v>1086</v>
      </c>
    </row>
    <row r="55" spans="1:24" ht="20.25" customHeight="1" x14ac:dyDescent="0.25">
      <c r="A55" s="88"/>
      <c r="B55" s="88"/>
      <c r="C55" s="88"/>
      <c r="D55" s="88"/>
      <c r="E55" s="88"/>
      <c r="F55" s="88"/>
      <c r="G55" s="71"/>
      <c r="H55" s="430"/>
      <c r="I55" s="107"/>
      <c r="J55" s="107"/>
      <c r="K55" s="107"/>
      <c r="L55" s="97">
        <f t="shared" si="41"/>
        <v>0</v>
      </c>
      <c r="M55" s="88"/>
      <c r="N55" s="88"/>
      <c r="O55" s="88"/>
      <c r="P55" s="88"/>
      <c r="Q55" s="88"/>
      <c r="R55" s="88"/>
      <c r="S55" s="71"/>
      <c r="T55" s="430" t="s">
        <v>1073</v>
      </c>
      <c r="U55" s="315">
        <f>3250+2600</f>
        <v>5850</v>
      </c>
      <c r="V55" s="315"/>
      <c r="W55" s="315"/>
      <c r="X55" s="581">
        <f t="shared" si="16"/>
        <v>5850</v>
      </c>
    </row>
    <row r="56" spans="1:24" ht="20.25" customHeight="1" x14ac:dyDescent="0.25">
      <c r="A56" s="88"/>
      <c r="B56" s="88"/>
      <c r="C56" s="88"/>
      <c r="D56" s="88"/>
      <c r="E56" s="88"/>
      <c r="F56" s="88"/>
      <c r="G56" s="71"/>
      <c r="H56" s="71" t="s">
        <v>352</v>
      </c>
      <c r="I56" s="107"/>
      <c r="J56" s="107"/>
      <c r="K56" s="107"/>
      <c r="L56" s="97">
        <f t="shared" si="41"/>
        <v>0</v>
      </c>
      <c r="M56" s="88"/>
      <c r="N56" s="88" t="s">
        <v>461</v>
      </c>
      <c r="O56" s="88"/>
      <c r="P56" s="88"/>
      <c r="Q56" s="88"/>
      <c r="R56" s="88"/>
      <c r="S56" s="71"/>
      <c r="T56" s="71" t="s">
        <v>352</v>
      </c>
      <c r="U56" s="315"/>
      <c r="V56" s="315"/>
      <c r="W56" s="315"/>
      <c r="X56" s="581">
        <f t="shared" si="16"/>
        <v>0</v>
      </c>
    </row>
    <row r="57" spans="1:24" ht="20.25" customHeight="1" x14ac:dyDescent="0.25">
      <c r="A57" s="86"/>
      <c r="B57" s="88"/>
      <c r="C57" s="103"/>
      <c r="D57" s="103"/>
      <c r="E57" s="103"/>
      <c r="F57" s="103"/>
      <c r="G57" s="71"/>
      <c r="H57" s="71" t="s">
        <v>353</v>
      </c>
      <c r="I57" s="107">
        <v>0</v>
      </c>
      <c r="J57" s="107">
        <v>241</v>
      </c>
      <c r="K57" s="107"/>
      <c r="L57" s="97">
        <f t="shared" si="41"/>
        <v>241</v>
      </c>
      <c r="M57" s="86"/>
      <c r="N57" s="88" t="s">
        <v>462</v>
      </c>
      <c r="O57" s="103"/>
      <c r="P57" s="103"/>
      <c r="Q57" s="103"/>
      <c r="R57" s="103"/>
      <c r="S57" s="71"/>
      <c r="T57" s="71" t="s">
        <v>353</v>
      </c>
      <c r="U57" s="315"/>
      <c r="V57" s="315"/>
      <c r="W57" s="315"/>
      <c r="X57" s="581">
        <f t="shared" si="16"/>
        <v>0</v>
      </c>
    </row>
    <row r="58" spans="1:24" ht="20.25" customHeight="1" x14ac:dyDescent="0.25">
      <c r="A58" s="88"/>
      <c r="B58" s="89"/>
      <c r="C58" s="88"/>
      <c r="D58" s="88"/>
      <c r="E58" s="88"/>
      <c r="F58" s="88"/>
      <c r="G58" s="71"/>
      <c r="H58" s="71" t="s">
        <v>354</v>
      </c>
      <c r="I58" s="107">
        <f>SUM(I59:I68)</f>
        <v>5699</v>
      </c>
      <c r="J58" s="107">
        <f t="shared" ref="J58:K58" si="49">SUM(J59:J68)</f>
        <v>-241</v>
      </c>
      <c r="K58" s="107">
        <f t="shared" si="49"/>
        <v>0</v>
      </c>
      <c r="L58" s="97">
        <f t="shared" si="41"/>
        <v>5458</v>
      </c>
      <c r="M58" s="88"/>
      <c r="N58" s="89"/>
      <c r="O58" s="88"/>
      <c r="P58" s="88"/>
      <c r="Q58" s="88"/>
      <c r="R58" s="88"/>
      <c r="S58" s="71"/>
      <c r="T58" s="71" t="s">
        <v>354</v>
      </c>
      <c r="U58" s="315">
        <f>SUM(U59:U67)</f>
        <v>2792</v>
      </c>
      <c r="V58" s="315">
        <f>SUM(V59:V67)</f>
        <v>0</v>
      </c>
      <c r="W58" s="315">
        <f>SUM(W59:W67)</f>
        <v>0</v>
      </c>
      <c r="X58" s="581">
        <f t="shared" si="16"/>
        <v>2792</v>
      </c>
    </row>
    <row r="59" spans="1:24" ht="20.25" customHeight="1" x14ac:dyDescent="0.25">
      <c r="A59" s="88"/>
      <c r="B59" s="89"/>
      <c r="C59" s="88"/>
      <c r="D59" s="88"/>
      <c r="E59" s="88"/>
      <c r="F59" s="88"/>
      <c r="G59" s="71"/>
      <c r="H59" s="71" t="s">
        <v>355</v>
      </c>
      <c r="I59" s="107">
        <v>15</v>
      </c>
      <c r="J59" s="107"/>
      <c r="K59" s="107"/>
      <c r="L59" s="97">
        <f t="shared" si="41"/>
        <v>15</v>
      </c>
      <c r="M59" s="88"/>
      <c r="N59" s="89"/>
      <c r="O59" s="88"/>
      <c r="P59" s="88"/>
      <c r="Q59" s="88"/>
      <c r="R59" s="88"/>
      <c r="S59" s="71"/>
      <c r="T59" s="432" t="s">
        <v>355</v>
      </c>
      <c r="U59" s="315"/>
      <c r="V59" s="315"/>
      <c r="W59" s="315"/>
      <c r="X59" s="581">
        <f t="shared" si="16"/>
        <v>0</v>
      </c>
    </row>
    <row r="60" spans="1:24" ht="20.25" customHeight="1" x14ac:dyDescent="0.25">
      <c r="A60" s="88"/>
      <c r="B60" s="89"/>
      <c r="C60" s="88"/>
      <c r="D60" s="88"/>
      <c r="E60" s="88"/>
      <c r="F60" s="88"/>
      <c r="G60" s="71"/>
      <c r="H60" s="430" t="s">
        <v>1064</v>
      </c>
      <c r="I60" s="107">
        <f>175+80+20+25</f>
        <v>300</v>
      </c>
      <c r="J60" s="107">
        <v>-81</v>
      </c>
      <c r="K60" s="107"/>
      <c r="L60" s="97">
        <f t="shared" si="41"/>
        <v>219</v>
      </c>
      <c r="M60" s="88"/>
      <c r="N60" s="89"/>
      <c r="O60" s="88"/>
      <c r="P60" s="88"/>
      <c r="Q60" s="88"/>
      <c r="R60" s="88"/>
      <c r="S60" s="71"/>
      <c r="T60" s="430" t="s">
        <v>1075</v>
      </c>
      <c r="U60" s="315">
        <f>338+1330+150</f>
        <v>1818</v>
      </c>
      <c r="V60" s="315"/>
      <c r="W60" s="315"/>
      <c r="X60" s="581">
        <f t="shared" si="16"/>
        <v>1818</v>
      </c>
    </row>
    <row r="61" spans="1:24" ht="20.25" customHeight="1" x14ac:dyDescent="0.25">
      <c r="A61" s="88"/>
      <c r="B61" s="89"/>
      <c r="C61" s="88"/>
      <c r="D61" s="88"/>
      <c r="E61" s="88"/>
      <c r="F61" s="88"/>
      <c r="G61" s="71"/>
      <c r="H61" s="430" t="s">
        <v>872</v>
      </c>
      <c r="I61" s="107">
        <v>400</v>
      </c>
      <c r="J61" s="107"/>
      <c r="K61" s="107"/>
      <c r="L61" s="97">
        <f t="shared" si="41"/>
        <v>400</v>
      </c>
      <c r="M61" s="88"/>
      <c r="N61" s="89"/>
      <c r="O61" s="88"/>
      <c r="P61" s="88"/>
      <c r="Q61" s="88"/>
      <c r="R61" s="88"/>
      <c r="S61" s="71"/>
      <c r="T61" s="430" t="s">
        <v>884</v>
      </c>
      <c r="U61" s="315">
        <v>261</v>
      </c>
      <c r="V61" s="315"/>
      <c r="W61" s="315"/>
      <c r="X61" s="581">
        <f t="shared" si="16"/>
        <v>261</v>
      </c>
    </row>
    <row r="62" spans="1:24" ht="20.25" customHeight="1" x14ac:dyDescent="0.25">
      <c r="A62" s="88"/>
      <c r="B62" s="89"/>
      <c r="C62" s="88"/>
      <c r="D62" s="88"/>
      <c r="E62" s="88"/>
      <c r="F62" s="88"/>
      <c r="G62" s="71"/>
      <c r="H62" s="430" t="s">
        <v>873</v>
      </c>
      <c r="I62" s="107">
        <v>600</v>
      </c>
      <c r="J62" s="107"/>
      <c r="K62" s="107"/>
      <c r="L62" s="97">
        <f t="shared" si="41"/>
        <v>600</v>
      </c>
      <c r="M62" s="88"/>
      <c r="N62" s="89"/>
      <c r="O62" s="88"/>
      <c r="P62" s="88"/>
      <c r="Q62" s="88"/>
      <c r="R62" s="88"/>
      <c r="S62" s="71"/>
      <c r="T62" s="434" t="s">
        <v>356</v>
      </c>
      <c r="U62" s="315">
        <f>358+300</f>
        <v>658</v>
      </c>
      <c r="V62" s="315"/>
      <c r="W62" s="315"/>
      <c r="X62" s="581">
        <f t="shared" si="16"/>
        <v>658</v>
      </c>
    </row>
    <row r="63" spans="1:24" ht="20.25" customHeight="1" x14ac:dyDescent="0.25">
      <c r="A63" s="88"/>
      <c r="B63" s="89"/>
      <c r="C63" s="88"/>
      <c r="D63" s="88"/>
      <c r="E63" s="88"/>
      <c r="F63" s="88"/>
      <c r="G63" s="71"/>
      <c r="H63" s="430" t="s">
        <v>874</v>
      </c>
      <c r="I63" s="107">
        <v>4224</v>
      </c>
      <c r="J63" s="107"/>
      <c r="K63" s="107"/>
      <c r="L63" s="97">
        <f t="shared" si="41"/>
        <v>4224</v>
      </c>
      <c r="M63" s="88"/>
      <c r="N63" s="89"/>
      <c r="O63" s="88"/>
      <c r="P63" s="88"/>
      <c r="Q63" s="88"/>
      <c r="R63" s="88"/>
      <c r="S63" s="71"/>
      <c r="T63" s="434" t="s">
        <v>885</v>
      </c>
      <c r="U63" s="315">
        <v>55</v>
      </c>
      <c r="V63" s="315"/>
      <c r="W63" s="315"/>
      <c r="X63" s="581">
        <f t="shared" si="16"/>
        <v>55</v>
      </c>
    </row>
    <row r="64" spans="1:24" ht="20.25" customHeight="1" x14ac:dyDescent="0.25">
      <c r="A64" s="88"/>
      <c r="B64" s="89"/>
      <c r="C64" s="88"/>
      <c r="D64" s="88"/>
      <c r="E64" s="88"/>
      <c r="F64" s="88"/>
      <c r="G64" s="71"/>
      <c r="H64" s="430" t="s">
        <v>876</v>
      </c>
      <c r="I64" s="107">
        <v>85</v>
      </c>
      <c r="J64" s="107">
        <v>-85</v>
      </c>
      <c r="K64" s="107"/>
      <c r="L64" s="97">
        <f t="shared" si="41"/>
        <v>0</v>
      </c>
      <c r="M64" s="88"/>
      <c r="N64" s="89"/>
      <c r="O64" s="88"/>
      <c r="P64" s="88"/>
      <c r="Q64" s="88"/>
      <c r="R64" s="88"/>
      <c r="S64" s="71"/>
      <c r="T64" s="434"/>
      <c r="U64" s="315"/>
      <c r="V64" s="315"/>
      <c r="W64" s="315"/>
      <c r="X64" s="581">
        <f t="shared" si="16"/>
        <v>0</v>
      </c>
    </row>
    <row r="65" spans="1:24" ht="20.25" customHeight="1" x14ac:dyDescent="0.25">
      <c r="A65" s="88"/>
      <c r="B65" s="89"/>
      <c r="C65" s="88"/>
      <c r="D65" s="88"/>
      <c r="E65" s="88"/>
      <c r="F65" s="88"/>
      <c r="G65" s="71"/>
      <c r="H65" s="71" t="s">
        <v>877</v>
      </c>
      <c r="I65" s="107">
        <v>75</v>
      </c>
      <c r="J65" s="107">
        <v>-75</v>
      </c>
      <c r="K65" s="107"/>
      <c r="L65" s="97">
        <f t="shared" si="41"/>
        <v>0</v>
      </c>
      <c r="M65" s="88"/>
      <c r="N65" s="89"/>
      <c r="O65" s="88"/>
      <c r="P65" s="88"/>
      <c r="Q65" s="88"/>
      <c r="R65" s="88"/>
      <c r="S65" s="71"/>
      <c r="T65" s="434"/>
      <c r="U65" s="315"/>
      <c r="V65" s="315"/>
      <c r="W65" s="315"/>
      <c r="X65" s="581">
        <f t="shared" si="16"/>
        <v>0</v>
      </c>
    </row>
    <row r="66" spans="1:24" ht="20.25" hidden="1" customHeight="1" x14ac:dyDescent="0.25">
      <c r="A66" s="88"/>
      <c r="B66" s="89"/>
      <c r="C66" s="88"/>
      <c r="D66" s="88"/>
      <c r="E66" s="88"/>
      <c r="F66" s="88"/>
      <c r="G66" s="71"/>
      <c r="H66" s="430"/>
      <c r="I66" s="107"/>
      <c r="J66" s="107"/>
      <c r="K66" s="107"/>
      <c r="L66" s="97">
        <f t="shared" si="41"/>
        <v>0</v>
      </c>
      <c r="M66" s="88"/>
      <c r="N66" s="89"/>
      <c r="O66" s="88"/>
      <c r="P66" s="88"/>
      <c r="Q66" s="88"/>
      <c r="R66" s="88"/>
      <c r="S66" s="71"/>
      <c r="T66" s="119"/>
      <c r="U66" s="315"/>
      <c r="V66" s="315"/>
      <c r="W66" s="315"/>
      <c r="X66" s="581">
        <f t="shared" si="16"/>
        <v>0</v>
      </c>
    </row>
    <row r="67" spans="1:24" ht="20.25" hidden="1" customHeight="1" x14ac:dyDescent="0.25">
      <c r="A67" s="88"/>
      <c r="B67" s="89"/>
      <c r="C67" s="88"/>
      <c r="D67" s="88"/>
      <c r="E67" s="88"/>
      <c r="F67" s="88"/>
      <c r="G67" s="71"/>
      <c r="H67" s="430"/>
      <c r="I67" s="107"/>
      <c r="J67" s="107"/>
      <c r="K67" s="107"/>
      <c r="L67" s="97">
        <f t="shared" si="41"/>
        <v>0</v>
      </c>
      <c r="M67" s="88"/>
      <c r="N67" s="89"/>
      <c r="O67" s="88"/>
      <c r="P67" s="88"/>
      <c r="Q67" s="88"/>
      <c r="R67" s="88"/>
      <c r="S67" s="71"/>
      <c r="T67" s="119"/>
      <c r="U67" s="315"/>
      <c r="V67" s="315"/>
      <c r="W67" s="315"/>
      <c r="X67" s="581">
        <f t="shared" si="16"/>
        <v>0</v>
      </c>
    </row>
    <row r="68" spans="1:24" ht="20.25" hidden="1" customHeight="1" x14ac:dyDescent="0.25">
      <c r="A68" s="88"/>
      <c r="B68" s="88"/>
      <c r="C68" s="88"/>
      <c r="D68" s="88"/>
      <c r="E68" s="88"/>
      <c r="F68" s="88"/>
      <c r="G68" s="71"/>
      <c r="H68" s="71"/>
      <c r="I68" s="107"/>
      <c r="J68" s="107"/>
      <c r="K68" s="107"/>
      <c r="L68" s="97">
        <f t="shared" si="41"/>
        <v>0</v>
      </c>
      <c r="M68" s="88"/>
      <c r="N68" s="88"/>
      <c r="O68" s="88"/>
      <c r="P68" s="88"/>
      <c r="Q68" s="88"/>
      <c r="R68" s="88"/>
      <c r="S68" s="71"/>
      <c r="U68" s="315"/>
      <c r="V68" s="315"/>
      <c r="W68" s="315"/>
      <c r="X68" s="581">
        <f t="shared" si="16"/>
        <v>0</v>
      </c>
    </row>
    <row r="69" spans="1:24" ht="20.25" customHeight="1" x14ac:dyDescent="0.25">
      <c r="A69" s="88"/>
      <c r="B69" s="88"/>
      <c r="C69" s="88"/>
      <c r="D69" s="88"/>
      <c r="E69" s="88"/>
      <c r="F69" s="88"/>
      <c r="G69" s="71"/>
      <c r="H69" s="72" t="s">
        <v>344</v>
      </c>
      <c r="I69" s="107">
        <f>I44+I48+I49+I52+I56+I57+I58</f>
        <v>9500</v>
      </c>
      <c r="J69" s="107">
        <f t="shared" ref="J69:K69" si="50">J44+J48+J49+J52+J56+J57+J58</f>
        <v>0</v>
      </c>
      <c r="K69" s="107">
        <f t="shared" si="50"/>
        <v>1613.4566929133857</v>
      </c>
      <c r="L69" s="97">
        <f>I69+J69+K69</f>
        <v>11113.456692913385</v>
      </c>
      <c r="M69" s="88"/>
      <c r="N69" s="88"/>
      <c r="O69" s="88"/>
      <c r="P69" s="88"/>
      <c r="Q69" s="88"/>
      <c r="R69" s="88"/>
      <c r="S69" s="71"/>
      <c r="T69" s="72" t="s">
        <v>344</v>
      </c>
      <c r="U69" s="315">
        <f>U44+U48+U49+U52+U56+U57+U58</f>
        <v>16563</v>
      </c>
      <c r="V69" s="315">
        <f>V44+V48+V49+V52+V56+V57+V58</f>
        <v>0</v>
      </c>
      <c r="W69" s="315">
        <f>W44+W48+W49+W52+W56+W57+W58</f>
        <v>0</v>
      </c>
      <c r="X69" s="581">
        <f t="shared" ref="X69:X78" si="51">U69+V69</f>
        <v>16563</v>
      </c>
    </row>
    <row r="70" spans="1:24" ht="20.25" customHeight="1" x14ac:dyDescent="0.25">
      <c r="A70" s="88"/>
      <c r="B70" s="88"/>
      <c r="C70" s="88"/>
      <c r="D70" s="88"/>
      <c r="E70" s="88"/>
      <c r="F70" s="88"/>
      <c r="G70" s="71"/>
      <c r="H70" s="71" t="s">
        <v>357</v>
      </c>
      <c r="I70" s="107">
        <v>25</v>
      </c>
      <c r="J70" s="107"/>
      <c r="K70" s="107"/>
      <c r="L70" s="97">
        <f t="shared" si="41"/>
        <v>25</v>
      </c>
      <c r="M70" s="88"/>
      <c r="N70" s="88"/>
      <c r="O70" s="88"/>
      <c r="P70" s="88"/>
      <c r="Q70" s="88"/>
      <c r="R70" s="88"/>
      <c r="S70" s="71"/>
      <c r="T70" s="71" t="s">
        <v>357</v>
      </c>
      <c r="U70" s="315">
        <v>177</v>
      </c>
      <c r="V70" s="315"/>
      <c r="W70" s="315"/>
      <c r="X70" s="581">
        <f t="shared" si="51"/>
        <v>177</v>
      </c>
    </row>
    <row r="71" spans="1:24" ht="20.25" customHeight="1" x14ac:dyDescent="0.25">
      <c r="A71" s="88"/>
      <c r="B71" s="88"/>
      <c r="C71" s="88"/>
      <c r="D71" s="88"/>
      <c r="E71" s="88"/>
      <c r="F71" s="88"/>
      <c r="G71" s="71"/>
      <c r="H71" s="71" t="s">
        <v>878</v>
      </c>
      <c r="I71" s="107">
        <v>490</v>
      </c>
      <c r="J71" s="107"/>
      <c r="K71" s="107"/>
      <c r="L71" s="97">
        <f t="shared" si="41"/>
        <v>490</v>
      </c>
      <c r="M71" s="88"/>
      <c r="N71" s="88"/>
      <c r="O71" s="88"/>
      <c r="P71" s="88"/>
      <c r="Q71" s="88"/>
      <c r="R71" s="88"/>
      <c r="S71" s="71"/>
      <c r="T71" s="71" t="s">
        <v>358</v>
      </c>
      <c r="U71" s="315">
        <v>45</v>
      </c>
      <c r="V71" s="315"/>
      <c r="W71" s="315"/>
      <c r="X71" s="581">
        <f t="shared" si="51"/>
        <v>45</v>
      </c>
    </row>
    <row r="72" spans="1:24" ht="20.25" customHeight="1" x14ac:dyDescent="0.25">
      <c r="A72" s="421" t="s">
        <v>64</v>
      </c>
      <c r="B72" s="422" t="s">
        <v>463</v>
      </c>
      <c r="C72" s="423">
        <f>C73+C74+C75</f>
        <v>0</v>
      </c>
      <c r="D72" s="423">
        <f t="shared" ref="D72:F72" si="52">D73+D74+D75</f>
        <v>0</v>
      </c>
      <c r="E72" s="423">
        <f t="shared" ref="E72" si="53">E73+E74+E75</f>
        <v>0</v>
      </c>
      <c r="F72" s="423">
        <f t="shared" si="52"/>
        <v>0</v>
      </c>
      <c r="G72" s="71"/>
      <c r="H72" s="72" t="s">
        <v>359</v>
      </c>
      <c r="I72" s="107">
        <f>SUM(I70:I71)</f>
        <v>515</v>
      </c>
      <c r="J72" s="107">
        <f t="shared" ref="J72:K72" si="54">SUM(J70:J71)</f>
        <v>0</v>
      </c>
      <c r="K72" s="107">
        <f t="shared" si="54"/>
        <v>0</v>
      </c>
      <c r="L72" s="97">
        <f t="shared" si="41"/>
        <v>515</v>
      </c>
      <c r="M72" s="414" t="s">
        <v>64</v>
      </c>
      <c r="N72" s="415" t="s">
        <v>463</v>
      </c>
      <c r="O72" s="415">
        <f>O73+O74+O75</f>
        <v>0</v>
      </c>
      <c r="P72" s="415">
        <f t="shared" ref="P72:R72" si="55">P73+P74+P75</f>
        <v>0</v>
      </c>
      <c r="Q72" s="415">
        <f t="shared" ref="Q72" si="56">Q73+Q74+Q75</f>
        <v>0</v>
      </c>
      <c r="R72" s="415">
        <f t="shared" si="55"/>
        <v>0</v>
      </c>
      <c r="S72" s="71"/>
      <c r="T72" s="72" t="s">
        <v>359</v>
      </c>
      <c r="U72" s="315">
        <f>SUM(U70:U71)</f>
        <v>222</v>
      </c>
      <c r="V72" s="315">
        <f>SUM(V70:V71)</f>
        <v>0</v>
      </c>
      <c r="W72" s="315">
        <f>SUM(W70:W71)</f>
        <v>0</v>
      </c>
      <c r="X72" s="581">
        <f t="shared" si="51"/>
        <v>222</v>
      </c>
    </row>
    <row r="73" spans="1:24" ht="30" x14ac:dyDescent="0.25">
      <c r="A73" s="86"/>
      <c r="B73" s="89" t="s">
        <v>464</v>
      </c>
      <c r="C73" s="103"/>
      <c r="D73" s="103"/>
      <c r="E73" s="103"/>
      <c r="F73" s="103"/>
      <c r="G73" s="71"/>
      <c r="H73" s="71" t="s">
        <v>361</v>
      </c>
      <c r="I73" s="107">
        <f>(I40+I43+I69-I64)*0.27+I72*0.05</f>
        <v>17650</v>
      </c>
      <c r="J73" s="107">
        <v>-2051</v>
      </c>
      <c r="K73" s="107">
        <v>-2467</v>
      </c>
      <c r="L73" s="97">
        <f>I73+J73+K73</f>
        <v>13132</v>
      </c>
      <c r="M73" s="86"/>
      <c r="N73" s="89" t="s">
        <v>464</v>
      </c>
      <c r="O73" s="103"/>
      <c r="P73" s="103"/>
      <c r="Q73" s="103"/>
      <c r="R73" s="103"/>
      <c r="S73" s="71"/>
      <c r="T73" s="71" t="s">
        <v>361</v>
      </c>
      <c r="U73" s="315">
        <f>(+U43+U69+U40)*0.27</f>
        <v>6932.2500000000009</v>
      </c>
      <c r="V73" s="315">
        <f>(+V43+V69+V40)*0.27</f>
        <v>0</v>
      </c>
      <c r="W73" s="315">
        <f>(+W43+W69+W40)*0.27</f>
        <v>0</v>
      </c>
      <c r="X73" s="581">
        <f t="shared" si="51"/>
        <v>6932.2500000000009</v>
      </c>
    </row>
    <row r="74" spans="1:24" ht="28.5" customHeight="1" x14ac:dyDescent="0.25">
      <c r="A74" s="86"/>
      <c r="B74" s="84" t="s">
        <v>465</v>
      </c>
      <c r="C74" s="103"/>
      <c r="D74" s="103"/>
      <c r="E74" s="103"/>
      <c r="F74" s="103"/>
      <c r="G74" s="71"/>
      <c r="H74" s="71" t="s">
        <v>362</v>
      </c>
      <c r="I74" s="107">
        <f>C45-I73+I42*27%</f>
        <v>4336.6777999999995</v>
      </c>
      <c r="J74" s="107">
        <v>2051</v>
      </c>
      <c r="K74" s="107"/>
      <c r="L74" s="97">
        <f t="shared" si="41"/>
        <v>6387.6777999999995</v>
      </c>
      <c r="M74" s="86"/>
      <c r="N74" s="84" t="s">
        <v>465</v>
      </c>
      <c r="O74" s="103"/>
      <c r="P74" s="103"/>
      <c r="Q74" s="103"/>
      <c r="R74" s="103"/>
      <c r="S74" s="71"/>
      <c r="T74" s="71" t="s">
        <v>776</v>
      </c>
      <c r="U74" s="315"/>
      <c r="V74" s="315"/>
      <c r="W74" s="315"/>
      <c r="X74" s="581">
        <f t="shared" si="51"/>
        <v>0</v>
      </c>
    </row>
    <row r="75" spans="1:24" ht="19.5" customHeight="1" x14ac:dyDescent="0.25">
      <c r="A75" s="86"/>
      <c r="B75" s="89" t="s">
        <v>466</v>
      </c>
      <c r="C75" s="103"/>
      <c r="D75" s="103"/>
      <c r="E75" s="103"/>
      <c r="F75" s="103"/>
      <c r="G75" s="71"/>
      <c r="H75" s="71" t="s">
        <v>363</v>
      </c>
      <c r="I75" s="107"/>
      <c r="J75" s="107"/>
      <c r="K75" s="107"/>
      <c r="L75" s="97">
        <f t="shared" si="41"/>
        <v>0</v>
      </c>
      <c r="M75" s="86"/>
      <c r="N75" s="89" t="s">
        <v>466</v>
      </c>
      <c r="O75" s="103"/>
      <c r="P75" s="103"/>
      <c r="Q75" s="103"/>
      <c r="R75" s="103"/>
      <c r="S75" s="71"/>
      <c r="T75" s="441" t="s">
        <v>363</v>
      </c>
      <c r="U75" s="583"/>
      <c r="V75" s="583"/>
      <c r="W75" s="583"/>
      <c r="X75" s="581">
        <f t="shared" si="51"/>
        <v>0</v>
      </c>
    </row>
    <row r="76" spans="1:24" ht="19.5" customHeight="1" x14ac:dyDescent="0.25">
      <c r="A76" s="86"/>
      <c r="B76" s="89"/>
      <c r="C76" s="103"/>
      <c r="D76" s="103"/>
      <c r="E76" s="103"/>
      <c r="F76" s="103"/>
      <c r="G76" s="71"/>
      <c r="H76" s="71" t="s">
        <v>364</v>
      </c>
      <c r="I76" s="107"/>
      <c r="J76" s="107"/>
      <c r="K76" s="107"/>
      <c r="L76" s="97">
        <f t="shared" si="41"/>
        <v>0</v>
      </c>
      <c r="M76" s="86"/>
      <c r="N76" s="89"/>
      <c r="O76" s="103"/>
      <c r="P76" s="103"/>
      <c r="Q76" s="103"/>
      <c r="R76" s="103"/>
      <c r="S76" s="71"/>
      <c r="T76" s="71" t="s">
        <v>364</v>
      </c>
      <c r="U76" s="583"/>
      <c r="V76" s="583"/>
      <c r="W76" s="583"/>
      <c r="X76" s="581">
        <f t="shared" si="51"/>
        <v>0</v>
      </c>
    </row>
    <row r="77" spans="1:24" ht="30" x14ac:dyDescent="0.25">
      <c r="A77" s="86"/>
      <c r="B77" s="89"/>
      <c r="C77" s="101"/>
      <c r="D77" s="101"/>
      <c r="E77" s="101"/>
      <c r="F77" s="101"/>
      <c r="G77" s="71"/>
      <c r="H77" s="116" t="s">
        <v>879</v>
      </c>
      <c r="I77" s="108">
        <v>96</v>
      </c>
      <c r="J77" s="108"/>
      <c r="K77" s="108"/>
      <c r="L77" s="97">
        <f t="shared" si="41"/>
        <v>96</v>
      </c>
      <c r="M77" s="86"/>
      <c r="N77" s="89"/>
      <c r="O77" s="101"/>
      <c r="P77" s="101"/>
      <c r="Q77" s="101"/>
      <c r="R77" s="101"/>
      <c r="S77" s="71"/>
      <c r="T77" s="116" t="s">
        <v>915</v>
      </c>
      <c r="U77" s="435">
        <f>40+33*4+29</f>
        <v>201</v>
      </c>
      <c r="V77" s="435"/>
      <c r="W77" s="435"/>
      <c r="X77" s="581">
        <f t="shared" si="51"/>
        <v>201</v>
      </c>
    </row>
    <row r="78" spans="1:24" ht="19.5" customHeight="1" x14ac:dyDescent="0.25">
      <c r="A78" s="86"/>
      <c r="B78" s="89"/>
      <c r="C78" s="101"/>
      <c r="D78" s="101"/>
      <c r="E78" s="101"/>
      <c r="F78" s="101"/>
      <c r="G78" s="71"/>
      <c r="H78" s="72" t="s">
        <v>360</v>
      </c>
      <c r="I78" s="108">
        <f>I73+I74+I75+I76+I77</f>
        <v>22082.677799999998</v>
      </c>
      <c r="J78" s="108">
        <f t="shared" ref="J78:K78" si="57">J73+J74+J75+J76+J77</f>
        <v>0</v>
      </c>
      <c r="K78" s="108">
        <f t="shared" si="57"/>
        <v>-2467</v>
      </c>
      <c r="L78" s="97">
        <f t="shared" si="41"/>
        <v>19615.677799999998</v>
      </c>
      <c r="M78" s="86"/>
      <c r="N78" s="89"/>
      <c r="O78" s="101"/>
      <c r="P78" s="101"/>
      <c r="Q78" s="101"/>
      <c r="R78" s="101"/>
      <c r="S78" s="71"/>
      <c r="T78" s="72" t="s">
        <v>360</v>
      </c>
      <c r="U78" s="435">
        <f>U73+U74+U75+U76+U77</f>
        <v>7133.2500000000009</v>
      </c>
      <c r="V78" s="435">
        <f>V73+V74+V75+V76+V77</f>
        <v>0</v>
      </c>
      <c r="W78" s="435">
        <f>W73+W74+W75+W76+W77</f>
        <v>0</v>
      </c>
      <c r="X78" s="581">
        <f t="shared" si="51"/>
        <v>7133.2500000000009</v>
      </c>
    </row>
    <row r="79" spans="1:24" ht="19.5" customHeight="1" x14ac:dyDescent="0.25">
      <c r="A79" s="86"/>
      <c r="B79" s="89"/>
      <c r="C79" s="101"/>
      <c r="D79" s="101"/>
      <c r="E79" s="101"/>
      <c r="F79" s="101"/>
      <c r="G79" s="421" t="s">
        <v>64</v>
      </c>
      <c r="H79" s="414" t="s">
        <v>366</v>
      </c>
      <c r="I79" s="415">
        <f>SUM(I80:I85)</f>
        <v>0</v>
      </c>
      <c r="J79" s="415">
        <f t="shared" ref="J79:L79" si="58">SUM(J80:J85)</f>
        <v>0</v>
      </c>
      <c r="K79" s="415">
        <f t="shared" ref="K79" si="59">SUM(K80:K85)</f>
        <v>0</v>
      </c>
      <c r="L79" s="415">
        <f t="shared" si="58"/>
        <v>0</v>
      </c>
      <c r="M79" s="86"/>
      <c r="N79" s="89"/>
      <c r="O79" s="101"/>
      <c r="P79" s="101"/>
      <c r="Q79" s="101"/>
      <c r="R79" s="101"/>
      <c r="S79" s="414" t="s">
        <v>64</v>
      </c>
      <c r="T79" s="415" t="s">
        <v>366</v>
      </c>
      <c r="U79" s="580">
        <f>SUM(U80:U85)</f>
        <v>0</v>
      </c>
      <c r="V79" s="580">
        <f>SUM(V80:V85)</f>
        <v>0</v>
      </c>
      <c r="W79" s="580">
        <f>SUM(W80:W85)</f>
        <v>0</v>
      </c>
      <c r="X79" s="580">
        <f>SUM(X80:X85)</f>
        <v>0</v>
      </c>
    </row>
    <row r="80" spans="1:24" ht="19.5" customHeight="1" x14ac:dyDescent="0.25">
      <c r="A80" s="86"/>
      <c r="B80" s="89"/>
      <c r="C80" s="101"/>
      <c r="D80" s="101"/>
      <c r="E80" s="101"/>
      <c r="F80" s="101"/>
      <c r="G80" s="71"/>
      <c r="H80" s="71" t="s">
        <v>367</v>
      </c>
      <c r="I80" s="102"/>
      <c r="J80" s="102"/>
      <c r="K80" s="102"/>
      <c r="L80" s="102"/>
      <c r="M80" s="86"/>
      <c r="N80" s="89"/>
      <c r="O80" s="101"/>
      <c r="P80" s="101"/>
      <c r="Q80" s="101"/>
      <c r="R80" s="101"/>
      <c r="S80" s="71"/>
      <c r="T80" s="71" t="s">
        <v>367</v>
      </c>
      <c r="U80" s="584"/>
      <c r="V80" s="584"/>
      <c r="W80" s="584"/>
      <c r="X80" s="584"/>
    </row>
    <row r="81" spans="1:24" ht="19.5" customHeight="1" x14ac:dyDescent="0.25">
      <c r="A81" s="86"/>
      <c r="B81" s="89"/>
      <c r="C81" s="101"/>
      <c r="D81" s="101"/>
      <c r="E81" s="101"/>
      <c r="F81" s="101"/>
      <c r="G81" s="71"/>
      <c r="H81" s="88" t="s">
        <v>368</v>
      </c>
      <c r="I81" s="102"/>
      <c r="J81" s="102"/>
      <c r="K81" s="102"/>
      <c r="L81" s="102"/>
      <c r="M81" s="86"/>
      <c r="N81" s="89"/>
      <c r="O81" s="101"/>
      <c r="P81" s="101"/>
      <c r="Q81" s="101"/>
      <c r="R81" s="101"/>
      <c r="S81" s="71"/>
      <c r="T81" s="88" t="s">
        <v>368</v>
      </c>
      <c r="U81" s="584"/>
      <c r="V81" s="584"/>
      <c r="W81" s="584"/>
      <c r="X81" s="584"/>
    </row>
    <row r="82" spans="1:24" ht="19.5" customHeight="1" x14ac:dyDescent="0.25">
      <c r="A82" s="86"/>
      <c r="B82" s="89"/>
      <c r="C82" s="101"/>
      <c r="D82" s="101"/>
      <c r="E82" s="101"/>
      <c r="F82" s="101"/>
      <c r="G82" s="71"/>
      <c r="H82" s="71" t="s">
        <v>369</v>
      </c>
      <c r="I82" s="102"/>
      <c r="J82" s="102"/>
      <c r="K82" s="102"/>
      <c r="L82" s="102"/>
      <c r="M82" s="86"/>
      <c r="N82" s="89"/>
      <c r="O82" s="101"/>
      <c r="P82" s="101"/>
      <c r="Q82" s="101"/>
      <c r="R82" s="101"/>
      <c r="S82" s="71"/>
      <c r="T82" s="71" t="s">
        <v>369</v>
      </c>
      <c r="U82" s="584"/>
      <c r="V82" s="584"/>
      <c r="W82" s="584"/>
      <c r="X82" s="584"/>
    </row>
    <row r="83" spans="1:24" ht="19.5" customHeight="1" x14ac:dyDescent="0.25">
      <c r="A83" s="86"/>
      <c r="B83" s="89"/>
      <c r="C83" s="101"/>
      <c r="D83" s="101"/>
      <c r="E83" s="101"/>
      <c r="F83" s="101"/>
      <c r="G83" s="71"/>
      <c r="H83" s="71" t="s">
        <v>370</v>
      </c>
      <c r="I83" s="102"/>
      <c r="J83" s="102"/>
      <c r="K83" s="102"/>
      <c r="L83" s="102"/>
      <c r="M83" s="86"/>
      <c r="N83" s="89"/>
      <c r="O83" s="101"/>
      <c r="P83" s="101"/>
      <c r="Q83" s="101"/>
      <c r="R83" s="101"/>
      <c r="S83" s="71"/>
      <c r="T83" s="71" t="s">
        <v>370</v>
      </c>
      <c r="U83" s="584"/>
      <c r="V83" s="584"/>
      <c r="W83" s="584"/>
      <c r="X83" s="584"/>
    </row>
    <row r="84" spans="1:24" ht="19.5" customHeight="1" x14ac:dyDescent="0.25">
      <c r="A84" s="86"/>
      <c r="B84" s="89"/>
      <c r="C84" s="101"/>
      <c r="D84" s="101"/>
      <c r="E84" s="101"/>
      <c r="F84" s="101"/>
      <c r="G84" s="71"/>
      <c r="H84" s="71" t="s">
        <v>371</v>
      </c>
      <c r="I84" s="102"/>
      <c r="J84" s="102"/>
      <c r="K84" s="102"/>
      <c r="L84" s="102"/>
      <c r="M84" s="86"/>
      <c r="N84" s="89"/>
      <c r="O84" s="101"/>
      <c r="P84" s="101"/>
      <c r="Q84" s="101"/>
      <c r="R84" s="101"/>
      <c r="S84" s="71"/>
      <c r="T84" s="71" t="s">
        <v>371</v>
      </c>
      <c r="U84" s="584"/>
      <c r="V84" s="584"/>
      <c r="W84" s="584"/>
      <c r="X84" s="584"/>
    </row>
    <row r="85" spans="1:24" ht="19.5" customHeight="1" x14ac:dyDescent="0.25">
      <c r="A85" s="86"/>
      <c r="B85" s="89"/>
      <c r="C85" s="101"/>
      <c r="D85" s="101"/>
      <c r="E85" s="101"/>
      <c r="F85" s="101"/>
      <c r="G85" s="71"/>
      <c r="H85" s="71" t="s">
        <v>372</v>
      </c>
      <c r="I85" s="102"/>
      <c r="J85" s="102"/>
      <c r="K85" s="102"/>
      <c r="L85" s="102"/>
      <c r="M85" s="86"/>
      <c r="N85" s="89"/>
      <c r="O85" s="101"/>
      <c r="P85" s="101"/>
      <c r="Q85" s="101"/>
      <c r="R85" s="101"/>
      <c r="S85" s="71"/>
      <c r="T85" s="71" t="s">
        <v>372</v>
      </c>
      <c r="U85" s="584"/>
      <c r="V85" s="584"/>
      <c r="W85" s="584"/>
      <c r="X85" s="584"/>
    </row>
    <row r="86" spans="1:24" ht="19.5" customHeight="1" x14ac:dyDescent="0.25">
      <c r="A86" s="86"/>
      <c r="B86" s="87"/>
      <c r="C86" s="101"/>
      <c r="D86" s="101"/>
      <c r="E86" s="101"/>
      <c r="F86" s="101"/>
      <c r="G86" s="421" t="s">
        <v>100</v>
      </c>
      <c r="H86" s="414" t="s">
        <v>502</v>
      </c>
      <c r="I86" s="415">
        <f>SUM(I87:I92)</f>
        <v>0</v>
      </c>
      <c r="J86" s="415">
        <f t="shared" ref="J86:L86" si="60">SUM(J87:J92)</f>
        <v>0</v>
      </c>
      <c r="K86" s="415">
        <f t="shared" ref="K86" si="61">SUM(K87:K92)</f>
        <v>0</v>
      </c>
      <c r="L86" s="415">
        <f t="shared" si="60"/>
        <v>0</v>
      </c>
      <c r="M86" s="86"/>
      <c r="N86" s="87"/>
      <c r="O86" s="101"/>
      <c r="P86" s="101"/>
      <c r="Q86" s="101"/>
      <c r="R86" s="101"/>
      <c r="S86" s="414" t="s">
        <v>100</v>
      </c>
      <c r="T86" s="415" t="s">
        <v>502</v>
      </c>
      <c r="U86" s="580">
        <f>SUM(U87:U92)</f>
        <v>0</v>
      </c>
      <c r="V86" s="580">
        <f>SUM(V87:V92)</f>
        <v>0</v>
      </c>
      <c r="W86" s="580">
        <f>SUM(W87:W92)</f>
        <v>0</v>
      </c>
      <c r="X86" s="580">
        <f>SUM(X87:X92)</f>
        <v>0</v>
      </c>
    </row>
    <row r="87" spans="1:24" ht="21.75" customHeight="1" x14ac:dyDescent="0.25">
      <c r="A87" s="86"/>
      <c r="B87" s="89"/>
      <c r="C87" s="101"/>
      <c r="D87" s="101"/>
      <c r="E87" s="101"/>
      <c r="F87" s="101"/>
      <c r="G87" s="71"/>
      <c r="H87" s="71" t="s">
        <v>373</v>
      </c>
      <c r="I87" s="108" t="s">
        <v>253</v>
      </c>
      <c r="J87" s="108"/>
      <c r="K87" s="108"/>
      <c r="L87" s="108"/>
      <c r="M87" s="86"/>
      <c r="N87" s="89"/>
      <c r="O87" s="101"/>
      <c r="P87" s="101"/>
      <c r="Q87" s="101"/>
      <c r="R87" s="101"/>
      <c r="S87" s="71"/>
      <c r="T87" s="71" t="s">
        <v>373</v>
      </c>
      <c r="U87" s="435" t="s">
        <v>253</v>
      </c>
      <c r="V87" s="435"/>
      <c r="W87" s="435"/>
      <c r="X87" s="435"/>
    </row>
    <row r="88" spans="1:24" ht="21.75" customHeight="1" x14ac:dyDescent="0.25">
      <c r="A88" s="86"/>
      <c r="B88" s="84"/>
      <c r="C88" s="101"/>
      <c r="D88" s="101"/>
      <c r="E88" s="101"/>
      <c r="F88" s="101"/>
      <c r="G88" s="71"/>
      <c r="H88" s="71" t="s">
        <v>374</v>
      </c>
      <c r="I88" s="102"/>
      <c r="J88" s="102"/>
      <c r="K88" s="102"/>
      <c r="L88" s="102"/>
      <c r="M88" s="86"/>
      <c r="N88" s="84"/>
      <c r="O88" s="101"/>
      <c r="P88" s="101"/>
      <c r="Q88" s="101"/>
      <c r="R88" s="101"/>
      <c r="S88" s="71"/>
      <c r="T88" s="71" t="s">
        <v>374</v>
      </c>
      <c r="U88" s="584"/>
      <c r="V88" s="584"/>
      <c r="W88" s="584"/>
      <c r="X88" s="584"/>
    </row>
    <row r="89" spans="1:24" ht="19.5" customHeight="1" x14ac:dyDescent="0.25">
      <c r="A89" s="86"/>
      <c r="B89" s="89"/>
      <c r="C89" s="101"/>
      <c r="D89" s="101"/>
      <c r="E89" s="101"/>
      <c r="F89" s="101"/>
      <c r="G89" s="71"/>
      <c r="H89" s="71" t="s">
        <v>375</v>
      </c>
      <c r="I89" s="102"/>
      <c r="J89" s="102"/>
      <c r="K89" s="102"/>
      <c r="L89" s="102"/>
      <c r="M89" s="86"/>
      <c r="N89" s="89"/>
      <c r="O89" s="101"/>
      <c r="P89" s="101"/>
      <c r="Q89" s="101"/>
      <c r="R89" s="101"/>
      <c r="S89" s="71"/>
      <c r="T89" s="71" t="s">
        <v>375</v>
      </c>
      <c r="U89" s="584"/>
      <c r="V89" s="584"/>
      <c r="W89" s="584"/>
      <c r="X89" s="584"/>
    </row>
    <row r="90" spans="1:24" ht="19.5" customHeight="1" x14ac:dyDescent="0.25">
      <c r="A90" s="86"/>
      <c r="B90" s="89"/>
      <c r="C90" s="101"/>
      <c r="D90" s="101"/>
      <c r="E90" s="101"/>
      <c r="F90" s="101"/>
      <c r="G90" s="71"/>
      <c r="H90" s="71" t="s">
        <v>376</v>
      </c>
      <c r="I90" s="102"/>
      <c r="J90" s="102"/>
      <c r="K90" s="102"/>
      <c r="L90" s="102"/>
      <c r="M90" s="86"/>
      <c r="N90" s="89"/>
      <c r="O90" s="101"/>
      <c r="P90" s="101"/>
      <c r="Q90" s="101"/>
      <c r="R90" s="101"/>
      <c r="S90" s="71"/>
      <c r="T90" s="71" t="s">
        <v>376</v>
      </c>
      <c r="U90" s="584"/>
      <c r="V90" s="584"/>
      <c r="W90" s="584"/>
      <c r="X90" s="584"/>
    </row>
    <row r="91" spans="1:24" ht="19.5" customHeight="1" x14ac:dyDescent="0.25">
      <c r="A91" s="86"/>
      <c r="B91" s="89"/>
      <c r="C91" s="101"/>
      <c r="D91" s="101"/>
      <c r="E91" s="101"/>
      <c r="F91" s="101"/>
      <c r="G91" s="71"/>
      <c r="H91" s="71" t="s">
        <v>1043</v>
      </c>
      <c r="I91" s="102"/>
      <c r="J91" s="102"/>
      <c r="K91" s="102"/>
      <c r="L91" s="102"/>
      <c r="M91" s="86"/>
      <c r="N91" s="89"/>
      <c r="O91" s="101"/>
      <c r="P91" s="101"/>
      <c r="Q91" s="101"/>
      <c r="R91" s="101"/>
      <c r="S91" s="71"/>
      <c r="T91" s="71" t="s">
        <v>1043</v>
      </c>
      <c r="U91" s="584"/>
      <c r="V91" s="584"/>
      <c r="W91" s="584"/>
      <c r="X91" s="584"/>
    </row>
    <row r="92" spans="1:24" ht="20.25" customHeight="1" x14ac:dyDescent="0.25">
      <c r="A92" s="86"/>
      <c r="B92" s="89"/>
      <c r="C92" s="101"/>
      <c r="D92" s="101"/>
      <c r="E92" s="101"/>
      <c r="F92" s="101"/>
      <c r="G92" s="71"/>
      <c r="H92" s="71" t="s">
        <v>1053</v>
      </c>
      <c r="I92" s="102"/>
      <c r="J92" s="102"/>
      <c r="K92" s="102"/>
      <c r="L92" s="102"/>
      <c r="M92" s="86"/>
      <c r="N92" s="89"/>
      <c r="O92" s="101"/>
      <c r="P92" s="101"/>
      <c r="Q92" s="101"/>
      <c r="R92" s="101"/>
      <c r="S92" s="71"/>
      <c r="T92" s="71" t="s">
        <v>1053</v>
      </c>
      <c r="U92" s="584"/>
      <c r="V92" s="584"/>
      <c r="W92" s="584"/>
      <c r="X92" s="584"/>
    </row>
    <row r="93" spans="1:24" ht="20.25" customHeight="1" x14ac:dyDescent="0.25">
      <c r="A93" s="418"/>
      <c r="B93" s="419" t="s">
        <v>192</v>
      </c>
      <c r="C93" s="420">
        <f>C94+C100+C106</f>
        <v>0</v>
      </c>
      <c r="D93" s="420">
        <f t="shared" ref="D93:F93" si="62">D94+D100+D106</f>
        <v>0</v>
      </c>
      <c r="E93" s="420">
        <f t="shared" ref="E93" si="63">E94+E100+E106</f>
        <v>0</v>
      </c>
      <c r="F93" s="420">
        <f t="shared" si="62"/>
        <v>0</v>
      </c>
      <c r="G93" s="418"/>
      <c r="H93" s="419" t="s">
        <v>200</v>
      </c>
      <c r="I93" s="420">
        <f>I94+I102+I107</f>
        <v>2889.25</v>
      </c>
      <c r="J93" s="420">
        <f t="shared" ref="J93:L93" si="64">J94+J102+J107</f>
        <v>0</v>
      </c>
      <c r="K93" s="420">
        <f t="shared" ref="K93" si="65">K94+K102+K107</f>
        <v>0</v>
      </c>
      <c r="L93" s="420">
        <f t="shared" si="64"/>
        <v>2889.25</v>
      </c>
      <c r="M93" s="419"/>
      <c r="N93" s="420" t="s">
        <v>192</v>
      </c>
      <c r="O93" s="418">
        <f>O94+O100+O106</f>
        <v>0</v>
      </c>
      <c r="P93" s="418">
        <f t="shared" ref="P93:R93" si="66">P94+P100+P106</f>
        <v>0</v>
      </c>
      <c r="Q93" s="418">
        <f t="shared" ref="Q93" si="67">Q94+Q100+Q106</f>
        <v>0</v>
      </c>
      <c r="R93" s="418">
        <f t="shared" si="66"/>
        <v>0</v>
      </c>
      <c r="S93" s="419"/>
      <c r="T93" s="420" t="s">
        <v>200</v>
      </c>
      <c r="U93" s="579">
        <f>U94+U102+U107</f>
        <v>4404.3599999999997</v>
      </c>
      <c r="V93" s="579">
        <f>V94+V102+V107</f>
        <v>0</v>
      </c>
      <c r="W93" s="579">
        <f>W94+W102+W107</f>
        <v>0</v>
      </c>
      <c r="X93" s="579">
        <f>X94+X102+X107</f>
        <v>4404.3599999999997</v>
      </c>
    </row>
    <row r="94" spans="1:24" ht="20.25" customHeight="1" x14ac:dyDescent="0.25">
      <c r="A94" s="421" t="s">
        <v>100</v>
      </c>
      <c r="B94" s="422" t="s">
        <v>417</v>
      </c>
      <c r="C94" s="423">
        <f>SUM(C95:C99)</f>
        <v>0</v>
      </c>
      <c r="D94" s="423">
        <f t="shared" ref="D94:F94" si="68">SUM(D95:D99)</f>
        <v>0</v>
      </c>
      <c r="E94" s="423">
        <f t="shared" ref="E94" si="69">SUM(E95:E99)</f>
        <v>0</v>
      </c>
      <c r="F94" s="423">
        <f t="shared" si="68"/>
        <v>0</v>
      </c>
      <c r="G94" s="421" t="s">
        <v>181</v>
      </c>
      <c r="H94" s="414" t="s">
        <v>380</v>
      </c>
      <c r="I94" s="415">
        <f>SUM(I95:I101)</f>
        <v>2889.25</v>
      </c>
      <c r="J94" s="415">
        <f t="shared" ref="J94:L94" si="70">SUM(J95:J101)</f>
        <v>0</v>
      </c>
      <c r="K94" s="415">
        <f t="shared" ref="K94" si="71">SUM(K95:K101)</f>
        <v>0</v>
      </c>
      <c r="L94" s="415">
        <f t="shared" si="70"/>
        <v>2889.25</v>
      </c>
      <c r="M94" s="414" t="s">
        <v>100</v>
      </c>
      <c r="N94" s="415" t="s">
        <v>417</v>
      </c>
      <c r="O94" s="415">
        <f>SUM(O95:O99)</f>
        <v>0</v>
      </c>
      <c r="P94" s="415">
        <f t="shared" ref="P94:R94" si="72">SUM(P95:P99)</f>
        <v>0</v>
      </c>
      <c r="Q94" s="415">
        <f t="shared" ref="Q94" si="73">SUM(Q95:Q99)</f>
        <v>0</v>
      </c>
      <c r="R94" s="415">
        <f t="shared" si="72"/>
        <v>0</v>
      </c>
      <c r="S94" s="414" t="s">
        <v>181</v>
      </c>
      <c r="T94" s="415" t="s">
        <v>380</v>
      </c>
      <c r="U94" s="580">
        <f>SUM(U95:U101)</f>
        <v>4404.3599999999997</v>
      </c>
      <c r="V94" s="580">
        <f>SUM(V95:V101)</f>
        <v>0</v>
      </c>
      <c r="W94" s="580">
        <f>SUM(W95:W101)</f>
        <v>0</v>
      </c>
      <c r="X94" s="580">
        <f>SUM(X95:X101)</f>
        <v>4404.3599999999997</v>
      </c>
    </row>
    <row r="95" spans="1:24" ht="20.25" customHeight="1" x14ac:dyDescent="0.25">
      <c r="A95" s="86"/>
      <c r="B95" s="84" t="s">
        <v>418</v>
      </c>
      <c r="C95" s="103"/>
      <c r="D95" s="103"/>
      <c r="E95" s="103"/>
      <c r="F95" s="103"/>
      <c r="G95" s="86"/>
      <c r="H95" s="92" t="s">
        <v>378</v>
      </c>
      <c r="I95" s="97"/>
      <c r="J95" s="97"/>
      <c r="K95" s="97"/>
      <c r="L95" s="97"/>
      <c r="M95" s="86"/>
      <c r="N95" s="84" t="s">
        <v>418</v>
      </c>
      <c r="O95" s="103"/>
      <c r="P95" s="103"/>
      <c r="Q95" s="103"/>
      <c r="R95" s="103"/>
      <c r="S95" s="86"/>
      <c r="T95" s="92" t="s">
        <v>378</v>
      </c>
      <c r="U95" s="581"/>
      <c r="V95" s="581"/>
      <c r="W95" s="581"/>
      <c r="X95" s="581"/>
    </row>
    <row r="96" spans="1:24" ht="29.25" customHeight="1" x14ac:dyDescent="0.25">
      <c r="A96" s="86"/>
      <c r="B96" s="84" t="s">
        <v>419</v>
      </c>
      <c r="C96" s="103"/>
      <c r="D96" s="103"/>
      <c r="E96" s="103"/>
      <c r="F96" s="103"/>
      <c r="G96" s="86"/>
      <c r="H96" s="92" t="s">
        <v>379</v>
      </c>
      <c r="I96" s="97"/>
      <c r="J96" s="97"/>
      <c r="K96" s="97"/>
      <c r="L96" s="97"/>
      <c r="M96" s="86"/>
      <c r="N96" s="84" t="s">
        <v>419</v>
      </c>
      <c r="O96" s="103"/>
      <c r="P96" s="103"/>
      <c r="Q96" s="103"/>
      <c r="R96" s="103"/>
      <c r="S96" s="86"/>
      <c r="T96" s="92" t="s">
        <v>379</v>
      </c>
      <c r="U96" s="581"/>
      <c r="V96" s="581"/>
      <c r="W96" s="581"/>
      <c r="X96" s="581"/>
    </row>
    <row r="97" spans="1:25" ht="29.25" customHeight="1" x14ac:dyDescent="0.25">
      <c r="A97" s="86"/>
      <c r="B97" s="84" t="s">
        <v>420</v>
      </c>
      <c r="C97" s="103"/>
      <c r="D97" s="103"/>
      <c r="E97" s="103"/>
      <c r="F97" s="103"/>
      <c r="G97" s="71"/>
      <c r="H97" s="71" t="s">
        <v>381</v>
      </c>
      <c r="I97" s="100"/>
      <c r="J97" s="100"/>
      <c r="K97" s="100"/>
      <c r="L97" s="100"/>
      <c r="M97" s="86"/>
      <c r="N97" s="84" t="s">
        <v>420</v>
      </c>
      <c r="O97" s="103"/>
      <c r="P97" s="103"/>
      <c r="Q97" s="103"/>
      <c r="R97" s="103"/>
      <c r="S97" s="71"/>
      <c r="T97" s="71" t="s">
        <v>943</v>
      </c>
      <c r="U97" s="585">
        <v>250</v>
      </c>
      <c r="V97" s="585"/>
      <c r="W97" s="585"/>
      <c r="X97" s="585">
        <f>U97+V97</f>
        <v>250</v>
      </c>
      <c r="Y97" s="577"/>
    </row>
    <row r="98" spans="1:25" ht="29.25" customHeight="1" x14ac:dyDescent="0.25">
      <c r="A98" s="86"/>
      <c r="B98" s="84" t="s">
        <v>421</v>
      </c>
      <c r="C98" s="103"/>
      <c r="D98" s="103"/>
      <c r="E98" s="103"/>
      <c r="F98" s="103"/>
      <c r="G98" s="71"/>
      <c r="H98" s="71" t="s">
        <v>382</v>
      </c>
      <c r="I98" s="100">
        <v>2275</v>
      </c>
      <c r="J98" s="100"/>
      <c r="K98" s="100"/>
      <c r="L98" s="100">
        <f>I98+J98</f>
        <v>2275</v>
      </c>
      <c r="M98" s="86"/>
      <c r="N98" s="84" t="s">
        <v>421</v>
      </c>
      <c r="O98" s="103"/>
      <c r="P98" s="103"/>
      <c r="Q98" s="103"/>
      <c r="R98" s="103"/>
      <c r="S98" s="71"/>
      <c r="T98" s="71" t="s">
        <v>382</v>
      </c>
      <c r="U98" s="585">
        <f>397+154+1426+298+598+345</f>
        <v>3218</v>
      </c>
      <c r="V98" s="585"/>
      <c r="W98" s="585"/>
      <c r="X98" s="585">
        <f>U98+V98</f>
        <v>3218</v>
      </c>
      <c r="Y98" s="577"/>
    </row>
    <row r="99" spans="1:25" ht="21" customHeight="1" x14ac:dyDescent="0.25">
      <c r="A99" s="86"/>
      <c r="B99" s="84" t="s">
        <v>422</v>
      </c>
      <c r="C99" s="103"/>
      <c r="D99" s="103"/>
      <c r="E99" s="103"/>
      <c r="F99" s="103"/>
      <c r="G99" s="71"/>
      <c r="H99" s="71" t="s">
        <v>383</v>
      </c>
      <c r="I99" s="100"/>
      <c r="J99" s="100"/>
      <c r="K99" s="100"/>
      <c r="L99" s="100">
        <f t="shared" ref="L99:L101" si="74">I99+J99</f>
        <v>0</v>
      </c>
      <c r="M99" s="86"/>
      <c r="N99" s="84" t="s">
        <v>422</v>
      </c>
      <c r="O99" s="103"/>
      <c r="P99" s="103"/>
      <c r="Q99" s="103"/>
      <c r="R99" s="103"/>
      <c r="S99" s="71"/>
      <c r="T99" s="71" t="s">
        <v>383</v>
      </c>
      <c r="U99" s="585"/>
      <c r="V99" s="585"/>
      <c r="W99" s="585"/>
      <c r="X99" s="585"/>
      <c r="Y99" s="577"/>
    </row>
    <row r="100" spans="1:25" ht="20.25" customHeight="1" x14ac:dyDescent="0.25">
      <c r="A100" s="421" t="s">
        <v>181</v>
      </c>
      <c r="B100" s="422" t="s">
        <v>423</v>
      </c>
      <c r="C100" s="423">
        <f>SUM(C101:C105)</f>
        <v>0</v>
      </c>
      <c r="D100" s="423">
        <f t="shared" ref="D100:F100" si="75">SUM(D101:D105)</f>
        <v>0</v>
      </c>
      <c r="E100" s="423">
        <f t="shared" ref="E100" si="76">SUM(E101:E105)</f>
        <v>0</v>
      </c>
      <c r="F100" s="423">
        <f t="shared" si="75"/>
        <v>0</v>
      </c>
      <c r="G100" s="71"/>
      <c r="H100" s="71" t="s">
        <v>384</v>
      </c>
      <c r="I100" s="100"/>
      <c r="J100" s="100"/>
      <c r="K100" s="100"/>
      <c r="L100" s="100">
        <f t="shared" si="74"/>
        <v>0</v>
      </c>
      <c r="M100" s="414" t="s">
        <v>181</v>
      </c>
      <c r="N100" s="415" t="s">
        <v>423</v>
      </c>
      <c r="O100" s="415">
        <f>SUM(O101:O105)</f>
        <v>0</v>
      </c>
      <c r="P100" s="415">
        <f t="shared" ref="P100:R100" si="77">SUM(P101:P105)</f>
        <v>0</v>
      </c>
      <c r="Q100" s="415">
        <f t="shared" ref="Q100" si="78">SUM(Q101:Q105)</f>
        <v>0</v>
      </c>
      <c r="R100" s="415">
        <f t="shared" si="77"/>
        <v>0</v>
      </c>
      <c r="S100" s="71"/>
      <c r="T100" s="71" t="s">
        <v>384</v>
      </c>
      <c r="U100" s="585"/>
      <c r="V100" s="585"/>
      <c r="W100" s="585"/>
      <c r="X100" s="585"/>
      <c r="Y100" s="577"/>
    </row>
    <row r="101" spans="1:25" ht="20.25" customHeight="1" x14ac:dyDescent="0.25">
      <c r="A101" s="86"/>
      <c r="B101" s="89" t="s">
        <v>424</v>
      </c>
      <c r="C101" s="103"/>
      <c r="D101" s="103"/>
      <c r="E101" s="103"/>
      <c r="F101" s="103"/>
      <c r="G101" s="71"/>
      <c r="H101" s="71" t="s">
        <v>385</v>
      </c>
      <c r="I101" s="100">
        <f>I98*0.27</f>
        <v>614.25</v>
      </c>
      <c r="J101" s="100"/>
      <c r="K101" s="100"/>
      <c r="L101" s="100">
        <f t="shared" si="74"/>
        <v>614.25</v>
      </c>
      <c r="M101" s="86"/>
      <c r="N101" s="89" t="s">
        <v>424</v>
      </c>
      <c r="O101" s="103"/>
      <c r="P101" s="103"/>
      <c r="Q101" s="103"/>
      <c r="R101" s="103"/>
      <c r="S101" s="71"/>
      <c r="T101" s="71" t="s">
        <v>385</v>
      </c>
      <c r="U101" s="585">
        <f>(U97+U98)*0.27</f>
        <v>936.36</v>
      </c>
      <c r="V101" s="585"/>
      <c r="W101" s="585"/>
      <c r="X101" s="585">
        <f>U101+V101</f>
        <v>936.36</v>
      </c>
      <c r="Y101" s="577"/>
    </row>
    <row r="102" spans="1:25" ht="20.25" customHeight="1" x14ac:dyDescent="0.25">
      <c r="A102" s="86"/>
      <c r="B102" s="89" t="s">
        <v>425</v>
      </c>
      <c r="C102" s="103"/>
      <c r="D102" s="103"/>
      <c r="E102" s="103"/>
      <c r="F102" s="103"/>
      <c r="G102" s="421" t="s">
        <v>191</v>
      </c>
      <c r="H102" s="414" t="s">
        <v>386</v>
      </c>
      <c r="I102" s="415">
        <f>SUM(I103:I106)</f>
        <v>0</v>
      </c>
      <c r="J102" s="415">
        <f t="shared" ref="J102:L102" si="79">SUM(J103:J106)</f>
        <v>0</v>
      </c>
      <c r="K102" s="415">
        <f t="shared" ref="K102" si="80">SUM(K103:K106)</f>
        <v>0</v>
      </c>
      <c r="L102" s="415">
        <f t="shared" si="79"/>
        <v>0</v>
      </c>
      <c r="M102" s="86"/>
      <c r="N102" s="89" t="s">
        <v>425</v>
      </c>
      <c r="O102" s="103"/>
      <c r="P102" s="103"/>
      <c r="Q102" s="103"/>
      <c r="R102" s="103"/>
      <c r="S102" s="414" t="s">
        <v>191</v>
      </c>
      <c r="T102" s="415" t="s">
        <v>386</v>
      </c>
      <c r="U102" s="580">
        <f>SUM(U103:U106)</f>
        <v>0</v>
      </c>
      <c r="V102" s="580">
        <f>SUM(V103:V106)</f>
        <v>0</v>
      </c>
      <c r="W102" s="580">
        <f>SUM(W103:W106)</f>
        <v>0</v>
      </c>
      <c r="X102" s="580">
        <f>SUM(X103:X106)</f>
        <v>0</v>
      </c>
      <c r="Y102" s="577"/>
    </row>
    <row r="103" spans="1:25" ht="20.25" customHeight="1" x14ac:dyDescent="0.25">
      <c r="A103" s="86"/>
      <c r="B103" s="89" t="s">
        <v>426</v>
      </c>
      <c r="C103" s="103"/>
      <c r="D103" s="103"/>
      <c r="E103" s="103"/>
      <c r="F103" s="103"/>
      <c r="G103" s="71"/>
      <c r="H103" s="71" t="s">
        <v>387</v>
      </c>
      <c r="I103" s="100"/>
      <c r="J103" s="100"/>
      <c r="K103" s="100"/>
      <c r="L103" s="100"/>
      <c r="M103" s="86"/>
      <c r="N103" s="89" t="s">
        <v>426</v>
      </c>
      <c r="O103" s="103"/>
      <c r="P103" s="103"/>
      <c r="Q103" s="103"/>
      <c r="R103" s="103"/>
      <c r="S103" s="71"/>
      <c r="T103" s="71" t="s">
        <v>387</v>
      </c>
      <c r="U103" s="585"/>
      <c r="V103" s="585"/>
      <c r="W103" s="585"/>
      <c r="X103" s="585"/>
      <c r="Y103" s="578"/>
    </row>
    <row r="104" spans="1:25" ht="20.25" customHeight="1" x14ac:dyDescent="0.25">
      <c r="A104" s="86"/>
      <c r="B104" s="89" t="s">
        <v>427</v>
      </c>
      <c r="C104" s="103"/>
      <c r="D104" s="103"/>
      <c r="E104" s="103"/>
      <c r="F104" s="103"/>
      <c r="G104" s="71"/>
      <c r="H104" s="71" t="s">
        <v>388</v>
      </c>
      <c r="I104" s="100"/>
      <c r="J104" s="100"/>
      <c r="K104" s="100"/>
      <c r="L104" s="100"/>
      <c r="M104" s="86"/>
      <c r="N104" s="89" t="s">
        <v>427</v>
      </c>
      <c r="O104" s="103"/>
      <c r="P104" s="103"/>
      <c r="Q104" s="103"/>
      <c r="R104" s="103"/>
      <c r="S104" s="71"/>
      <c r="T104" s="71" t="s">
        <v>388</v>
      </c>
      <c r="U104" s="585"/>
      <c r="V104" s="585"/>
      <c r="W104" s="585"/>
      <c r="X104" s="585"/>
    </row>
    <row r="105" spans="1:25" ht="20.25" customHeight="1" x14ac:dyDescent="0.25">
      <c r="A105" s="86"/>
      <c r="B105" s="89" t="s">
        <v>428</v>
      </c>
      <c r="C105" s="103"/>
      <c r="D105" s="103"/>
      <c r="E105" s="103"/>
      <c r="F105" s="103"/>
      <c r="G105" s="71"/>
      <c r="H105" s="71" t="s">
        <v>389</v>
      </c>
      <c r="I105" s="100"/>
      <c r="J105" s="100"/>
      <c r="K105" s="100"/>
      <c r="L105" s="100"/>
      <c r="M105" s="86"/>
      <c r="N105" s="89" t="s">
        <v>428</v>
      </c>
      <c r="O105" s="103"/>
      <c r="P105" s="103"/>
      <c r="Q105" s="103"/>
      <c r="R105" s="103"/>
      <c r="S105" s="71"/>
      <c r="T105" s="71" t="s">
        <v>389</v>
      </c>
      <c r="U105" s="585"/>
      <c r="V105" s="585"/>
      <c r="W105" s="585"/>
      <c r="X105" s="585"/>
    </row>
    <row r="106" spans="1:25" ht="20.25" customHeight="1" x14ac:dyDescent="0.25">
      <c r="A106" s="421" t="s">
        <v>191</v>
      </c>
      <c r="B106" s="422" t="s">
        <v>429</v>
      </c>
      <c r="C106" s="423">
        <f>C107+C108+C109</f>
        <v>0</v>
      </c>
      <c r="D106" s="423">
        <f t="shared" ref="D106:F106" si="81">D107+D108+D109</f>
        <v>0</v>
      </c>
      <c r="E106" s="423">
        <f t="shared" ref="E106" si="82">E107+E108+E109</f>
        <v>0</v>
      </c>
      <c r="F106" s="423">
        <f t="shared" si="81"/>
        <v>0</v>
      </c>
      <c r="G106" s="71"/>
      <c r="H106" s="71" t="s">
        <v>390</v>
      </c>
      <c r="I106" s="100"/>
      <c r="J106" s="100"/>
      <c r="K106" s="100"/>
      <c r="L106" s="100"/>
      <c r="M106" s="414" t="s">
        <v>191</v>
      </c>
      <c r="N106" s="415" t="s">
        <v>429</v>
      </c>
      <c r="O106" s="415">
        <f>O107+O108+O109</f>
        <v>0</v>
      </c>
      <c r="P106" s="415">
        <f t="shared" ref="P106:R106" si="83">P107+P108+P109</f>
        <v>0</v>
      </c>
      <c r="Q106" s="415">
        <f t="shared" ref="Q106" si="84">Q107+Q108+Q109</f>
        <v>0</v>
      </c>
      <c r="R106" s="415">
        <f t="shared" si="83"/>
        <v>0</v>
      </c>
      <c r="S106" s="71"/>
      <c r="T106" s="71" t="s">
        <v>390</v>
      </c>
      <c r="U106" s="585"/>
      <c r="V106" s="585"/>
      <c r="W106" s="585"/>
      <c r="X106" s="585"/>
    </row>
    <row r="107" spans="1:25" ht="29.25" customHeight="1" x14ac:dyDescent="0.25">
      <c r="A107" s="86"/>
      <c r="B107" s="89" t="s">
        <v>430</v>
      </c>
      <c r="C107" s="103"/>
      <c r="D107" s="103"/>
      <c r="E107" s="103"/>
      <c r="F107" s="103"/>
      <c r="G107" s="421" t="s">
        <v>199</v>
      </c>
      <c r="H107" s="414" t="s">
        <v>391</v>
      </c>
      <c r="I107" s="415">
        <f>I108+I109</f>
        <v>0</v>
      </c>
      <c r="J107" s="415">
        <f t="shared" ref="J107:L107" si="85">J108+J109</f>
        <v>0</v>
      </c>
      <c r="K107" s="415">
        <f t="shared" ref="K107" si="86">K108+K109</f>
        <v>0</v>
      </c>
      <c r="L107" s="415">
        <f t="shared" si="85"/>
        <v>0</v>
      </c>
      <c r="M107" s="86"/>
      <c r="N107" s="89" t="s">
        <v>430</v>
      </c>
      <c r="O107" s="103"/>
      <c r="P107" s="103"/>
      <c r="Q107" s="103"/>
      <c r="R107" s="103"/>
      <c r="S107" s="414" t="s">
        <v>199</v>
      </c>
      <c r="T107" s="415" t="s">
        <v>391</v>
      </c>
      <c r="U107" s="580">
        <f>U108+U109</f>
        <v>0</v>
      </c>
      <c r="V107" s="580">
        <f>V108+V109</f>
        <v>0</v>
      </c>
      <c r="W107" s="580">
        <f>W108+W109</f>
        <v>0</v>
      </c>
      <c r="X107" s="580">
        <f>X108+X109</f>
        <v>0</v>
      </c>
    </row>
    <row r="108" spans="1:25" ht="29.25" customHeight="1" x14ac:dyDescent="0.25">
      <c r="A108" s="86"/>
      <c r="B108" s="84" t="s">
        <v>1050</v>
      </c>
      <c r="C108" s="103"/>
      <c r="D108" s="103"/>
      <c r="E108" s="103"/>
      <c r="F108" s="103"/>
      <c r="G108" s="71"/>
      <c r="H108" s="71" t="s">
        <v>393</v>
      </c>
      <c r="I108" s="100"/>
      <c r="J108" s="100"/>
      <c r="K108" s="100"/>
      <c r="L108" s="100"/>
      <c r="M108" s="86"/>
      <c r="N108" s="84" t="s">
        <v>431</v>
      </c>
      <c r="O108" s="103"/>
      <c r="P108" s="103"/>
      <c r="Q108" s="103"/>
      <c r="R108" s="103"/>
      <c r="S108" s="71"/>
      <c r="T108" s="71" t="s">
        <v>393</v>
      </c>
      <c r="U108" s="585"/>
      <c r="V108" s="585"/>
      <c r="W108" s="585"/>
      <c r="X108" s="585"/>
    </row>
    <row r="109" spans="1:25" ht="21" customHeight="1" x14ac:dyDescent="0.25">
      <c r="A109" s="86"/>
      <c r="B109" s="89"/>
      <c r="C109" s="103"/>
      <c r="D109" s="103"/>
      <c r="E109" s="103"/>
      <c r="F109" s="103"/>
      <c r="G109" s="71"/>
      <c r="H109" s="71" t="s">
        <v>392</v>
      </c>
      <c r="I109" s="100"/>
      <c r="J109" s="100"/>
      <c r="K109" s="100"/>
      <c r="L109" s="100"/>
      <c r="M109" s="86"/>
      <c r="N109" s="89" t="s">
        <v>432</v>
      </c>
      <c r="O109" s="103"/>
      <c r="P109" s="103"/>
      <c r="Q109" s="103"/>
      <c r="R109" s="103"/>
      <c r="S109" s="71"/>
      <c r="T109" s="71" t="s">
        <v>392</v>
      </c>
      <c r="U109" s="585"/>
      <c r="V109" s="585"/>
      <c r="W109" s="585"/>
      <c r="X109" s="585"/>
    </row>
    <row r="110" spans="1:25" ht="20.25" customHeight="1" x14ac:dyDescent="0.25">
      <c r="A110" s="418"/>
      <c r="B110" s="419" t="s">
        <v>433</v>
      </c>
      <c r="C110" s="420">
        <f>C120+C131</f>
        <v>16724</v>
      </c>
      <c r="D110" s="420">
        <f t="shared" ref="D110" si="87">D120+D131</f>
        <v>279</v>
      </c>
      <c r="E110" s="420">
        <f t="shared" ref="E110" si="88">E120+E131</f>
        <v>8149</v>
      </c>
      <c r="F110" s="420">
        <f>F120+F131</f>
        <v>25152</v>
      </c>
      <c r="G110" s="418"/>
      <c r="H110" s="419" t="s">
        <v>397</v>
      </c>
      <c r="I110" s="420">
        <f>I119+I130</f>
        <v>0</v>
      </c>
      <c r="J110" s="420">
        <f t="shared" ref="J110:L110" si="89">J119+J130</f>
        <v>0</v>
      </c>
      <c r="K110" s="420">
        <f t="shared" ref="K110" si="90">K119+K130</f>
        <v>0</v>
      </c>
      <c r="L110" s="420">
        <f t="shared" si="89"/>
        <v>0</v>
      </c>
      <c r="M110" s="419"/>
      <c r="N110" s="420" t="s">
        <v>433</v>
      </c>
      <c r="O110" s="443">
        <f>O120+O131</f>
        <v>76240</v>
      </c>
      <c r="P110" s="443">
        <f t="shared" ref="P110:R110" si="91">P120+P131</f>
        <v>696</v>
      </c>
      <c r="Q110" s="443">
        <f t="shared" ref="Q110" si="92">Q120+Q131</f>
        <v>0</v>
      </c>
      <c r="R110" s="443">
        <f t="shared" si="91"/>
        <v>76936</v>
      </c>
      <c r="S110" s="419"/>
      <c r="T110" s="420" t="s">
        <v>397</v>
      </c>
      <c r="U110" s="579">
        <f>U119+U130</f>
        <v>0</v>
      </c>
      <c r="V110" s="579">
        <f>V119+V130</f>
        <v>0</v>
      </c>
      <c r="W110" s="579">
        <f>W119+W130</f>
        <v>0</v>
      </c>
      <c r="X110" s="579">
        <f>X119+X130</f>
        <v>0</v>
      </c>
    </row>
    <row r="111" spans="1:25" ht="21" customHeight="1" x14ac:dyDescent="0.25">
      <c r="A111" s="75"/>
      <c r="B111" s="94" t="s">
        <v>434</v>
      </c>
      <c r="C111" s="103"/>
      <c r="D111" s="103"/>
      <c r="E111" s="103"/>
      <c r="F111" s="103"/>
      <c r="G111" s="75"/>
      <c r="H111" s="94" t="s">
        <v>394</v>
      </c>
      <c r="I111" s="103"/>
      <c r="J111" s="103"/>
      <c r="K111" s="103"/>
      <c r="L111" s="103"/>
      <c r="M111" s="75"/>
      <c r="N111" s="94" t="s">
        <v>434</v>
      </c>
      <c r="O111" s="103"/>
      <c r="P111" s="103"/>
      <c r="Q111" s="103"/>
      <c r="R111" s="103"/>
      <c r="S111" s="75"/>
      <c r="T111" s="94" t="s">
        <v>394</v>
      </c>
      <c r="U111" s="586"/>
      <c r="V111" s="586"/>
      <c r="W111" s="586"/>
      <c r="X111" s="586"/>
    </row>
    <row r="112" spans="1:25" ht="20.25" customHeight="1" x14ac:dyDescent="0.25">
      <c r="A112" s="75"/>
      <c r="B112" s="94" t="s">
        <v>435</v>
      </c>
      <c r="C112" s="103"/>
      <c r="D112" s="103"/>
      <c r="E112" s="103"/>
      <c r="F112" s="103"/>
      <c r="G112" s="75"/>
      <c r="H112" s="94" t="s">
        <v>395</v>
      </c>
      <c r="I112" s="103"/>
      <c r="J112" s="103"/>
      <c r="K112" s="103"/>
      <c r="L112" s="103"/>
      <c r="M112" s="75"/>
      <c r="N112" s="94" t="s">
        <v>435</v>
      </c>
      <c r="O112" s="103"/>
      <c r="P112" s="103"/>
      <c r="Q112" s="103"/>
      <c r="R112" s="103"/>
      <c r="S112" s="75"/>
      <c r="T112" s="94" t="s">
        <v>395</v>
      </c>
      <c r="U112" s="586"/>
      <c r="V112" s="586"/>
      <c r="W112" s="586"/>
      <c r="X112" s="586"/>
    </row>
    <row r="113" spans="1:24" ht="20.25" customHeight="1" x14ac:dyDescent="0.25">
      <c r="A113" s="75"/>
      <c r="B113" s="94" t="s">
        <v>436</v>
      </c>
      <c r="C113" s="103"/>
      <c r="D113" s="103"/>
      <c r="E113" s="103"/>
      <c r="F113" s="103"/>
      <c r="G113" s="75"/>
      <c r="H113" s="94" t="s">
        <v>396</v>
      </c>
      <c r="I113" s="103"/>
      <c r="J113" s="103"/>
      <c r="K113" s="103"/>
      <c r="L113" s="103"/>
      <c r="M113" s="75"/>
      <c r="N113" s="94" t="s">
        <v>436</v>
      </c>
      <c r="O113" s="103"/>
      <c r="P113" s="103"/>
      <c r="Q113" s="103"/>
      <c r="R113" s="103"/>
      <c r="S113" s="75"/>
      <c r="T113" s="94" t="s">
        <v>396</v>
      </c>
      <c r="U113" s="586"/>
      <c r="V113" s="586"/>
      <c r="W113" s="586"/>
      <c r="X113" s="586"/>
    </row>
    <row r="114" spans="1:24" ht="20.25" customHeight="1" x14ac:dyDescent="0.25">
      <c r="A114" s="75"/>
      <c r="B114" s="95" t="s">
        <v>437</v>
      </c>
      <c r="C114" s="103">
        <f>C111+C112+C113</f>
        <v>0</v>
      </c>
      <c r="D114" s="103">
        <f t="shared" ref="D114:F114" si="93">D111+D112+D113</f>
        <v>0</v>
      </c>
      <c r="E114" s="103">
        <f t="shared" ref="E114" si="94">E111+E112+E113</f>
        <v>0</v>
      </c>
      <c r="F114" s="103">
        <f t="shared" si="93"/>
        <v>0</v>
      </c>
      <c r="G114" s="75"/>
      <c r="H114" s="95" t="s">
        <v>398</v>
      </c>
      <c r="I114" s="103">
        <f>I111+I112+I113</f>
        <v>0</v>
      </c>
      <c r="J114" s="103">
        <f t="shared" ref="J114:L114" si="95">J111+J112+J113</f>
        <v>0</v>
      </c>
      <c r="K114" s="103">
        <f t="shared" ref="K114" si="96">K111+K112+K113</f>
        <v>0</v>
      </c>
      <c r="L114" s="103">
        <f t="shared" si="95"/>
        <v>0</v>
      </c>
      <c r="M114" s="75"/>
      <c r="N114" s="95" t="s">
        <v>437</v>
      </c>
      <c r="O114" s="103">
        <f>O111+O112+O113</f>
        <v>0</v>
      </c>
      <c r="P114" s="103">
        <f t="shared" ref="P114:R114" si="97">P111+P112+P113</f>
        <v>0</v>
      </c>
      <c r="Q114" s="103">
        <f t="shared" ref="Q114" si="98">Q111+Q112+Q113</f>
        <v>0</v>
      </c>
      <c r="R114" s="103">
        <f t="shared" si="97"/>
        <v>0</v>
      </c>
      <c r="S114" s="75"/>
      <c r="T114" s="95" t="s">
        <v>398</v>
      </c>
      <c r="U114" s="586">
        <f>U111+U112+U113</f>
        <v>0</v>
      </c>
      <c r="V114" s="586">
        <f>V111+V112+V113</f>
        <v>0</v>
      </c>
      <c r="W114" s="586">
        <f>W111+W112+W113</f>
        <v>0</v>
      </c>
      <c r="X114" s="586">
        <f>X111+X112+X113</f>
        <v>0</v>
      </c>
    </row>
    <row r="115" spans="1:24" ht="20.25" customHeight="1" x14ac:dyDescent="0.25">
      <c r="A115" s="75"/>
      <c r="B115" s="69" t="s">
        <v>438</v>
      </c>
      <c r="C115" s="103"/>
      <c r="D115" s="103"/>
      <c r="E115" s="103"/>
      <c r="F115" s="103"/>
      <c r="G115" s="75"/>
      <c r="H115" s="94" t="s">
        <v>399</v>
      </c>
      <c r="I115" s="103"/>
      <c r="J115" s="103"/>
      <c r="K115" s="103"/>
      <c r="L115" s="103"/>
      <c r="M115" s="75"/>
      <c r="N115" s="69" t="s">
        <v>438</v>
      </c>
      <c r="O115" s="103"/>
      <c r="P115" s="103"/>
      <c r="Q115" s="103"/>
      <c r="R115" s="103"/>
      <c r="S115" s="75"/>
      <c r="T115" s="94" t="s">
        <v>399</v>
      </c>
      <c r="U115" s="586"/>
      <c r="V115" s="586"/>
      <c r="W115" s="586"/>
      <c r="X115" s="586"/>
    </row>
    <row r="116" spans="1:24" ht="20.25" customHeight="1" x14ac:dyDescent="0.25">
      <c r="A116" s="75"/>
      <c r="B116" s="69" t="s">
        <v>439</v>
      </c>
      <c r="C116" s="103"/>
      <c r="D116" s="103"/>
      <c r="E116" s="103"/>
      <c r="F116" s="103"/>
      <c r="G116" s="75"/>
      <c r="H116" s="94" t="s">
        <v>400</v>
      </c>
      <c r="I116" s="103"/>
      <c r="J116" s="103"/>
      <c r="K116" s="103"/>
      <c r="L116" s="103"/>
      <c r="M116" s="75"/>
      <c r="N116" s="69" t="s">
        <v>439</v>
      </c>
      <c r="O116" s="103"/>
      <c r="P116" s="103"/>
      <c r="Q116" s="103"/>
      <c r="R116" s="103"/>
      <c r="S116" s="75"/>
      <c r="T116" s="94" t="s">
        <v>400</v>
      </c>
      <c r="U116" s="586"/>
      <c r="V116" s="586"/>
      <c r="W116" s="586"/>
      <c r="X116" s="586"/>
    </row>
    <row r="117" spans="1:24" ht="20.25" customHeight="1" x14ac:dyDescent="0.25">
      <c r="A117" s="75"/>
      <c r="B117" s="70" t="s">
        <v>440</v>
      </c>
      <c r="C117" s="103">
        <f>C115+C116</f>
        <v>0</v>
      </c>
      <c r="D117" s="103">
        <f t="shared" ref="D117:F117" si="99">D115+D116</f>
        <v>0</v>
      </c>
      <c r="E117" s="103">
        <f t="shared" ref="E117" si="100">E115+E116</f>
        <v>0</v>
      </c>
      <c r="F117" s="103">
        <f t="shared" si="99"/>
        <v>0</v>
      </c>
      <c r="G117" s="75"/>
      <c r="H117" s="95" t="s">
        <v>401</v>
      </c>
      <c r="I117" s="103">
        <f>I115+I116</f>
        <v>0</v>
      </c>
      <c r="J117" s="103">
        <f t="shared" ref="J117:L117" si="101">J115+J116</f>
        <v>0</v>
      </c>
      <c r="K117" s="103">
        <f t="shared" ref="K117" si="102">K115+K116</f>
        <v>0</v>
      </c>
      <c r="L117" s="103">
        <f t="shared" si="101"/>
        <v>0</v>
      </c>
      <c r="M117" s="75"/>
      <c r="N117" s="70" t="s">
        <v>440</v>
      </c>
      <c r="O117" s="103">
        <f>O115+O116</f>
        <v>0</v>
      </c>
      <c r="P117" s="103">
        <f t="shared" ref="P117:R117" si="103">P115+P116</f>
        <v>0</v>
      </c>
      <c r="Q117" s="103">
        <f t="shared" ref="Q117" si="104">Q115+Q116</f>
        <v>0</v>
      </c>
      <c r="R117" s="103">
        <f t="shared" si="103"/>
        <v>0</v>
      </c>
      <c r="S117" s="75"/>
      <c r="T117" s="95" t="s">
        <v>401</v>
      </c>
      <c r="U117" s="586">
        <f>U115+U116</f>
        <v>0</v>
      </c>
      <c r="V117" s="586">
        <f>V115+V116</f>
        <v>0</v>
      </c>
      <c r="W117" s="586">
        <f>W115+W116</f>
        <v>0</v>
      </c>
      <c r="X117" s="586">
        <f>X115+X116</f>
        <v>0</v>
      </c>
    </row>
    <row r="118" spans="1:24" ht="20.25" customHeight="1" x14ac:dyDescent="0.25">
      <c r="A118" s="75"/>
      <c r="B118" s="70" t="s">
        <v>441</v>
      </c>
      <c r="C118" s="103">
        <f>4+29</f>
        <v>33</v>
      </c>
      <c r="D118" s="103"/>
      <c r="E118" s="103">
        <v>1977</v>
      </c>
      <c r="F118" s="103">
        <f>C118+D118+E118</f>
        <v>2010</v>
      </c>
      <c r="G118" s="75"/>
      <c r="H118" s="95" t="s">
        <v>402</v>
      </c>
      <c r="I118" s="103"/>
      <c r="J118" s="103"/>
      <c r="K118" s="103"/>
      <c r="L118" s="103"/>
      <c r="M118" s="75"/>
      <c r="N118" s="70" t="s">
        <v>441</v>
      </c>
      <c r="O118" s="103"/>
      <c r="P118" s="103"/>
      <c r="Q118" s="103"/>
      <c r="R118" s="103"/>
      <c r="S118" s="75"/>
      <c r="T118" s="95" t="s">
        <v>402</v>
      </c>
      <c r="U118" s="586"/>
      <c r="V118" s="586"/>
      <c r="W118" s="586"/>
      <c r="X118" s="586"/>
    </row>
    <row r="119" spans="1:24" ht="20.25" customHeight="1" x14ac:dyDescent="0.25">
      <c r="A119" s="75"/>
      <c r="B119" s="70" t="s">
        <v>442</v>
      </c>
      <c r="C119" s="103">
        <v>13792</v>
      </c>
      <c r="D119" s="103">
        <v>279</v>
      </c>
      <c r="E119" s="103">
        <v>6172</v>
      </c>
      <c r="F119" s="103">
        <f>C119+D119+E119</f>
        <v>20243</v>
      </c>
      <c r="G119" s="75"/>
      <c r="H119" s="75" t="s">
        <v>403</v>
      </c>
      <c r="I119" s="113">
        <f>I114+I117+I118</f>
        <v>0</v>
      </c>
      <c r="J119" s="113">
        <f t="shared" ref="J119:L119" si="105">J114+J117+J118</f>
        <v>0</v>
      </c>
      <c r="K119" s="113">
        <f t="shared" ref="K119" si="106">K114+K117+K118</f>
        <v>0</v>
      </c>
      <c r="L119" s="113">
        <f t="shared" si="105"/>
        <v>0</v>
      </c>
      <c r="M119" s="75"/>
      <c r="N119" s="70" t="s">
        <v>442</v>
      </c>
      <c r="O119" s="103">
        <v>71836</v>
      </c>
      <c r="P119" s="103">
        <v>696</v>
      </c>
      <c r="Q119" s="103"/>
      <c r="R119" s="103">
        <f>O119+P119</f>
        <v>72532</v>
      </c>
      <c r="S119" s="75"/>
      <c r="T119" s="75" t="s">
        <v>403</v>
      </c>
      <c r="U119" s="587">
        <f>U114+U117+U118</f>
        <v>0</v>
      </c>
      <c r="V119" s="587">
        <f>V114+V117+V118</f>
        <v>0</v>
      </c>
      <c r="W119" s="587">
        <f>W114+W117+W118</f>
        <v>0</v>
      </c>
      <c r="X119" s="587">
        <f>X114+X117+X118</f>
        <v>0</v>
      </c>
    </row>
    <row r="120" spans="1:24" ht="20.25" customHeight="1" x14ac:dyDescent="0.25">
      <c r="A120" s="75"/>
      <c r="B120" s="80" t="s">
        <v>443</v>
      </c>
      <c r="C120" s="113">
        <f>C114+C117+C118+C119</f>
        <v>13825</v>
      </c>
      <c r="D120" s="113">
        <f t="shared" ref="D120:F120" si="107">D114+D117+D118+D119</f>
        <v>279</v>
      </c>
      <c r="E120" s="113">
        <f t="shared" ref="E120" si="108">E114+E117+E118+E119</f>
        <v>8149</v>
      </c>
      <c r="F120" s="113">
        <f t="shared" si="107"/>
        <v>22253</v>
      </c>
      <c r="G120" s="75"/>
      <c r="H120" s="95"/>
      <c r="I120" s="103"/>
      <c r="J120" s="103"/>
      <c r="K120" s="103"/>
      <c r="L120" s="103"/>
      <c r="M120" s="75"/>
      <c r="N120" s="80" t="s">
        <v>443</v>
      </c>
      <c r="O120" s="113">
        <f>O114+O117+O118+O119</f>
        <v>71836</v>
      </c>
      <c r="P120" s="113">
        <f t="shared" ref="P120:R120" si="109">P114+P117+P118+P119</f>
        <v>696</v>
      </c>
      <c r="Q120" s="113">
        <f t="shared" ref="Q120" si="110">Q114+Q117+Q118+Q119</f>
        <v>0</v>
      </c>
      <c r="R120" s="113">
        <f t="shared" si="109"/>
        <v>72532</v>
      </c>
      <c r="S120" s="75"/>
      <c r="T120" s="95"/>
      <c r="U120" s="586"/>
      <c r="V120" s="586"/>
      <c r="W120" s="586"/>
      <c r="X120" s="586"/>
    </row>
    <row r="121" spans="1:24" ht="20.25" customHeight="1" x14ac:dyDescent="0.25">
      <c r="A121" s="90"/>
      <c r="B121" s="79"/>
      <c r="C121" s="104"/>
      <c r="D121" s="104"/>
      <c r="E121" s="104"/>
      <c r="F121" s="104"/>
      <c r="G121" s="90"/>
      <c r="H121" s="90"/>
      <c r="I121" s="104"/>
      <c r="J121" s="104"/>
      <c r="K121" s="104"/>
      <c r="L121" s="104"/>
      <c r="M121" s="90"/>
      <c r="N121" s="79"/>
      <c r="O121" s="104"/>
      <c r="P121" s="104"/>
      <c r="Q121" s="104"/>
      <c r="R121" s="104"/>
      <c r="S121" s="90"/>
      <c r="T121" s="90"/>
      <c r="U121" s="588"/>
      <c r="V121" s="588"/>
      <c r="W121" s="588"/>
      <c r="X121" s="588"/>
    </row>
    <row r="122" spans="1:24" ht="20.25" customHeight="1" x14ac:dyDescent="0.25">
      <c r="A122" s="75"/>
      <c r="B122" s="94" t="s">
        <v>434</v>
      </c>
      <c r="C122" s="103"/>
      <c r="D122" s="103"/>
      <c r="E122" s="103"/>
      <c r="F122" s="103"/>
      <c r="G122" s="75"/>
      <c r="H122" s="94" t="s">
        <v>394</v>
      </c>
      <c r="I122" s="103"/>
      <c r="J122" s="103"/>
      <c r="K122" s="103"/>
      <c r="L122" s="103"/>
      <c r="M122" s="75"/>
      <c r="N122" s="94" t="s">
        <v>434</v>
      </c>
      <c r="O122" s="103"/>
      <c r="P122" s="103"/>
      <c r="Q122" s="103"/>
      <c r="R122" s="103"/>
      <c r="S122" s="75"/>
      <c r="T122" s="94" t="s">
        <v>394</v>
      </c>
      <c r="U122" s="586"/>
      <c r="V122" s="586"/>
      <c r="W122" s="586"/>
      <c r="X122" s="586"/>
    </row>
    <row r="123" spans="1:24" ht="20.25" customHeight="1" x14ac:dyDescent="0.25">
      <c r="A123" s="75"/>
      <c r="B123" s="94" t="s">
        <v>435</v>
      </c>
      <c r="C123" s="103"/>
      <c r="D123" s="103"/>
      <c r="E123" s="103"/>
      <c r="F123" s="103"/>
      <c r="G123" s="75"/>
      <c r="H123" s="94" t="s">
        <v>395</v>
      </c>
      <c r="I123" s="103"/>
      <c r="J123" s="103"/>
      <c r="K123" s="103"/>
      <c r="L123" s="103"/>
      <c r="M123" s="75"/>
      <c r="N123" s="94" t="s">
        <v>435</v>
      </c>
      <c r="O123" s="103"/>
      <c r="P123" s="103"/>
      <c r="Q123" s="103"/>
      <c r="R123" s="103"/>
      <c r="S123" s="75"/>
      <c r="T123" s="94" t="s">
        <v>395</v>
      </c>
      <c r="U123" s="586"/>
      <c r="V123" s="586"/>
      <c r="W123" s="586"/>
      <c r="X123" s="586"/>
    </row>
    <row r="124" spans="1:24" ht="20.25" customHeight="1" x14ac:dyDescent="0.25">
      <c r="A124" s="75"/>
      <c r="B124" s="94" t="s">
        <v>436</v>
      </c>
      <c r="C124" s="103"/>
      <c r="D124" s="103"/>
      <c r="E124" s="103"/>
      <c r="F124" s="103"/>
      <c r="G124" s="75"/>
      <c r="H124" s="94" t="s">
        <v>396</v>
      </c>
      <c r="I124" s="103"/>
      <c r="J124" s="103"/>
      <c r="K124" s="103"/>
      <c r="L124" s="103"/>
      <c r="M124" s="75"/>
      <c r="N124" s="94" t="s">
        <v>436</v>
      </c>
      <c r="O124" s="103"/>
      <c r="P124" s="103"/>
      <c r="Q124" s="103"/>
      <c r="R124" s="103"/>
      <c r="S124" s="75"/>
      <c r="T124" s="94" t="s">
        <v>396</v>
      </c>
      <c r="U124" s="586"/>
      <c r="V124" s="586"/>
      <c r="W124" s="586"/>
      <c r="X124" s="586"/>
    </row>
    <row r="125" spans="1:24" ht="20.25" customHeight="1" x14ac:dyDescent="0.25">
      <c r="A125" s="75"/>
      <c r="B125" s="95" t="s">
        <v>437</v>
      </c>
      <c r="C125" s="103">
        <f>C122+C123+C124</f>
        <v>0</v>
      </c>
      <c r="D125" s="103">
        <f t="shared" ref="D125:F125" si="111">D122+D123+D124</f>
        <v>0</v>
      </c>
      <c r="E125" s="103">
        <f t="shared" ref="E125" si="112">E122+E123+E124</f>
        <v>0</v>
      </c>
      <c r="F125" s="103">
        <f t="shared" si="111"/>
        <v>0</v>
      </c>
      <c r="G125" s="75"/>
      <c r="H125" s="95" t="s">
        <v>398</v>
      </c>
      <c r="I125" s="103">
        <f>I122+I123+I124</f>
        <v>0</v>
      </c>
      <c r="J125" s="103">
        <f t="shared" ref="J125:L125" si="113">J122+J123+J124</f>
        <v>0</v>
      </c>
      <c r="K125" s="103">
        <f t="shared" ref="K125" si="114">K122+K123+K124</f>
        <v>0</v>
      </c>
      <c r="L125" s="103">
        <f t="shared" si="113"/>
        <v>0</v>
      </c>
      <c r="M125" s="75"/>
      <c r="N125" s="95" t="s">
        <v>437</v>
      </c>
      <c r="O125" s="103">
        <f>O122+O123+O124</f>
        <v>0</v>
      </c>
      <c r="P125" s="103">
        <f t="shared" ref="P125:R125" si="115">P122+P123+P124</f>
        <v>0</v>
      </c>
      <c r="Q125" s="103">
        <f t="shared" ref="Q125" si="116">Q122+Q123+Q124</f>
        <v>0</v>
      </c>
      <c r="R125" s="103">
        <f t="shared" si="115"/>
        <v>0</v>
      </c>
      <c r="S125" s="75"/>
      <c r="T125" s="95" t="s">
        <v>398</v>
      </c>
      <c r="U125" s="586">
        <f>U122+U123+U124</f>
        <v>0</v>
      </c>
      <c r="V125" s="586">
        <f>V122+V123+V124</f>
        <v>0</v>
      </c>
      <c r="W125" s="586">
        <f>W122+W123+W124</f>
        <v>0</v>
      </c>
      <c r="X125" s="586">
        <f>X122+X123+X124</f>
        <v>0</v>
      </c>
    </row>
    <row r="126" spans="1:24" ht="20.25" customHeight="1" x14ac:dyDescent="0.25">
      <c r="A126" s="75"/>
      <c r="B126" s="69" t="s">
        <v>438</v>
      </c>
      <c r="C126" s="103"/>
      <c r="D126" s="103"/>
      <c r="E126" s="103"/>
      <c r="F126" s="103"/>
      <c r="G126" s="75"/>
      <c r="H126" s="94" t="s">
        <v>399</v>
      </c>
      <c r="I126" s="103"/>
      <c r="J126" s="103"/>
      <c r="K126" s="103"/>
      <c r="L126" s="103"/>
      <c r="M126" s="75"/>
      <c r="N126" s="69" t="s">
        <v>438</v>
      </c>
      <c r="O126" s="103"/>
      <c r="P126" s="103"/>
      <c r="Q126" s="103"/>
      <c r="R126" s="103"/>
      <c r="S126" s="75"/>
      <c r="T126" s="94" t="s">
        <v>399</v>
      </c>
      <c r="U126" s="586"/>
      <c r="V126" s="586"/>
      <c r="W126" s="586"/>
      <c r="X126" s="586"/>
    </row>
    <row r="127" spans="1:24" ht="20.25" customHeight="1" x14ac:dyDescent="0.25">
      <c r="A127" s="75"/>
      <c r="B127" s="69" t="s">
        <v>439</v>
      </c>
      <c r="C127" s="103"/>
      <c r="D127" s="103"/>
      <c r="E127" s="103"/>
      <c r="F127" s="103"/>
      <c r="G127" s="75"/>
      <c r="H127" s="94" t="s">
        <v>400</v>
      </c>
      <c r="I127" s="103"/>
      <c r="J127" s="103"/>
      <c r="K127" s="103"/>
      <c r="L127" s="103"/>
      <c r="M127" s="75"/>
      <c r="N127" s="69" t="s">
        <v>439</v>
      </c>
      <c r="O127" s="103"/>
      <c r="P127" s="103"/>
      <c r="Q127" s="103"/>
      <c r="R127" s="103"/>
      <c r="S127" s="75"/>
      <c r="T127" s="94" t="s">
        <v>400</v>
      </c>
      <c r="U127" s="586"/>
      <c r="V127" s="586"/>
      <c r="W127" s="586"/>
      <c r="X127" s="586"/>
    </row>
    <row r="128" spans="1:24" ht="20.25" customHeight="1" x14ac:dyDescent="0.25">
      <c r="A128" s="75"/>
      <c r="B128" s="70" t="s">
        <v>440</v>
      </c>
      <c r="C128" s="103">
        <f>C126+C127</f>
        <v>0</v>
      </c>
      <c r="D128" s="103">
        <f t="shared" ref="D128:F128" si="117">D126+D127</f>
        <v>0</v>
      </c>
      <c r="E128" s="103">
        <f t="shared" ref="E128" si="118">E126+E127</f>
        <v>0</v>
      </c>
      <c r="F128" s="103">
        <f t="shared" si="117"/>
        <v>0</v>
      </c>
      <c r="G128" s="75"/>
      <c r="H128" s="95" t="s">
        <v>401</v>
      </c>
      <c r="I128" s="103">
        <f>I126+I127</f>
        <v>0</v>
      </c>
      <c r="J128" s="103">
        <f t="shared" ref="J128:L128" si="119">J126+J127</f>
        <v>0</v>
      </c>
      <c r="K128" s="103">
        <f t="shared" ref="K128" si="120">K126+K127</f>
        <v>0</v>
      </c>
      <c r="L128" s="103">
        <f t="shared" si="119"/>
        <v>0</v>
      </c>
      <c r="M128" s="75"/>
      <c r="N128" s="70" t="s">
        <v>440</v>
      </c>
      <c r="O128" s="103">
        <f>O126+O127</f>
        <v>0</v>
      </c>
      <c r="P128" s="103">
        <f t="shared" ref="P128:R128" si="121">P126+P127</f>
        <v>0</v>
      </c>
      <c r="Q128" s="103">
        <f t="shared" ref="Q128" si="122">Q126+Q127</f>
        <v>0</v>
      </c>
      <c r="R128" s="103">
        <f t="shared" si="121"/>
        <v>0</v>
      </c>
      <c r="S128" s="75"/>
      <c r="T128" s="95" t="s">
        <v>401</v>
      </c>
      <c r="U128" s="586">
        <f>U126+U127</f>
        <v>0</v>
      </c>
      <c r="V128" s="586">
        <f>V126+V127</f>
        <v>0</v>
      </c>
      <c r="W128" s="586">
        <f>W126+W127</f>
        <v>0</v>
      </c>
      <c r="X128" s="586">
        <f>X126+X127</f>
        <v>0</v>
      </c>
    </row>
    <row r="129" spans="1:25" ht="20.25" customHeight="1" x14ac:dyDescent="0.25">
      <c r="A129" s="75"/>
      <c r="B129" s="70" t="s">
        <v>444</v>
      </c>
      <c r="C129" s="103"/>
      <c r="D129" s="103"/>
      <c r="E129" s="103"/>
      <c r="F129" s="103"/>
      <c r="G129" s="75"/>
      <c r="H129" s="95" t="s">
        <v>402</v>
      </c>
      <c r="I129" s="103"/>
      <c r="J129" s="103"/>
      <c r="K129" s="103"/>
      <c r="L129" s="103"/>
      <c r="M129" s="75"/>
      <c r="N129" s="70" t="s">
        <v>444</v>
      </c>
      <c r="O129" s="103"/>
      <c r="P129" s="103"/>
      <c r="Q129" s="103"/>
      <c r="R129" s="103"/>
      <c r="S129" s="75"/>
      <c r="T129" s="95" t="s">
        <v>402</v>
      </c>
      <c r="U129" s="586"/>
      <c r="V129" s="586"/>
      <c r="W129" s="586"/>
      <c r="X129" s="586"/>
    </row>
    <row r="130" spans="1:25" ht="20.25" customHeight="1" x14ac:dyDescent="0.25">
      <c r="A130" s="75"/>
      <c r="B130" s="70" t="s">
        <v>442</v>
      </c>
      <c r="C130" s="103">
        <v>2899</v>
      </c>
      <c r="D130" s="103"/>
      <c r="E130" s="103"/>
      <c r="F130" s="103">
        <f>C130+D130</f>
        <v>2899</v>
      </c>
      <c r="G130" s="75"/>
      <c r="H130" s="75" t="s">
        <v>404</v>
      </c>
      <c r="I130" s="113">
        <f>I125+I128+I129</f>
        <v>0</v>
      </c>
      <c r="J130" s="113">
        <f t="shared" ref="J130:L130" si="123">J125+J128+J129</f>
        <v>0</v>
      </c>
      <c r="K130" s="113">
        <f t="shared" ref="K130" si="124">K125+K128+K129</f>
        <v>0</v>
      </c>
      <c r="L130" s="113">
        <f t="shared" si="123"/>
        <v>0</v>
      </c>
      <c r="M130" s="75"/>
      <c r="N130" s="70" t="s">
        <v>442</v>
      </c>
      <c r="O130" s="103">
        <v>4404</v>
      </c>
      <c r="P130" s="103"/>
      <c r="Q130" s="103"/>
      <c r="R130" s="103">
        <f>O130+P130</f>
        <v>4404</v>
      </c>
      <c r="S130" s="75"/>
      <c r="T130" s="75" t="s">
        <v>404</v>
      </c>
      <c r="U130" s="587">
        <f>U125+U128+U129</f>
        <v>0</v>
      </c>
      <c r="V130" s="587">
        <f>V125+V128+V129</f>
        <v>0</v>
      </c>
      <c r="W130" s="587">
        <f>W125+W128+W129</f>
        <v>0</v>
      </c>
      <c r="X130" s="587">
        <f>X125+X128+X129</f>
        <v>0</v>
      </c>
    </row>
    <row r="131" spans="1:25" ht="20.25" customHeight="1" x14ac:dyDescent="0.25">
      <c r="A131" s="110"/>
      <c r="B131" s="80" t="s">
        <v>445</v>
      </c>
      <c r="C131" s="113">
        <f>C125+C128+C129+C130</f>
        <v>2899</v>
      </c>
      <c r="D131" s="113">
        <f t="shared" ref="D131:F131" si="125">D125+D128+D129+D130</f>
        <v>0</v>
      </c>
      <c r="E131" s="113">
        <f t="shared" ref="E131" si="126">E125+E128+E129+E130</f>
        <v>0</v>
      </c>
      <c r="F131" s="113">
        <f t="shared" si="125"/>
        <v>2899</v>
      </c>
      <c r="G131" s="110"/>
      <c r="H131" s="95"/>
      <c r="I131" s="103"/>
      <c r="J131" s="103"/>
      <c r="K131" s="103"/>
      <c r="L131" s="103"/>
      <c r="M131" s="110"/>
      <c r="N131" s="80" t="s">
        <v>445</v>
      </c>
      <c r="O131" s="113">
        <f>O125+O128+O129+O130</f>
        <v>4404</v>
      </c>
      <c r="P131" s="113">
        <f t="shared" ref="P131:R131" si="127">P125+P128+P129+P130</f>
        <v>0</v>
      </c>
      <c r="Q131" s="113">
        <f t="shared" ref="Q131" si="128">Q125+Q128+Q129+Q130</f>
        <v>0</v>
      </c>
      <c r="R131" s="113">
        <f t="shared" si="127"/>
        <v>4404</v>
      </c>
      <c r="S131" s="110"/>
      <c r="T131" s="95"/>
      <c r="U131" s="586"/>
      <c r="V131" s="586"/>
      <c r="W131" s="586"/>
      <c r="X131" s="586"/>
    </row>
    <row r="132" spans="1:25" ht="20.25" customHeight="1" x14ac:dyDescent="0.25">
      <c r="A132" s="738" t="s">
        <v>143</v>
      </c>
      <c r="B132" s="739"/>
      <c r="C132" s="427">
        <f>C2+C93+C110</f>
        <v>119693.2378</v>
      </c>
      <c r="D132" s="427">
        <f t="shared" ref="D132" si="129">D2+D93+D110</f>
        <v>279</v>
      </c>
      <c r="E132" s="427">
        <f t="shared" ref="E132" si="130">E2+E93+E110</f>
        <v>-13148.999999999996</v>
      </c>
      <c r="F132" s="427">
        <f>F2+F93+F110</f>
        <v>106823.2378</v>
      </c>
      <c r="G132" s="738" t="s">
        <v>144</v>
      </c>
      <c r="H132" s="739"/>
      <c r="I132" s="427">
        <f>I2+I93+I110</f>
        <v>119692.9605168</v>
      </c>
      <c r="J132" s="427">
        <f t="shared" ref="J132:L132" si="131">J2+J93+J110</f>
        <v>279</v>
      </c>
      <c r="K132" s="427">
        <f>K2+K93+K110</f>
        <v>-13148.574803149606</v>
      </c>
      <c r="L132" s="427">
        <f t="shared" si="131"/>
        <v>106823.38571365038</v>
      </c>
      <c r="M132" s="738" t="s">
        <v>143</v>
      </c>
      <c r="N132" s="739"/>
      <c r="O132" s="427">
        <f>O2+O93+O110</f>
        <v>76240</v>
      </c>
      <c r="P132" s="427">
        <f t="shared" ref="P132:R132" si="132">P2+P93+P110</f>
        <v>696</v>
      </c>
      <c r="Q132" s="427">
        <f t="shared" ref="Q132" si="133">Q2+Q93+Q110</f>
        <v>0</v>
      </c>
      <c r="R132" s="427">
        <f t="shared" si="132"/>
        <v>76936</v>
      </c>
      <c r="S132" s="738" t="s">
        <v>144</v>
      </c>
      <c r="T132" s="739"/>
      <c r="U132" s="427">
        <f>U2+U93+U110</f>
        <v>76239.61</v>
      </c>
      <c r="V132" s="427">
        <f>V2+V93+V110</f>
        <v>696</v>
      </c>
      <c r="W132" s="427">
        <f>W2+W93+W110</f>
        <v>0</v>
      </c>
      <c r="X132" s="427">
        <f>X2+X93+X110</f>
        <v>76935.61</v>
      </c>
    </row>
    <row r="134" spans="1:25" x14ac:dyDescent="0.25">
      <c r="I134" s="117">
        <f>C132-I132</f>
        <v>0.27728320000460371</v>
      </c>
      <c r="J134" s="117"/>
      <c r="K134" s="117"/>
      <c r="L134" s="117"/>
      <c r="O134" s="117"/>
      <c r="P134" s="117"/>
      <c r="Q134" s="117"/>
      <c r="R134" s="117"/>
      <c r="U134" s="589">
        <f>O132-U132</f>
        <v>0.38999999999941792</v>
      </c>
      <c r="V134" s="589"/>
      <c r="W134" s="589"/>
      <c r="X134" s="589"/>
      <c r="Y134" s="578"/>
    </row>
    <row r="135" spans="1:25" x14ac:dyDescent="0.25">
      <c r="K135" s="117">
        <f>13149+K132</f>
        <v>0.42519685039405886</v>
      </c>
    </row>
    <row r="136" spans="1:25" x14ac:dyDescent="0.25">
      <c r="I136" s="429"/>
      <c r="J136" s="429"/>
      <c r="K136" s="429"/>
      <c r="L136" s="429"/>
      <c r="M136" s="429"/>
      <c r="U136" s="590"/>
      <c r="V136" s="590"/>
      <c r="W136" s="590"/>
      <c r="X136" s="590"/>
    </row>
    <row r="137" spans="1:25" x14ac:dyDescent="0.25">
      <c r="I137" s="429"/>
      <c r="J137" s="429"/>
      <c r="K137" s="429"/>
      <c r="L137" s="429"/>
      <c r="M137" s="429"/>
    </row>
    <row r="138" spans="1:25" x14ac:dyDescent="0.25">
      <c r="I138" s="429"/>
      <c r="J138" s="429"/>
      <c r="K138" s="429"/>
      <c r="L138" s="429"/>
      <c r="M138" s="429"/>
    </row>
    <row r="139" spans="1:25" x14ac:dyDescent="0.25">
      <c r="I139" s="429"/>
      <c r="J139" s="429"/>
      <c r="K139" s="429"/>
      <c r="L139" s="429"/>
      <c r="M139" s="429"/>
      <c r="U139" s="589"/>
      <c r="V139" s="589"/>
      <c r="W139" s="589"/>
      <c r="X139" s="589"/>
    </row>
    <row r="140" spans="1:25" x14ac:dyDescent="0.25">
      <c r="I140" s="429"/>
      <c r="J140" s="429"/>
      <c r="K140" s="429"/>
      <c r="L140" s="429"/>
      <c r="M140" s="429"/>
    </row>
  </sheetData>
  <mergeCells count="4">
    <mergeCell ref="A132:B132"/>
    <mergeCell ref="G132:H132"/>
    <mergeCell ref="M132:N132"/>
    <mergeCell ref="S132:T1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&amp;CTaksony Nagyközség Önkormányzat 2016. évi költségvetés 
2. sz. módosítás&amp;R5.a.sz. melléklet</oddHeader>
    <oddFooter xml:space="preserve">&amp;LKészült: &amp;D
&amp;R/:Kreisz László://:Dr.Micheller Anita:/       </oddFooter>
  </headerFooter>
  <rowBreaks count="1" manualBreakCount="1">
    <brk id="70" max="19" man="1"/>
  </rowBreaks>
  <colBreaks count="3" manualBreakCount="3">
    <brk id="6" max="131" man="1"/>
    <brk id="12" max="131" man="1"/>
    <brk id="18" max="131" man="1"/>
  </colBreaks>
  <ignoredErrors>
    <ignoredError sqref="C39 U44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L97"/>
  <sheetViews>
    <sheetView view="pageBreakPreview" zoomScale="70" zoomScaleNormal="70" zoomScaleSheetLayoutView="70" workbookViewId="0">
      <pane ySplit="1" topLeftCell="A2" activePane="bottomLeft" state="frozen"/>
      <selection activeCell="G32" sqref="G32"/>
      <selection pane="bottomLeft" activeCell="F97" sqref="F97"/>
    </sheetView>
  </sheetViews>
  <sheetFormatPr defaultRowHeight="15" x14ac:dyDescent="0.25"/>
  <cols>
    <col min="1" max="1" width="6.7109375" style="21" customWidth="1"/>
    <col min="2" max="2" width="71.5703125" style="21" customWidth="1"/>
    <col min="3" max="6" width="20.85546875" style="21" customWidth="1"/>
    <col min="7" max="7" width="6.7109375" style="21" customWidth="1"/>
    <col min="8" max="8" width="69.5703125" style="21" bestFit="1" customWidth="1"/>
    <col min="9" max="12" width="20.7109375" style="21" customWidth="1"/>
    <col min="13" max="16384" width="9.140625" style="21"/>
  </cols>
  <sheetData>
    <row r="1" spans="1:12" ht="40.5" customHeight="1" x14ac:dyDescent="0.25">
      <c r="A1" s="76"/>
      <c r="B1" s="77" t="s">
        <v>519</v>
      </c>
      <c r="C1" s="76" t="s">
        <v>1101</v>
      </c>
      <c r="D1" s="76" t="s">
        <v>1106</v>
      </c>
      <c r="E1" s="657" t="s">
        <v>1110</v>
      </c>
      <c r="F1" s="76" t="s">
        <v>1102</v>
      </c>
      <c r="G1" s="76"/>
      <c r="H1" s="77" t="s">
        <v>520</v>
      </c>
      <c r="I1" s="76" t="s">
        <v>1101</v>
      </c>
      <c r="J1" s="76" t="s">
        <v>1106</v>
      </c>
      <c r="K1" s="657" t="s">
        <v>1110</v>
      </c>
      <c r="L1" s="76" t="s">
        <v>1102</v>
      </c>
    </row>
    <row r="2" spans="1:12" ht="20.25" customHeight="1" x14ac:dyDescent="0.25">
      <c r="A2" s="689"/>
      <c r="B2" s="690" t="s">
        <v>180</v>
      </c>
      <c r="C2" s="691">
        <f>C3+C18+C25+C36</f>
        <v>15185</v>
      </c>
      <c r="D2" s="691">
        <f t="shared" ref="D2" si="0">D3+D18+D25+D36</f>
        <v>0</v>
      </c>
      <c r="E2" s="691">
        <f t="shared" ref="E2" si="1">E3+E18+E25+E36</f>
        <v>0</v>
      </c>
      <c r="F2" s="691">
        <f>F3+F18+F25+F36</f>
        <v>15185</v>
      </c>
      <c r="G2" s="689"/>
      <c r="H2" s="690" t="s">
        <v>196</v>
      </c>
      <c r="I2" s="691">
        <f>I3+I7+I18+I25+I36</f>
        <v>42191.136652000001</v>
      </c>
      <c r="J2" s="691">
        <f t="shared" ref="J2:L2" si="2">J3+J7+J18+J25+J36</f>
        <v>1068</v>
      </c>
      <c r="K2" s="691">
        <f t="shared" ref="K2" si="3">K3+K7+K18+K25+K36</f>
        <v>0</v>
      </c>
      <c r="L2" s="691">
        <f t="shared" si="2"/>
        <v>43259.136652000001</v>
      </c>
    </row>
    <row r="3" spans="1:12" ht="20.25" customHeight="1" x14ac:dyDescent="0.25">
      <c r="A3" s="421" t="s">
        <v>23</v>
      </c>
      <c r="B3" s="422" t="s">
        <v>312</v>
      </c>
      <c r="C3" s="423">
        <f>C4+C12+C13+C14+C15+C16</f>
        <v>12045</v>
      </c>
      <c r="D3" s="423">
        <f t="shared" ref="D3:F3" si="4">D4+D12+D13+D14+D15+D16</f>
        <v>0</v>
      </c>
      <c r="E3" s="423">
        <f t="shared" ref="E3" si="5">E4+E12+E13+E14+E15+E16</f>
        <v>0</v>
      </c>
      <c r="F3" s="423">
        <f t="shared" si="4"/>
        <v>12045</v>
      </c>
      <c r="G3" s="421" t="s">
        <v>23</v>
      </c>
      <c r="H3" s="414" t="s">
        <v>213</v>
      </c>
      <c r="I3" s="415">
        <f>SUM(I4:I5)</f>
        <v>25471.752</v>
      </c>
      <c r="J3" s="415">
        <f t="shared" ref="J3:L3" si="6">SUM(J4:J5)</f>
        <v>841</v>
      </c>
      <c r="K3" s="415">
        <f t="shared" ref="K3" si="7">SUM(K4:K5)</f>
        <v>0</v>
      </c>
      <c r="L3" s="415">
        <f t="shared" si="6"/>
        <v>26312.752</v>
      </c>
    </row>
    <row r="4" spans="1:12" ht="20.25" customHeight="1" x14ac:dyDescent="0.25">
      <c r="A4" s="70"/>
      <c r="B4" s="111" t="s">
        <v>247</v>
      </c>
      <c r="C4" s="109">
        <f>SUM(C5:C8)</f>
        <v>0</v>
      </c>
      <c r="D4" s="109">
        <f t="shared" ref="D4:F4" si="8">SUM(D5:D8)</f>
        <v>0</v>
      </c>
      <c r="E4" s="109">
        <f t="shared" ref="E4" si="9">SUM(E5:E8)</f>
        <v>0</v>
      </c>
      <c r="F4" s="109">
        <f t="shared" si="8"/>
        <v>0</v>
      </c>
      <c r="G4" s="80"/>
      <c r="H4" s="69" t="s">
        <v>507</v>
      </c>
      <c r="I4" s="97">
        <f>'6.a szociális részletes'!I12</f>
        <v>23043</v>
      </c>
      <c r="J4" s="97">
        <f>'6.a szociális részletes'!J12</f>
        <v>841</v>
      </c>
      <c r="K4" s="97">
        <f>'6.a szociális részletes'!K12</f>
        <v>0</v>
      </c>
      <c r="L4" s="97">
        <f>'6.a szociális részletes'!L12</f>
        <v>23884</v>
      </c>
    </row>
    <row r="5" spans="1:12" ht="24" customHeight="1" x14ac:dyDescent="0.25">
      <c r="A5" s="80"/>
      <c r="B5" s="84" t="s">
        <v>248</v>
      </c>
      <c r="C5" s="109"/>
      <c r="D5" s="109"/>
      <c r="E5" s="109"/>
      <c r="F5" s="109"/>
      <c r="G5" s="80"/>
      <c r="H5" s="69" t="s">
        <v>508</v>
      </c>
      <c r="I5" s="97">
        <f>'6.a szociális részletes'!I17</f>
        <v>2428.752</v>
      </c>
      <c r="J5" s="97">
        <f>'6.a szociális részletes'!J17</f>
        <v>0</v>
      </c>
      <c r="K5" s="97">
        <f>'6.a szociális részletes'!K17</f>
        <v>0</v>
      </c>
      <c r="L5" s="97">
        <f>'6.a szociális részletes'!L17</f>
        <v>2428.752</v>
      </c>
    </row>
    <row r="6" spans="1:12" ht="24" customHeight="1" x14ac:dyDescent="0.25">
      <c r="A6" s="80"/>
      <c r="B6" s="84" t="s">
        <v>249</v>
      </c>
      <c r="C6" s="109"/>
      <c r="D6" s="109"/>
      <c r="E6" s="109"/>
      <c r="F6" s="109"/>
      <c r="G6" s="80"/>
      <c r="H6" s="69"/>
      <c r="I6" s="97"/>
      <c r="J6" s="97"/>
      <c r="K6" s="97"/>
      <c r="L6" s="97"/>
    </row>
    <row r="7" spans="1:12" ht="22.5" customHeight="1" x14ac:dyDescent="0.25">
      <c r="A7" s="80"/>
      <c r="B7" s="84" t="s">
        <v>250</v>
      </c>
      <c r="C7" s="109">
        <f>'6.a szociális részletes'!C7</f>
        <v>0</v>
      </c>
      <c r="D7" s="109">
        <f>'6.a szociális részletes'!D7</f>
        <v>0</v>
      </c>
      <c r="E7" s="109">
        <f>'6.a szociális részletes'!E7</f>
        <v>0</v>
      </c>
      <c r="F7" s="109">
        <f>'6.a szociális részletes'!F7</f>
        <v>0</v>
      </c>
      <c r="G7" s="421" t="s">
        <v>45</v>
      </c>
      <c r="H7" s="422" t="s">
        <v>214</v>
      </c>
      <c r="I7" s="423">
        <f>'6.a szociális részletes'!I18</f>
        <v>6869.6886519999998</v>
      </c>
      <c r="J7" s="423">
        <f>'6.a szociális részletes'!J18</f>
        <v>227</v>
      </c>
      <c r="K7" s="423">
        <f>'6.a szociális részletes'!K18</f>
        <v>0</v>
      </c>
      <c r="L7" s="423">
        <f>'6.a szociális részletes'!L18</f>
        <v>7096.6886519999998</v>
      </c>
    </row>
    <row r="8" spans="1:12" ht="22.5" customHeight="1" x14ac:dyDescent="0.25">
      <c r="A8" s="80"/>
      <c r="B8" s="84" t="s">
        <v>251</v>
      </c>
      <c r="C8" s="109"/>
      <c r="D8" s="109"/>
      <c r="E8" s="109"/>
      <c r="F8" s="109"/>
      <c r="G8" s="80"/>
      <c r="H8" s="69"/>
      <c r="I8" s="97"/>
      <c r="J8" s="97"/>
      <c r="K8" s="97"/>
      <c r="L8" s="97"/>
    </row>
    <row r="9" spans="1:12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0"/>
      <c r="H9" s="69"/>
      <c r="I9" s="97"/>
      <c r="J9" s="97"/>
      <c r="K9" s="97"/>
      <c r="L9" s="97"/>
    </row>
    <row r="10" spans="1:12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5"/>
      <c r="H10" s="69"/>
      <c r="I10" s="98"/>
      <c r="J10" s="98"/>
      <c r="K10" s="98"/>
      <c r="L10" s="98"/>
    </row>
    <row r="11" spans="1:12" ht="20.25" customHeight="1" x14ac:dyDescent="0.25">
      <c r="A11" s="80"/>
      <c r="B11" s="115"/>
      <c r="C11" s="88"/>
      <c r="D11" s="88"/>
      <c r="E11" s="88"/>
      <c r="F11" s="88"/>
      <c r="G11" s="85"/>
      <c r="H11" s="69"/>
      <c r="I11" s="99"/>
      <c r="J11" s="99"/>
      <c r="K11" s="99"/>
      <c r="L11" s="99"/>
    </row>
    <row r="12" spans="1:12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7"/>
      <c r="J12" s="107"/>
      <c r="K12" s="107"/>
      <c r="L12" s="107"/>
    </row>
    <row r="13" spans="1:12" ht="30" x14ac:dyDescent="0.25">
      <c r="A13" s="70"/>
      <c r="B13" s="84" t="s">
        <v>256</v>
      </c>
      <c r="C13" s="109"/>
      <c r="D13" s="109"/>
      <c r="E13" s="109"/>
      <c r="F13" s="109"/>
      <c r="G13" s="85"/>
      <c r="H13" s="69"/>
      <c r="I13" s="99"/>
      <c r="J13" s="99"/>
      <c r="K13" s="99"/>
      <c r="L13" s="99"/>
    </row>
    <row r="14" spans="1:12" ht="29.25" customHeight="1" x14ac:dyDescent="0.25">
      <c r="A14" s="70"/>
      <c r="B14" s="84" t="s">
        <v>257</v>
      </c>
      <c r="C14" s="109"/>
      <c r="D14" s="109"/>
      <c r="E14" s="109"/>
      <c r="F14" s="109"/>
      <c r="G14" s="85"/>
      <c r="H14" s="69"/>
      <c r="I14" s="99"/>
      <c r="J14" s="99"/>
      <c r="K14" s="99"/>
      <c r="L14" s="99"/>
    </row>
    <row r="15" spans="1:12" ht="29.25" customHeight="1" x14ac:dyDescent="0.25">
      <c r="A15" s="70"/>
      <c r="B15" s="84" t="s">
        <v>258</v>
      </c>
      <c r="C15" s="109"/>
      <c r="D15" s="109"/>
      <c r="E15" s="109"/>
      <c r="F15" s="109"/>
      <c r="G15" s="85"/>
      <c r="H15" s="69"/>
      <c r="I15" s="99"/>
      <c r="J15" s="99"/>
      <c r="K15" s="99"/>
      <c r="L15" s="99"/>
    </row>
    <row r="16" spans="1:12" ht="29.25" customHeight="1" x14ac:dyDescent="0.25">
      <c r="A16" s="70"/>
      <c r="B16" s="84" t="s">
        <v>259</v>
      </c>
      <c r="C16" s="109">
        <f>'6.a szociális részletes'!C17</f>
        <v>12045</v>
      </c>
      <c r="D16" s="109">
        <f>'6.a szociális részletes'!D17</f>
        <v>0</v>
      </c>
      <c r="E16" s="109">
        <f>'6.a szociális részletes'!E17</f>
        <v>0</v>
      </c>
      <c r="F16" s="109">
        <f>'6.a szociális részletes'!F17</f>
        <v>12045</v>
      </c>
      <c r="G16" s="85"/>
      <c r="H16" s="88"/>
      <c r="I16" s="107"/>
      <c r="J16" s="107"/>
      <c r="K16" s="107"/>
      <c r="L16" s="107"/>
    </row>
    <row r="17" spans="1:12" ht="18.75" customHeight="1" x14ac:dyDescent="0.25">
      <c r="A17" s="70"/>
      <c r="C17" s="109"/>
      <c r="D17" s="109"/>
      <c r="E17" s="109"/>
      <c r="F17" s="109"/>
      <c r="H17" s="88"/>
      <c r="I17" s="99"/>
      <c r="J17" s="99"/>
      <c r="K17" s="99"/>
      <c r="L17" s="99"/>
    </row>
    <row r="18" spans="1:12" ht="20.25" customHeight="1" x14ac:dyDescent="0.25">
      <c r="A18" s="421" t="s">
        <v>45</v>
      </c>
      <c r="B18" s="422" t="s">
        <v>266</v>
      </c>
      <c r="C18" s="423">
        <f>C19+C20+C24</f>
        <v>0</v>
      </c>
      <c r="D18" s="423">
        <f t="shared" ref="D18:F18" si="10">D19+D20+D24</f>
        <v>0</v>
      </c>
      <c r="E18" s="423">
        <f t="shared" ref="E18" si="11">E19+E20+E24</f>
        <v>0</v>
      </c>
      <c r="F18" s="423">
        <f t="shared" si="10"/>
        <v>0</v>
      </c>
      <c r="G18" s="421" t="s">
        <v>56</v>
      </c>
      <c r="H18" s="422" t="s">
        <v>215</v>
      </c>
      <c r="I18" s="423">
        <f>SUM(I19:I23)</f>
        <v>9849.6959999999999</v>
      </c>
      <c r="J18" s="423">
        <f t="shared" ref="J18:L18" si="12">SUM(J19:J23)</f>
        <v>0</v>
      </c>
      <c r="K18" s="423">
        <f t="shared" ref="K18" si="13">SUM(K19:K23)</f>
        <v>0</v>
      </c>
      <c r="L18" s="423">
        <f t="shared" si="12"/>
        <v>9849.6959999999999</v>
      </c>
    </row>
    <row r="19" spans="1:12" ht="20.25" customHeight="1" x14ac:dyDescent="0.25">
      <c r="A19" s="86"/>
      <c r="B19" s="88" t="s">
        <v>267</v>
      </c>
      <c r="C19" s="97"/>
      <c r="D19" s="97"/>
      <c r="E19" s="97"/>
      <c r="F19" s="97"/>
      <c r="G19" s="71"/>
      <c r="H19" s="119" t="s">
        <v>238</v>
      </c>
      <c r="I19" s="107">
        <f>'6.a szociális részletes'!I35</f>
        <v>1047.5</v>
      </c>
      <c r="J19" s="107">
        <f>'6.a szociális részletes'!J35</f>
        <v>0</v>
      </c>
      <c r="K19" s="107">
        <f>'6.a szociális részletes'!K35</f>
        <v>0</v>
      </c>
      <c r="L19" s="107">
        <f>'6.a szociális részletes'!L35</f>
        <v>1047.5</v>
      </c>
    </row>
    <row r="20" spans="1:12" ht="20.25" customHeight="1" x14ac:dyDescent="0.25">
      <c r="A20" s="86"/>
      <c r="B20" s="88" t="s">
        <v>268</v>
      </c>
      <c r="C20" s="97"/>
      <c r="D20" s="97"/>
      <c r="E20" s="97"/>
      <c r="F20" s="97"/>
      <c r="G20" s="71"/>
      <c r="H20" s="119" t="s">
        <v>239</v>
      </c>
      <c r="I20" s="107">
        <f>'6.a szociális részletes'!I38</f>
        <v>492</v>
      </c>
      <c r="J20" s="107">
        <f>'6.a szociális részletes'!J38</f>
        <v>0</v>
      </c>
      <c r="K20" s="107">
        <f>'6.a szociális részletes'!K38</f>
        <v>0</v>
      </c>
      <c r="L20" s="107">
        <f>'6.a szociális részletes'!L38</f>
        <v>492</v>
      </c>
    </row>
    <row r="21" spans="1:12" ht="20.25" customHeight="1" x14ac:dyDescent="0.25">
      <c r="A21" s="86"/>
      <c r="B21" s="88" t="s">
        <v>269</v>
      </c>
      <c r="C21" s="97"/>
      <c r="D21" s="97"/>
      <c r="E21" s="97"/>
      <c r="F21" s="97"/>
      <c r="G21" s="71"/>
      <c r="H21" s="119" t="s">
        <v>240</v>
      </c>
      <c r="I21" s="107">
        <f>'6.a szociális részletes'!I55</f>
        <v>5476.0086614173233</v>
      </c>
      <c r="J21" s="107">
        <f>'6.a szociális részletes'!J55</f>
        <v>3</v>
      </c>
      <c r="K21" s="107">
        <f>'6.a szociális részletes'!K55</f>
        <v>0</v>
      </c>
      <c r="L21" s="107">
        <f>'6.a szociális részletes'!L55</f>
        <v>5479.0086614173233</v>
      </c>
    </row>
    <row r="22" spans="1:12" ht="20.25" customHeight="1" x14ac:dyDescent="0.25">
      <c r="A22" s="86"/>
      <c r="B22" s="88" t="s">
        <v>270</v>
      </c>
      <c r="C22" s="97"/>
      <c r="D22" s="97"/>
      <c r="E22" s="97"/>
      <c r="F22" s="97"/>
      <c r="G22" s="71"/>
      <c r="H22" s="119" t="s">
        <v>241</v>
      </c>
      <c r="I22" s="107">
        <f>'6.a szociális részletes'!I58</f>
        <v>860</v>
      </c>
      <c r="J22" s="107">
        <f>'6.a szociális részletes'!J58</f>
        <v>10</v>
      </c>
      <c r="K22" s="107">
        <f>'6.a szociális részletes'!K58</f>
        <v>0</v>
      </c>
      <c r="L22" s="107">
        <f>'6.a szociális részletes'!L58</f>
        <v>870</v>
      </c>
    </row>
    <row r="23" spans="1:12" ht="20.25" customHeight="1" x14ac:dyDescent="0.25">
      <c r="A23" s="86"/>
      <c r="B23" s="88" t="s">
        <v>271</v>
      </c>
      <c r="C23" s="97"/>
      <c r="D23" s="97"/>
      <c r="E23" s="97"/>
      <c r="F23" s="97"/>
      <c r="G23" s="71"/>
      <c r="H23" s="119" t="s">
        <v>242</v>
      </c>
      <c r="I23" s="107">
        <f>'6.a szociális részletes'!I64</f>
        <v>1974.1873385826775</v>
      </c>
      <c r="J23" s="107">
        <f>'6.a szociális részletes'!J64</f>
        <v>-13</v>
      </c>
      <c r="K23" s="107">
        <f>'6.a szociális részletes'!K64</f>
        <v>0</v>
      </c>
      <c r="L23" s="107">
        <f>'6.a szociális részletes'!L64</f>
        <v>1961.1873385826775</v>
      </c>
    </row>
    <row r="24" spans="1:12" ht="20.25" customHeight="1" x14ac:dyDescent="0.25">
      <c r="A24" s="86"/>
      <c r="B24" s="88" t="s">
        <v>272</v>
      </c>
      <c r="C24" s="97"/>
      <c r="D24" s="97"/>
      <c r="E24" s="97"/>
      <c r="F24" s="97"/>
      <c r="G24" s="71"/>
      <c r="H24" s="71"/>
      <c r="I24" s="99"/>
      <c r="J24" s="99"/>
      <c r="K24" s="99"/>
      <c r="L24" s="99"/>
    </row>
    <row r="25" spans="1:12" ht="20.25" customHeight="1" x14ac:dyDescent="0.25">
      <c r="A25" s="421" t="s">
        <v>56</v>
      </c>
      <c r="B25" s="422" t="s">
        <v>273</v>
      </c>
      <c r="C25" s="423">
        <f>SUM(C26:C35)</f>
        <v>3140</v>
      </c>
      <c r="D25" s="423">
        <f t="shared" ref="D25:F25" si="14">SUM(D26:D35)</f>
        <v>0</v>
      </c>
      <c r="E25" s="423">
        <f t="shared" ref="E25" si="15">SUM(E26:E35)</f>
        <v>0</v>
      </c>
      <c r="F25" s="423">
        <f t="shared" si="14"/>
        <v>3140</v>
      </c>
      <c r="G25" s="421" t="s">
        <v>64</v>
      </c>
      <c r="H25" s="422" t="s">
        <v>216</v>
      </c>
      <c r="I25" s="423">
        <f>'6.a szociális részletes'!I65</f>
        <v>0</v>
      </c>
      <c r="J25" s="423">
        <f>'6.a szociális részletes'!J65</f>
        <v>0</v>
      </c>
      <c r="K25" s="423">
        <f>'6.a szociális részletes'!K65</f>
        <v>0</v>
      </c>
      <c r="L25" s="423">
        <f>'6.a szociális részletes'!L65</f>
        <v>0</v>
      </c>
    </row>
    <row r="26" spans="1:12" ht="20.25" customHeight="1" x14ac:dyDescent="0.25">
      <c r="A26" s="86"/>
      <c r="B26" s="89" t="s">
        <v>274</v>
      </c>
      <c r="C26" s="103"/>
      <c r="D26" s="103"/>
      <c r="E26" s="103"/>
      <c r="F26" s="103"/>
      <c r="G26" s="71"/>
      <c r="H26" s="71" t="s">
        <v>202</v>
      </c>
      <c r="I26" s="102"/>
      <c r="J26" s="102"/>
      <c r="K26" s="102"/>
      <c r="L26" s="102"/>
    </row>
    <row r="27" spans="1:12" ht="20.25" customHeight="1" x14ac:dyDescent="0.25">
      <c r="A27" s="86"/>
      <c r="B27" s="89" t="s">
        <v>275</v>
      </c>
      <c r="C27" s="103"/>
      <c r="D27" s="103"/>
      <c r="E27" s="103"/>
      <c r="F27" s="103"/>
      <c r="G27" s="71"/>
      <c r="H27" s="88" t="s">
        <v>203</v>
      </c>
      <c r="I27" s="102"/>
      <c r="J27" s="102"/>
      <c r="K27" s="102"/>
      <c r="L27" s="102"/>
    </row>
    <row r="28" spans="1:12" ht="20.25" customHeight="1" x14ac:dyDescent="0.25">
      <c r="A28" s="86"/>
      <c r="B28" s="89" t="s">
        <v>276</v>
      </c>
      <c r="C28" s="103"/>
      <c r="D28" s="103"/>
      <c r="E28" s="103"/>
      <c r="F28" s="103"/>
      <c r="G28" s="71"/>
      <c r="H28" s="71" t="s">
        <v>204</v>
      </c>
      <c r="I28" s="102"/>
      <c r="J28" s="102"/>
      <c r="K28" s="102"/>
      <c r="L28" s="102"/>
    </row>
    <row r="29" spans="1:12" ht="20.25" customHeight="1" x14ac:dyDescent="0.25">
      <c r="A29" s="86"/>
      <c r="B29" s="89" t="s">
        <v>277</v>
      </c>
      <c r="C29" s="103"/>
      <c r="D29" s="103"/>
      <c r="E29" s="103"/>
      <c r="F29" s="103"/>
      <c r="G29" s="71"/>
      <c r="H29" s="71" t="s">
        <v>205</v>
      </c>
      <c r="I29" s="102"/>
      <c r="J29" s="102"/>
      <c r="K29" s="102"/>
      <c r="L29" s="102"/>
    </row>
    <row r="30" spans="1:12" ht="20.25" customHeight="1" x14ac:dyDescent="0.25">
      <c r="A30" s="86"/>
      <c r="B30" s="89" t="s">
        <v>278</v>
      </c>
      <c r="C30" s="103">
        <f>'6.a szociális részletes'!C34</f>
        <v>3140</v>
      </c>
      <c r="D30" s="103">
        <f>'6.a szociális részletes'!D34</f>
        <v>0</v>
      </c>
      <c r="E30" s="103">
        <f>'6.a szociális részletes'!E34</f>
        <v>0</v>
      </c>
      <c r="F30" s="103">
        <f>'6.a szociális részletes'!F34</f>
        <v>3140</v>
      </c>
      <c r="G30" s="71"/>
      <c r="H30" s="71" t="s">
        <v>206</v>
      </c>
      <c r="I30" s="102"/>
      <c r="J30" s="102"/>
      <c r="K30" s="102"/>
      <c r="L30" s="102"/>
    </row>
    <row r="31" spans="1:12" ht="20.25" customHeight="1" x14ac:dyDescent="0.25">
      <c r="A31" s="86"/>
      <c r="B31" s="89" t="s">
        <v>279</v>
      </c>
      <c r="C31" s="103"/>
      <c r="D31" s="103"/>
      <c r="E31" s="103"/>
      <c r="F31" s="103"/>
      <c r="G31" s="71"/>
      <c r="H31" s="71" t="s">
        <v>207</v>
      </c>
      <c r="I31" s="102"/>
      <c r="J31" s="102"/>
      <c r="K31" s="102"/>
      <c r="L31" s="102"/>
    </row>
    <row r="32" spans="1:12" ht="20.25" customHeight="1" x14ac:dyDescent="0.25">
      <c r="A32" s="86"/>
      <c r="B32" s="89" t="s">
        <v>280</v>
      </c>
      <c r="C32" s="103"/>
      <c r="D32" s="103"/>
      <c r="E32" s="103"/>
      <c r="F32" s="103"/>
      <c r="G32" s="71"/>
      <c r="H32" s="71"/>
      <c r="I32" s="99"/>
      <c r="J32" s="99"/>
      <c r="K32" s="99"/>
      <c r="L32" s="99"/>
    </row>
    <row r="33" spans="1:12" ht="20.25" customHeight="1" x14ac:dyDescent="0.25">
      <c r="A33" s="86"/>
      <c r="B33" s="89" t="s">
        <v>281</v>
      </c>
      <c r="C33" s="103"/>
      <c r="D33" s="103"/>
      <c r="E33" s="103"/>
      <c r="F33" s="103"/>
      <c r="G33" s="71"/>
      <c r="I33" s="107"/>
      <c r="J33" s="107"/>
      <c r="K33" s="107"/>
      <c r="L33" s="107"/>
    </row>
    <row r="34" spans="1:12" ht="20.25" customHeight="1" x14ac:dyDescent="0.25">
      <c r="A34" s="86"/>
      <c r="B34" s="89" t="s">
        <v>282</v>
      </c>
      <c r="C34" s="103"/>
      <c r="D34" s="103"/>
      <c r="E34" s="103"/>
      <c r="F34" s="103"/>
      <c r="G34" s="71"/>
      <c r="H34" s="71"/>
      <c r="I34" s="99"/>
      <c r="J34" s="99"/>
      <c r="K34" s="99"/>
      <c r="L34" s="99"/>
    </row>
    <row r="35" spans="1:12" ht="20.25" customHeight="1" x14ac:dyDescent="0.25">
      <c r="A35" s="86"/>
      <c r="B35" s="89" t="s">
        <v>283</v>
      </c>
      <c r="C35" s="103"/>
      <c r="D35" s="103"/>
      <c r="E35" s="103"/>
      <c r="F35" s="103"/>
      <c r="G35" s="71"/>
      <c r="H35" s="71"/>
      <c r="I35" s="99"/>
      <c r="J35" s="99"/>
      <c r="K35" s="99"/>
      <c r="L35" s="99"/>
    </row>
    <row r="36" spans="1:12" ht="20.25" customHeight="1" x14ac:dyDescent="0.25">
      <c r="A36" s="421" t="s">
        <v>64</v>
      </c>
      <c r="B36" s="422" t="s">
        <v>290</v>
      </c>
      <c r="C36" s="423">
        <f>C37+C38+C39</f>
        <v>0</v>
      </c>
      <c r="D36" s="423">
        <f t="shared" ref="D36:F36" si="16">D37+D38+D39</f>
        <v>0</v>
      </c>
      <c r="E36" s="423">
        <f t="shared" ref="E36" si="17">E37+E38+E39</f>
        <v>0</v>
      </c>
      <c r="F36" s="423">
        <f t="shared" si="16"/>
        <v>0</v>
      </c>
      <c r="G36" s="421" t="s">
        <v>100</v>
      </c>
      <c r="H36" s="422" t="s">
        <v>237</v>
      </c>
      <c r="I36" s="423">
        <f>'6.a szociális részletes'!I72</f>
        <v>0</v>
      </c>
      <c r="J36" s="423">
        <f>'6.a szociális részletes'!J72</f>
        <v>0</v>
      </c>
      <c r="K36" s="423">
        <f>'6.a szociális részletes'!K72</f>
        <v>0</v>
      </c>
      <c r="L36" s="423">
        <f>'6.a szociális részletes'!L72</f>
        <v>0</v>
      </c>
    </row>
    <row r="37" spans="1:12" ht="30" x14ac:dyDescent="0.25">
      <c r="A37" s="86"/>
      <c r="B37" s="89" t="s">
        <v>291</v>
      </c>
      <c r="C37" s="103"/>
      <c r="D37" s="103"/>
      <c r="E37" s="103"/>
      <c r="F37" s="103"/>
      <c r="G37" s="71"/>
      <c r="H37" s="71" t="s">
        <v>208</v>
      </c>
      <c r="I37" s="108" t="s">
        <v>253</v>
      </c>
      <c r="J37" s="108"/>
      <c r="K37" s="108"/>
      <c r="L37" s="108"/>
    </row>
    <row r="38" spans="1:12" ht="28.5" customHeight="1" x14ac:dyDescent="0.25">
      <c r="A38" s="86"/>
      <c r="B38" s="84" t="s">
        <v>292</v>
      </c>
      <c r="C38" s="103"/>
      <c r="D38" s="103"/>
      <c r="E38" s="103"/>
      <c r="F38" s="103"/>
      <c r="G38" s="71"/>
      <c r="H38" s="71" t="s">
        <v>210</v>
      </c>
      <c r="I38" s="102"/>
      <c r="J38" s="102"/>
      <c r="K38" s="102"/>
      <c r="L38" s="102"/>
    </row>
    <row r="39" spans="1:12" ht="19.5" customHeight="1" x14ac:dyDescent="0.25">
      <c r="A39" s="86"/>
      <c r="B39" s="89" t="s">
        <v>293</v>
      </c>
      <c r="C39" s="103"/>
      <c r="D39" s="103"/>
      <c r="E39" s="103"/>
      <c r="F39" s="103"/>
      <c r="G39" s="71"/>
      <c r="H39" s="71" t="s">
        <v>209</v>
      </c>
      <c r="I39" s="102"/>
      <c r="J39" s="102"/>
      <c r="K39" s="102"/>
      <c r="L39" s="102"/>
    </row>
    <row r="40" spans="1:12" ht="19.5" customHeight="1" x14ac:dyDescent="0.25">
      <c r="A40" s="86"/>
      <c r="B40" s="89"/>
      <c r="C40" s="103"/>
      <c r="D40" s="103"/>
      <c r="E40" s="103"/>
      <c r="F40" s="103"/>
      <c r="G40" s="71"/>
      <c r="H40" s="71" t="s">
        <v>211</v>
      </c>
      <c r="I40" s="102"/>
      <c r="J40" s="102"/>
      <c r="K40" s="102"/>
      <c r="L40" s="102"/>
    </row>
    <row r="41" spans="1:12" ht="19.5" customHeight="1" x14ac:dyDescent="0.25">
      <c r="A41" s="86"/>
      <c r="B41" s="89"/>
      <c r="C41" s="101"/>
      <c r="D41" s="101"/>
      <c r="E41" s="101"/>
      <c r="F41" s="101"/>
      <c r="G41" s="71"/>
      <c r="H41" s="71" t="s">
        <v>377</v>
      </c>
      <c r="I41" s="102"/>
      <c r="J41" s="102"/>
      <c r="K41" s="102"/>
      <c r="L41" s="102"/>
    </row>
    <row r="42" spans="1:12" ht="19.5" customHeight="1" x14ac:dyDescent="0.25">
      <c r="A42" s="86"/>
      <c r="B42" s="89"/>
      <c r="C42" s="101"/>
      <c r="D42" s="101"/>
      <c r="E42" s="101"/>
      <c r="F42" s="101"/>
      <c r="G42" s="71"/>
      <c r="H42" s="71" t="s">
        <v>212</v>
      </c>
      <c r="I42" s="102"/>
      <c r="J42" s="102"/>
      <c r="K42" s="102"/>
      <c r="L42" s="102"/>
    </row>
    <row r="43" spans="1:12" ht="19.5" customHeight="1" x14ac:dyDescent="0.25">
      <c r="A43" s="86"/>
      <c r="B43" s="89"/>
      <c r="C43" s="101"/>
      <c r="D43" s="101"/>
      <c r="E43" s="101"/>
      <c r="F43" s="101"/>
      <c r="G43" s="73"/>
      <c r="H43" s="83"/>
      <c r="I43" s="102"/>
      <c r="J43" s="102"/>
      <c r="K43" s="102"/>
      <c r="L43" s="102"/>
    </row>
    <row r="44" spans="1:12" ht="19.5" customHeight="1" x14ac:dyDescent="0.25">
      <c r="A44" s="86"/>
      <c r="B44" s="89"/>
      <c r="C44" s="101"/>
      <c r="D44" s="101"/>
      <c r="E44" s="101"/>
      <c r="F44" s="101"/>
      <c r="G44" s="71"/>
      <c r="H44" s="71"/>
      <c r="I44" s="102"/>
      <c r="J44" s="102"/>
      <c r="K44" s="102"/>
      <c r="L44" s="102"/>
    </row>
    <row r="45" spans="1:12" ht="19.5" customHeight="1" x14ac:dyDescent="0.25">
      <c r="A45" s="86"/>
      <c r="B45" s="89"/>
      <c r="C45" s="101"/>
      <c r="D45" s="101"/>
      <c r="E45" s="101"/>
      <c r="F45" s="101"/>
      <c r="G45" s="71"/>
      <c r="H45" s="88"/>
      <c r="I45" s="102"/>
      <c r="J45" s="102"/>
      <c r="K45" s="102"/>
      <c r="L45" s="102"/>
    </row>
    <row r="46" spans="1:12" ht="19.5" customHeight="1" x14ac:dyDescent="0.25">
      <c r="A46" s="86"/>
      <c r="B46" s="89"/>
      <c r="C46" s="101"/>
      <c r="D46" s="101"/>
      <c r="E46" s="101"/>
      <c r="F46" s="101"/>
      <c r="G46" s="71"/>
      <c r="H46" s="71"/>
      <c r="I46" s="102"/>
      <c r="J46" s="102"/>
      <c r="K46" s="102"/>
      <c r="L46" s="102"/>
    </row>
    <row r="47" spans="1:12" ht="19.5" customHeight="1" x14ac:dyDescent="0.25">
      <c r="A47" s="86"/>
      <c r="B47" s="89"/>
      <c r="C47" s="101"/>
      <c r="D47" s="101"/>
      <c r="E47" s="101"/>
      <c r="F47" s="101"/>
      <c r="G47" s="71"/>
      <c r="H47" s="71"/>
      <c r="I47" s="102"/>
      <c r="J47" s="102"/>
      <c r="K47" s="102"/>
      <c r="L47" s="102"/>
    </row>
    <row r="48" spans="1:12" ht="19.5" customHeight="1" x14ac:dyDescent="0.25">
      <c r="A48" s="86"/>
      <c r="B48" s="89"/>
      <c r="C48" s="101"/>
      <c r="D48" s="101"/>
      <c r="E48" s="101"/>
      <c r="F48" s="101"/>
      <c r="G48" s="71"/>
      <c r="H48" s="71"/>
      <c r="I48" s="102"/>
      <c r="J48" s="102"/>
      <c r="K48" s="102"/>
      <c r="L48" s="102"/>
    </row>
    <row r="49" spans="1:12" ht="19.5" customHeight="1" x14ac:dyDescent="0.25">
      <c r="A49" s="86"/>
      <c r="B49" s="89"/>
      <c r="C49" s="101"/>
      <c r="D49" s="101"/>
      <c r="E49" s="101"/>
      <c r="F49" s="101"/>
      <c r="G49" s="71"/>
      <c r="H49" s="71"/>
      <c r="I49" s="102"/>
      <c r="J49" s="102"/>
      <c r="K49" s="102"/>
      <c r="L49" s="102"/>
    </row>
    <row r="50" spans="1:12" ht="19.5" customHeight="1" x14ac:dyDescent="0.25">
      <c r="A50" s="86"/>
      <c r="B50" s="87"/>
      <c r="C50" s="101"/>
      <c r="D50" s="101"/>
      <c r="E50" s="101"/>
      <c r="F50" s="101"/>
      <c r="G50" s="88"/>
      <c r="H50" s="88"/>
      <c r="I50" s="88"/>
      <c r="J50" s="88"/>
      <c r="K50" s="88"/>
      <c r="L50" s="88"/>
    </row>
    <row r="51" spans="1:12" ht="21.75" customHeight="1" x14ac:dyDescent="0.25">
      <c r="A51" s="86"/>
      <c r="B51" s="89"/>
      <c r="C51" s="101"/>
      <c r="D51" s="101"/>
      <c r="E51" s="101"/>
      <c r="F51" s="101"/>
      <c r="G51" s="88"/>
      <c r="H51" s="88"/>
      <c r="I51" s="88"/>
      <c r="J51" s="88"/>
      <c r="K51" s="88"/>
      <c r="L51" s="88"/>
    </row>
    <row r="52" spans="1:12" ht="21.75" customHeight="1" x14ac:dyDescent="0.25">
      <c r="A52" s="86"/>
      <c r="B52" s="84"/>
      <c r="C52" s="101"/>
      <c r="D52" s="101"/>
      <c r="E52" s="101"/>
      <c r="F52" s="101"/>
      <c r="G52" s="88"/>
      <c r="H52" s="88"/>
      <c r="I52" s="88"/>
      <c r="J52" s="88"/>
      <c r="K52" s="88"/>
      <c r="L52" s="88"/>
    </row>
    <row r="53" spans="1:12" ht="19.5" customHeight="1" x14ac:dyDescent="0.25">
      <c r="A53" s="86"/>
      <c r="B53" s="89"/>
      <c r="C53" s="101"/>
      <c r="D53" s="101"/>
      <c r="E53" s="101"/>
      <c r="F53" s="101"/>
      <c r="G53" s="88"/>
      <c r="H53" s="88"/>
      <c r="I53" s="88"/>
      <c r="J53" s="88"/>
      <c r="K53" s="88"/>
      <c r="L53" s="88"/>
    </row>
    <row r="54" spans="1:12" ht="19.5" customHeight="1" x14ac:dyDescent="0.25">
      <c r="A54" s="86"/>
      <c r="B54" s="89"/>
      <c r="C54" s="101"/>
      <c r="D54" s="101"/>
      <c r="E54" s="101"/>
      <c r="F54" s="101"/>
      <c r="G54" s="88"/>
      <c r="H54" s="88"/>
      <c r="I54" s="88"/>
      <c r="J54" s="88"/>
      <c r="K54" s="88"/>
      <c r="L54" s="88"/>
    </row>
    <row r="55" spans="1:12" ht="19.5" customHeight="1" x14ac:dyDescent="0.25">
      <c r="A55" s="86"/>
      <c r="B55" s="89"/>
      <c r="C55" s="101"/>
      <c r="D55" s="101"/>
      <c r="E55" s="101"/>
      <c r="F55" s="101"/>
      <c r="G55" s="88"/>
      <c r="H55" s="88"/>
      <c r="I55" s="88"/>
      <c r="J55" s="88"/>
      <c r="K55" s="88"/>
      <c r="L55" s="88"/>
    </row>
    <row r="56" spans="1:12" ht="20.25" customHeight="1" x14ac:dyDescent="0.25">
      <c r="A56" s="86"/>
      <c r="B56" s="89"/>
      <c r="C56" s="101"/>
      <c r="D56" s="101"/>
      <c r="E56" s="101"/>
      <c r="F56" s="101"/>
      <c r="G56" s="88"/>
      <c r="H56" s="88"/>
      <c r="I56" s="88"/>
      <c r="J56" s="88"/>
      <c r="K56" s="88"/>
      <c r="L56" s="88"/>
    </row>
    <row r="57" spans="1:12" ht="20.25" customHeight="1" x14ac:dyDescent="0.25">
      <c r="A57" s="689"/>
      <c r="B57" s="690" t="s">
        <v>192</v>
      </c>
      <c r="C57" s="691">
        <f>C58+C64+C70</f>
        <v>0</v>
      </c>
      <c r="D57" s="691">
        <f t="shared" ref="D57:F57" si="18">D58+D64+D70</f>
        <v>0</v>
      </c>
      <c r="E57" s="691">
        <f t="shared" ref="E57" si="19">E58+E64+E70</f>
        <v>0</v>
      </c>
      <c r="F57" s="691">
        <f t="shared" si="18"/>
        <v>0</v>
      </c>
      <c r="G57" s="689"/>
      <c r="H57" s="690" t="s">
        <v>200</v>
      </c>
      <c r="I57" s="691">
        <f>I58+I66+I71</f>
        <v>620</v>
      </c>
      <c r="J57" s="691">
        <f t="shared" ref="J57" si="20">J58+J66+J71</f>
        <v>0</v>
      </c>
      <c r="K57" s="691">
        <f t="shared" ref="K57:L57" si="21">K58+K66+K71</f>
        <v>463</v>
      </c>
      <c r="L57" s="691">
        <f t="shared" si="21"/>
        <v>1083</v>
      </c>
    </row>
    <row r="58" spans="1:12" ht="20.25" customHeight="1" x14ac:dyDescent="0.25">
      <c r="A58" s="421" t="s">
        <v>100</v>
      </c>
      <c r="B58" s="422" t="s">
        <v>260</v>
      </c>
      <c r="C58" s="423">
        <f>SUM(C59:C63)</f>
        <v>0</v>
      </c>
      <c r="D58" s="423">
        <f t="shared" ref="D58:F58" si="22">SUM(D59:D63)</f>
        <v>0</v>
      </c>
      <c r="E58" s="423">
        <f t="shared" ref="E58" si="23">SUM(E59:E63)</f>
        <v>0</v>
      </c>
      <c r="F58" s="423">
        <f t="shared" si="22"/>
        <v>0</v>
      </c>
      <c r="G58" s="421" t="s">
        <v>181</v>
      </c>
      <c r="H58" s="422" t="s">
        <v>217</v>
      </c>
      <c r="I58" s="423">
        <f>SUM(I59:I65)</f>
        <v>620</v>
      </c>
      <c r="J58" s="423">
        <f t="shared" ref="J58" si="24">SUM(J59:J65)</f>
        <v>0</v>
      </c>
      <c r="K58" s="423">
        <f t="shared" ref="K58:L58" si="25">SUM(K59:K65)</f>
        <v>463</v>
      </c>
      <c r="L58" s="423">
        <f t="shared" si="25"/>
        <v>1083</v>
      </c>
    </row>
    <row r="59" spans="1:12" ht="20.25" customHeight="1" x14ac:dyDescent="0.25">
      <c r="A59" s="86"/>
      <c r="B59" s="84" t="s">
        <v>261</v>
      </c>
      <c r="C59" s="103"/>
      <c r="D59" s="103"/>
      <c r="E59" s="103"/>
      <c r="F59" s="103"/>
      <c r="G59" s="86"/>
      <c r="H59" s="92" t="s">
        <v>218</v>
      </c>
      <c r="I59" s="97"/>
      <c r="J59" s="97"/>
      <c r="K59" s="97"/>
      <c r="L59" s="97"/>
    </row>
    <row r="60" spans="1:12" ht="29.25" customHeight="1" x14ac:dyDescent="0.25">
      <c r="A60" s="86"/>
      <c r="B60" s="84" t="s">
        <v>262</v>
      </c>
      <c r="C60" s="103"/>
      <c r="D60" s="103"/>
      <c r="E60" s="103"/>
      <c r="F60" s="103"/>
      <c r="G60" s="86"/>
      <c r="H60" s="92" t="s">
        <v>219</v>
      </c>
      <c r="I60" s="97"/>
      <c r="J60" s="97"/>
      <c r="K60" s="97"/>
      <c r="L60" s="97"/>
    </row>
    <row r="61" spans="1:12" ht="29.25" customHeight="1" x14ac:dyDescent="0.25">
      <c r="A61" s="86"/>
      <c r="B61" s="84" t="s">
        <v>263</v>
      </c>
      <c r="C61" s="103"/>
      <c r="D61" s="103"/>
      <c r="E61" s="103"/>
      <c r="F61" s="103"/>
      <c r="G61" s="71"/>
      <c r="H61" s="71" t="s">
        <v>220</v>
      </c>
      <c r="I61" s="100">
        <f>'6.a szociális részletes'!I83</f>
        <v>0</v>
      </c>
      <c r="J61" s="100">
        <f>'6.a szociális részletes'!J83</f>
        <v>0</v>
      </c>
      <c r="K61" s="100">
        <f>'6.a szociális részletes'!K83</f>
        <v>365</v>
      </c>
      <c r="L61" s="100">
        <f>'6.a szociális részletes'!L83</f>
        <v>365</v>
      </c>
    </row>
    <row r="62" spans="1:12" ht="29.25" customHeight="1" x14ac:dyDescent="0.25">
      <c r="A62" s="86"/>
      <c r="B62" s="84" t="s">
        <v>264</v>
      </c>
      <c r="C62" s="103"/>
      <c r="D62" s="103"/>
      <c r="E62" s="103"/>
      <c r="F62" s="103"/>
      <c r="G62" s="71"/>
      <c r="H62" s="71" t="s">
        <v>221</v>
      </c>
      <c r="I62" s="100">
        <f>'6.a szociális részletes'!I84</f>
        <v>488.18897637795277</v>
      </c>
      <c r="J62" s="100">
        <f>'6.a szociális részletes'!J84</f>
        <v>0</v>
      </c>
      <c r="K62" s="100">
        <f>'6.a szociális részletes'!K84</f>
        <v>0</v>
      </c>
      <c r="L62" s="100">
        <f>'6.a szociális részletes'!L84</f>
        <v>488.18897637795277</v>
      </c>
    </row>
    <row r="63" spans="1:12" ht="21" customHeight="1" x14ac:dyDescent="0.25">
      <c r="A63" s="86"/>
      <c r="B63" s="84" t="s">
        <v>265</v>
      </c>
      <c r="C63" s="103"/>
      <c r="D63" s="103"/>
      <c r="E63" s="103"/>
      <c r="F63" s="103"/>
      <c r="G63" s="71"/>
      <c r="H63" s="71" t="s">
        <v>222</v>
      </c>
      <c r="I63" s="100"/>
      <c r="J63" s="100"/>
      <c r="K63" s="100"/>
      <c r="L63" s="100"/>
    </row>
    <row r="64" spans="1:12" ht="20.25" customHeight="1" x14ac:dyDescent="0.25">
      <c r="A64" s="421" t="s">
        <v>181</v>
      </c>
      <c r="B64" s="422" t="s">
        <v>284</v>
      </c>
      <c r="C64" s="423">
        <f>SUM(C65:C69)</f>
        <v>0</v>
      </c>
      <c r="D64" s="423">
        <f t="shared" ref="D64:F64" si="26">SUM(D65:D69)</f>
        <v>0</v>
      </c>
      <c r="E64" s="423">
        <f t="shared" ref="E64" si="27">SUM(E65:E69)</f>
        <v>0</v>
      </c>
      <c r="F64" s="423">
        <f t="shared" si="26"/>
        <v>0</v>
      </c>
      <c r="G64" s="71"/>
      <c r="H64" s="71" t="s">
        <v>223</v>
      </c>
      <c r="I64" s="100"/>
      <c r="J64" s="100"/>
      <c r="K64" s="100"/>
      <c r="L64" s="100"/>
    </row>
    <row r="65" spans="1:12" ht="20.25" customHeight="1" x14ac:dyDescent="0.25">
      <c r="A65" s="86"/>
      <c r="B65" s="89" t="s">
        <v>285</v>
      </c>
      <c r="C65" s="103"/>
      <c r="D65" s="103"/>
      <c r="E65" s="103"/>
      <c r="F65" s="103"/>
      <c r="G65" s="71"/>
      <c r="H65" s="71" t="s">
        <v>224</v>
      </c>
      <c r="I65" s="100">
        <f>'6.a szociális részletes'!I87</f>
        <v>131.81102362204726</v>
      </c>
      <c r="J65" s="100">
        <f>'6.a szociális részletes'!J87</f>
        <v>0</v>
      </c>
      <c r="K65" s="100">
        <f>'6.a szociális részletes'!K87</f>
        <v>98</v>
      </c>
      <c r="L65" s="100">
        <f>'6.a szociális részletes'!L87</f>
        <v>229.81102362204726</v>
      </c>
    </row>
    <row r="66" spans="1:12" ht="20.25" customHeight="1" x14ac:dyDescent="0.25">
      <c r="A66" s="86"/>
      <c r="B66" s="89" t="s">
        <v>286</v>
      </c>
      <c r="C66" s="103"/>
      <c r="D66" s="103"/>
      <c r="E66" s="103"/>
      <c r="F66" s="103"/>
      <c r="G66" s="421" t="s">
        <v>191</v>
      </c>
      <c r="H66" s="422" t="s">
        <v>225</v>
      </c>
      <c r="I66" s="423">
        <f>SUM(I67:I70)</f>
        <v>0</v>
      </c>
      <c r="J66" s="423">
        <f t="shared" ref="J66" si="28">SUM(J67:J70)</f>
        <v>0</v>
      </c>
      <c r="K66" s="423">
        <f t="shared" ref="K66:L66" si="29">SUM(K67:K70)</f>
        <v>0</v>
      </c>
      <c r="L66" s="423">
        <f t="shared" si="29"/>
        <v>0</v>
      </c>
    </row>
    <row r="67" spans="1:12" ht="20.25" customHeight="1" x14ac:dyDescent="0.25">
      <c r="A67" s="86"/>
      <c r="B67" s="89" t="s">
        <v>287</v>
      </c>
      <c r="C67" s="103"/>
      <c r="D67" s="103"/>
      <c r="E67" s="103"/>
      <c r="F67" s="103"/>
      <c r="G67" s="71"/>
      <c r="H67" s="71" t="s">
        <v>226</v>
      </c>
      <c r="I67" s="100">
        <f>'6.a szociális részletes'!I89</f>
        <v>0</v>
      </c>
      <c r="J67" s="100">
        <f>'6.a szociális részletes'!J89</f>
        <v>0</v>
      </c>
      <c r="K67" s="100">
        <f>'6.a szociális részletes'!K89</f>
        <v>0</v>
      </c>
      <c r="L67" s="100">
        <f>'6.a szociális részletes'!L89</f>
        <v>0</v>
      </c>
    </row>
    <row r="68" spans="1:12" ht="20.25" customHeight="1" x14ac:dyDescent="0.25">
      <c r="A68" s="86"/>
      <c r="B68" s="89" t="s">
        <v>288</v>
      </c>
      <c r="C68" s="103"/>
      <c r="D68" s="103"/>
      <c r="E68" s="103"/>
      <c r="F68" s="103"/>
      <c r="G68" s="71"/>
      <c r="H68" s="71" t="s">
        <v>227</v>
      </c>
      <c r="I68" s="100">
        <f>'6.a szociális részletes'!I90</f>
        <v>0</v>
      </c>
      <c r="J68" s="100">
        <f>'6.a szociális részletes'!J90</f>
        <v>0</v>
      </c>
      <c r="K68" s="100">
        <f>'6.a szociális részletes'!K90</f>
        <v>0</v>
      </c>
      <c r="L68" s="100">
        <f>'6.a szociális részletes'!L90</f>
        <v>0</v>
      </c>
    </row>
    <row r="69" spans="1:12" ht="20.25" customHeight="1" x14ac:dyDescent="0.25">
      <c r="A69" s="86"/>
      <c r="B69" s="89" t="s">
        <v>289</v>
      </c>
      <c r="C69" s="103"/>
      <c r="D69" s="103"/>
      <c r="E69" s="103"/>
      <c r="F69" s="103"/>
      <c r="G69" s="71"/>
      <c r="H69" s="71" t="s">
        <v>228</v>
      </c>
      <c r="I69" s="100">
        <f>'6.a szociális részletes'!I91</f>
        <v>0</v>
      </c>
      <c r="J69" s="100">
        <f>'6.a szociális részletes'!J91</f>
        <v>0</v>
      </c>
      <c r="K69" s="100">
        <f>'6.a szociális részletes'!K91</f>
        <v>0</v>
      </c>
      <c r="L69" s="100">
        <f>'6.a szociális részletes'!L91</f>
        <v>0</v>
      </c>
    </row>
    <row r="70" spans="1:12" ht="20.25" customHeight="1" x14ac:dyDescent="0.25">
      <c r="A70" s="421" t="s">
        <v>191</v>
      </c>
      <c r="B70" s="422" t="s">
        <v>294</v>
      </c>
      <c r="C70" s="423">
        <f>C71+C72+C73</f>
        <v>0</v>
      </c>
      <c r="D70" s="423">
        <f t="shared" ref="D70:F70" si="30">D71+D72+D73</f>
        <v>0</v>
      </c>
      <c r="E70" s="423">
        <f t="shared" ref="E70" si="31">E71+E72+E73</f>
        <v>0</v>
      </c>
      <c r="F70" s="423">
        <f t="shared" si="30"/>
        <v>0</v>
      </c>
      <c r="G70" s="71"/>
      <c r="H70" s="71" t="s">
        <v>229</v>
      </c>
      <c r="I70" s="100">
        <f>'6.a szociális részletes'!I92</f>
        <v>0</v>
      </c>
      <c r="J70" s="100">
        <f>'6.a szociális részletes'!J92</f>
        <v>0</v>
      </c>
      <c r="K70" s="100">
        <f>'6.a szociális részletes'!K92</f>
        <v>0</v>
      </c>
      <c r="L70" s="100">
        <f>'6.a szociális részletes'!L92</f>
        <v>0</v>
      </c>
    </row>
    <row r="71" spans="1:12" ht="29.25" customHeight="1" x14ac:dyDescent="0.25">
      <c r="A71" s="86"/>
      <c r="B71" s="89" t="s">
        <v>295</v>
      </c>
      <c r="C71" s="103"/>
      <c r="D71" s="103"/>
      <c r="E71" s="103"/>
      <c r="F71" s="103"/>
      <c r="G71" s="421" t="s">
        <v>199</v>
      </c>
      <c r="H71" s="422" t="s">
        <v>230</v>
      </c>
      <c r="I71" s="423">
        <f>'6.a szociális részletes'!I93</f>
        <v>0</v>
      </c>
      <c r="J71" s="423">
        <f>'6.a szociális részletes'!J93</f>
        <v>0</v>
      </c>
      <c r="K71" s="423">
        <f>'6.a szociális részletes'!K93</f>
        <v>0</v>
      </c>
      <c r="L71" s="423">
        <f>'6.a szociális részletes'!L93</f>
        <v>0</v>
      </c>
    </row>
    <row r="72" spans="1:12" ht="29.25" customHeight="1" x14ac:dyDescent="0.25">
      <c r="A72" s="86"/>
      <c r="B72" s="84" t="s">
        <v>296</v>
      </c>
      <c r="C72" s="103"/>
      <c r="D72" s="103"/>
      <c r="E72" s="103"/>
      <c r="F72" s="103"/>
      <c r="G72" s="71"/>
      <c r="H72" s="71"/>
      <c r="I72" s="100"/>
      <c r="J72" s="100"/>
      <c r="K72" s="100"/>
      <c r="L72" s="100"/>
    </row>
    <row r="73" spans="1:12" ht="21" customHeight="1" x14ac:dyDescent="0.25">
      <c r="A73" s="86"/>
      <c r="B73" s="89" t="s">
        <v>297</v>
      </c>
      <c r="C73" s="103"/>
      <c r="D73" s="103"/>
      <c r="E73" s="103"/>
      <c r="F73" s="103"/>
      <c r="G73" s="71"/>
      <c r="H73" s="71"/>
      <c r="I73" s="100"/>
      <c r="J73" s="100"/>
      <c r="K73" s="100"/>
      <c r="L73" s="100"/>
    </row>
    <row r="74" spans="1:12" ht="20.25" customHeight="1" x14ac:dyDescent="0.25">
      <c r="A74" s="689"/>
      <c r="B74" s="690" t="s">
        <v>298</v>
      </c>
      <c r="C74" s="691">
        <f>C84+C95</f>
        <v>27626</v>
      </c>
      <c r="D74" s="691">
        <f t="shared" ref="D74:F74" si="32">D84+D95</f>
        <v>1068</v>
      </c>
      <c r="E74" s="691">
        <f t="shared" ref="E74" si="33">E84+E95</f>
        <v>463</v>
      </c>
      <c r="F74" s="691">
        <f t="shared" si="32"/>
        <v>29157</v>
      </c>
      <c r="G74" s="689"/>
      <c r="H74" s="690" t="s">
        <v>299</v>
      </c>
      <c r="I74" s="691">
        <f>I83+I94</f>
        <v>0</v>
      </c>
      <c r="J74" s="691">
        <f t="shared" ref="J74" si="34">J83+J94</f>
        <v>0</v>
      </c>
      <c r="K74" s="691">
        <f t="shared" ref="K74:L74" si="35">K83+K94</f>
        <v>0</v>
      </c>
      <c r="L74" s="691">
        <f t="shared" si="35"/>
        <v>0</v>
      </c>
    </row>
    <row r="75" spans="1:12" ht="21" customHeight="1" x14ac:dyDescent="0.25">
      <c r="A75" s="75"/>
      <c r="B75" s="94" t="s">
        <v>300</v>
      </c>
      <c r="C75" s="103"/>
      <c r="D75" s="103"/>
      <c r="E75" s="103"/>
      <c r="F75" s="103"/>
      <c r="G75" s="75"/>
      <c r="H75" s="94" t="s">
        <v>231</v>
      </c>
      <c r="I75" s="103"/>
      <c r="J75" s="103"/>
      <c r="K75" s="103"/>
      <c r="L75" s="103"/>
    </row>
    <row r="76" spans="1:12" ht="20.25" customHeight="1" x14ac:dyDescent="0.25">
      <c r="A76" s="75"/>
      <c r="B76" s="94" t="s">
        <v>301</v>
      </c>
      <c r="C76" s="103"/>
      <c r="D76" s="103"/>
      <c r="E76" s="103"/>
      <c r="F76" s="103"/>
      <c r="G76" s="75"/>
      <c r="H76" s="94" t="s">
        <v>232</v>
      </c>
      <c r="I76" s="103"/>
      <c r="J76" s="103"/>
      <c r="K76" s="103"/>
      <c r="L76" s="103"/>
    </row>
    <row r="77" spans="1:12" ht="20.25" customHeight="1" x14ac:dyDescent="0.25">
      <c r="A77" s="75"/>
      <c r="B77" s="94" t="s">
        <v>302</v>
      </c>
      <c r="C77" s="103"/>
      <c r="D77" s="103"/>
      <c r="E77" s="103"/>
      <c r="F77" s="103"/>
      <c r="G77" s="75"/>
      <c r="H77" s="94" t="s">
        <v>233</v>
      </c>
      <c r="I77" s="103"/>
      <c r="J77" s="103"/>
      <c r="K77" s="103"/>
      <c r="L77" s="103"/>
    </row>
    <row r="78" spans="1:12" ht="20.25" customHeight="1" x14ac:dyDescent="0.25">
      <c r="A78" s="75"/>
      <c r="B78" s="95" t="s">
        <v>303</v>
      </c>
      <c r="C78" s="103">
        <f>C75+C76+C77</f>
        <v>0</v>
      </c>
      <c r="D78" s="103">
        <f t="shared" ref="D78:F78" si="36">D75+D76+D77</f>
        <v>0</v>
      </c>
      <c r="E78" s="103">
        <f t="shared" ref="E78" si="37">E75+E76+E77</f>
        <v>0</v>
      </c>
      <c r="F78" s="103">
        <f t="shared" si="36"/>
        <v>0</v>
      </c>
      <c r="G78" s="75"/>
      <c r="H78" s="95" t="s">
        <v>243</v>
      </c>
      <c r="I78" s="103">
        <f>I75+I76+I77</f>
        <v>0</v>
      </c>
      <c r="J78" s="103">
        <f t="shared" ref="J78" si="38">J75+J76+J77</f>
        <v>0</v>
      </c>
      <c r="K78" s="103">
        <f t="shared" ref="K78:L78" si="39">K75+K76+K77</f>
        <v>0</v>
      </c>
      <c r="L78" s="103">
        <f t="shared" si="39"/>
        <v>0</v>
      </c>
    </row>
    <row r="79" spans="1:12" ht="20.25" customHeight="1" x14ac:dyDescent="0.25">
      <c r="A79" s="75"/>
      <c r="B79" s="69" t="s">
        <v>304</v>
      </c>
      <c r="C79" s="103"/>
      <c r="D79" s="103"/>
      <c r="E79" s="103"/>
      <c r="F79" s="103"/>
      <c r="G79" s="75"/>
      <c r="H79" s="94" t="s">
        <v>235</v>
      </c>
      <c r="I79" s="103"/>
      <c r="J79" s="103"/>
      <c r="K79" s="103"/>
      <c r="L79" s="103"/>
    </row>
    <row r="80" spans="1:12" ht="20.25" customHeight="1" x14ac:dyDescent="0.25">
      <c r="A80" s="75"/>
      <c r="B80" s="69" t="s">
        <v>305</v>
      </c>
      <c r="C80" s="103"/>
      <c r="D80" s="103"/>
      <c r="E80" s="103"/>
      <c r="F80" s="103"/>
      <c r="G80" s="75"/>
      <c r="H80" s="94" t="s">
        <v>234</v>
      </c>
      <c r="I80" s="103"/>
      <c r="J80" s="103"/>
      <c r="K80" s="103"/>
      <c r="L80" s="103"/>
    </row>
    <row r="81" spans="1:12" ht="20.25" customHeight="1" x14ac:dyDescent="0.25">
      <c r="A81" s="75"/>
      <c r="B81" s="70" t="s">
        <v>306</v>
      </c>
      <c r="C81" s="103">
        <f>C79+C80</f>
        <v>0</v>
      </c>
      <c r="D81" s="103">
        <f t="shared" ref="D81" si="40">D79+D80</f>
        <v>0</v>
      </c>
      <c r="E81" s="103">
        <f t="shared" ref="E81" si="41">E79+E80</f>
        <v>0</v>
      </c>
      <c r="F81" s="103">
        <f t="shared" ref="F81" si="42">F79+F80</f>
        <v>0</v>
      </c>
      <c r="G81" s="75"/>
      <c r="H81" s="95" t="s">
        <v>244</v>
      </c>
      <c r="I81" s="103">
        <f>I79+I80</f>
        <v>0</v>
      </c>
      <c r="J81" s="103">
        <f t="shared" ref="J81" si="43">J79+J80</f>
        <v>0</v>
      </c>
      <c r="K81" s="103">
        <f t="shared" ref="K81:L81" si="44">K79+K80</f>
        <v>0</v>
      </c>
      <c r="L81" s="103">
        <f t="shared" si="44"/>
        <v>0</v>
      </c>
    </row>
    <row r="82" spans="1:12" ht="20.25" customHeight="1" x14ac:dyDescent="0.25">
      <c r="A82" s="75"/>
      <c r="B82" s="70" t="s">
        <v>307</v>
      </c>
      <c r="C82" s="103">
        <f>'6.a szociális részletes'!C104</f>
        <v>29</v>
      </c>
      <c r="D82" s="103">
        <f>'6.a szociális részletes'!D104</f>
        <v>0</v>
      </c>
      <c r="E82" s="103">
        <f>'6.a szociális részletes'!E104</f>
        <v>1374</v>
      </c>
      <c r="F82" s="103">
        <f>'6.a szociális részletes'!F104</f>
        <v>1403</v>
      </c>
      <c r="G82" s="75"/>
      <c r="H82" s="95" t="s">
        <v>236</v>
      </c>
      <c r="I82" s="103"/>
      <c r="J82" s="103"/>
      <c r="K82" s="103"/>
      <c r="L82" s="103"/>
    </row>
    <row r="83" spans="1:12" ht="20.25" customHeight="1" x14ac:dyDescent="0.25">
      <c r="A83" s="75"/>
      <c r="B83" s="70" t="s">
        <v>308</v>
      </c>
      <c r="C83" s="103">
        <f>'6.a szociális részletes'!C105</f>
        <v>26977</v>
      </c>
      <c r="D83" s="103">
        <f>'6.a szociális részletes'!D105</f>
        <v>1068</v>
      </c>
      <c r="E83" s="103">
        <f>'6.a szociális részletes'!E105</f>
        <v>-911</v>
      </c>
      <c r="F83" s="103">
        <f>'6.a szociális részletes'!F105</f>
        <v>27134</v>
      </c>
      <c r="G83" s="75"/>
      <c r="H83" s="75" t="s">
        <v>245</v>
      </c>
      <c r="I83" s="113">
        <f>I78+I81+I82</f>
        <v>0</v>
      </c>
      <c r="J83" s="113">
        <f t="shared" ref="J83" si="45">J78+J81+J82</f>
        <v>0</v>
      </c>
      <c r="K83" s="113">
        <f t="shared" ref="K83:L83" si="46">K78+K81+K82</f>
        <v>0</v>
      </c>
      <c r="L83" s="113">
        <f t="shared" si="46"/>
        <v>0</v>
      </c>
    </row>
    <row r="84" spans="1:12" ht="20.25" customHeight="1" x14ac:dyDescent="0.25">
      <c r="A84" s="75"/>
      <c r="B84" s="80" t="s">
        <v>309</v>
      </c>
      <c r="C84" s="113">
        <f>C78+C81+C82+C83</f>
        <v>27006</v>
      </c>
      <c r="D84" s="113">
        <f t="shared" ref="D84" si="47">D78+D81+D82+D83</f>
        <v>1068</v>
      </c>
      <c r="E84" s="113">
        <f t="shared" ref="E84" si="48">E78+E81+E82+E83</f>
        <v>463</v>
      </c>
      <c r="F84" s="113">
        <f t="shared" ref="F84" si="49">F78+F81+F82+F83</f>
        <v>28537</v>
      </c>
      <c r="G84" s="75"/>
      <c r="H84" s="95"/>
      <c r="I84" s="103"/>
      <c r="J84" s="103"/>
      <c r="K84" s="103"/>
      <c r="L84" s="103"/>
    </row>
    <row r="85" spans="1:12" ht="20.25" customHeight="1" x14ac:dyDescent="0.25">
      <c r="A85" s="90"/>
      <c r="B85" s="79"/>
      <c r="C85" s="104"/>
      <c r="D85" s="104"/>
      <c r="E85" s="104"/>
      <c r="F85" s="104"/>
      <c r="G85" s="90"/>
      <c r="H85" s="90"/>
      <c r="I85" s="104"/>
      <c r="J85" s="104"/>
      <c r="K85" s="104"/>
      <c r="L85" s="104"/>
    </row>
    <row r="86" spans="1:12" ht="20.25" customHeight="1" x14ac:dyDescent="0.25">
      <c r="A86" s="75"/>
      <c r="B86" s="94" t="s">
        <v>300</v>
      </c>
      <c r="C86" s="103"/>
      <c r="D86" s="103"/>
      <c r="E86" s="103"/>
      <c r="F86" s="103"/>
      <c r="G86" s="75"/>
      <c r="H86" s="94" t="s">
        <v>231</v>
      </c>
      <c r="I86" s="103"/>
      <c r="J86" s="103"/>
      <c r="K86" s="103"/>
      <c r="L86" s="103"/>
    </row>
    <row r="87" spans="1:12" ht="20.25" customHeight="1" x14ac:dyDescent="0.25">
      <c r="A87" s="75"/>
      <c r="B87" s="94" t="s">
        <v>301</v>
      </c>
      <c r="C87" s="103"/>
      <c r="D87" s="103"/>
      <c r="E87" s="103"/>
      <c r="F87" s="103"/>
      <c r="G87" s="75"/>
      <c r="H87" s="94" t="s">
        <v>232</v>
      </c>
      <c r="I87" s="103"/>
      <c r="J87" s="103"/>
      <c r="K87" s="103"/>
      <c r="L87" s="103"/>
    </row>
    <row r="88" spans="1:12" ht="20.25" customHeight="1" x14ac:dyDescent="0.25">
      <c r="A88" s="75"/>
      <c r="B88" s="94" t="s">
        <v>302</v>
      </c>
      <c r="C88" s="103"/>
      <c r="D88" s="103"/>
      <c r="E88" s="103"/>
      <c r="F88" s="103"/>
      <c r="G88" s="75"/>
      <c r="H88" s="94" t="s">
        <v>233</v>
      </c>
      <c r="I88" s="103"/>
      <c r="J88" s="103"/>
      <c r="K88" s="103"/>
      <c r="L88" s="103"/>
    </row>
    <row r="89" spans="1:12" ht="20.25" customHeight="1" x14ac:dyDescent="0.25">
      <c r="A89" s="75"/>
      <c r="B89" s="95" t="s">
        <v>303</v>
      </c>
      <c r="C89" s="103">
        <f>C86+C87+C88</f>
        <v>0</v>
      </c>
      <c r="D89" s="103">
        <f t="shared" ref="D89:F89" si="50">D86+D87+D88</f>
        <v>0</v>
      </c>
      <c r="E89" s="103">
        <f t="shared" ref="E89" si="51">E86+E87+E88</f>
        <v>0</v>
      </c>
      <c r="F89" s="103">
        <f t="shared" si="50"/>
        <v>0</v>
      </c>
      <c r="G89" s="75"/>
      <c r="H89" s="95" t="s">
        <v>243</v>
      </c>
      <c r="I89" s="103">
        <f>I86+I87+I88</f>
        <v>0</v>
      </c>
      <c r="J89" s="103">
        <f t="shared" ref="J89" si="52">J86+J87+J88</f>
        <v>0</v>
      </c>
      <c r="K89" s="103">
        <f t="shared" ref="K89:L89" si="53">K86+K87+K88</f>
        <v>0</v>
      </c>
      <c r="L89" s="103">
        <f t="shared" si="53"/>
        <v>0</v>
      </c>
    </row>
    <row r="90" spans="1:12" ht="20.25" customHeight="1" x14ac:dyDescent="0.25">
      <c r="A90" s="75"/>
      <c r="B90" s="69" t="s">
        <v>304</v>
      </c>
      <c r="C90" s="103"/>
      <c r="D90" s="103"/>
      <c r="E90" s="103"/>
      <c r="F90" s="103"/>
      <c r="G90" s="75"/>
      <c r="H90" s="94" t="s">
        <v>235</v>
      </c>
      <c r="I90" s="103"/>
      <c r="J90" s="103"/>
      <c r="K90" s="103"/>
      <c r="L90" s="103"/>
    </row>
    <row r="91" spans="1:12" ht="20.25" customHeight="1" x14ac:dyDescent="0.25">
      <c r="A91" s="75"/>
      <c r="B91" s="69" t="s">
        <v>305</v>
      </c>
      <c r="C91" s="103"/>
      <c r="D91" s="103"/>
      <c r="E91" s="103"/>
      <c r="F91" s="103"/>
      <c r="G91" s="75"/>
      <c r="H91" s="94" t="s">
        <v>234</v>
      </c>
      <c r="I91" s="103"/>
      <c r="J91" s="103"/>
      <c r="K91" s="103"/>
      <c r="L91" s="103"/>
    </row>
    <row r="92" spans="1:12" ht="20.25" customHeight="1" x14ac:dyDescent="0.25">
      <c r="A92" s="75"/>
      <c r="B92" s="70" t="s">
        <v>306</v>
      </c>
      <c r="C92" s="103">
        <f>C90+C91</f>
        <v>0</v>
      </c>
      <c r="D92" s="103">
        <f t="shared" ref="D92:F92" si="54">D90+D91</f>
        <v>0</v>
      </c>
      <c r="E92" s="103">
        <f t="shared" ref="E92" si="55">E90+E91</f>
        <v>0</v>
      </c>
      <c r="F92" s="103">
        <f t="shared" si="54"/>
        <v>0</v>
      </c>
      <c r="G92" s="75"/>
      <c r="H92" s="95" t="s">
        <v>244</v>
      </c>
      <c r="I92" s="103">
        <f>I90+I91</f>
        <v>0</v>
      </c>
      <c r="J92" s="103">
        <f t="shared" ref="J92" si="56">J90+J91</f>
        <v>0</v>
      </c>
      <c r="K92" s="103">
        <f t="shared" ref="K92:L92" si="57">K90+K91</f>
        <v>0</v>
      </c>
      <c r="L92" s="103">
        <f t="shared" si="57"/>
        <v>0</v>
      </c>
    </row>
    <row r="93" spans="1:12" ht="20.25" customHeight="1" x14ac:dyDescent="0.25">
      <c r="A93" s="75"/>
      <c r="B93" s="70" t="s">
        <v>311</v>
      </c>
      <c r="C93" s="103"/>
      <c r="D93" s="103"/>
      <c r="E93" s="103"/>
      <c r="F93" s="103"/>
      <c r="G93" s="75"/>
      <c r="H93" s="95" t="s">
        <v>236</v>
      </c>
      <c r="I93" s="103"/>
      <c r="J93" s="103"/>
      <c r="K93" s="103"/>
      <c r="L93" s="103"/>
    </row>
    <row r="94" spans="1:12" ht="20.25" customHeight="1" x14ac:dyDescent="0.25">
      <c r="A94" s="75"/>
      <c r="B94" s="70" t="s">
        <v>308</v>
      </c>
      <c r="C94" s="103">
        <f>'6.a szociális részletes'!C116</f>
        <v>620</v>
      </c>
      <c r="D94" s="103">
        <f>'6.a szociális részletes'!D116</f>
        <v>0</v>
      </c>
      <c r="E94" s="103">
        <f>'6.a szociális részletes'!E116</f>
        <v>0</v>
      </c>
      <c r="F94" s="103">
        <f>'6.a szociális részletes'!F116</f>
        <v>620</v>
      </c>
      <c r="G94" s="75"/>
      <c r="H94" s="75" t="s">
        <v>246</v>
      </c>
      <c r="I94" s="113">
        <f>I89+I92+I93</f>
        <v>0</v>
      </c>
      <c r="J94" s="113">
        <f t="shared" ref="J94" si="58">J89+J92+J93</f>
        <v>0</v>
      </c>
      <c r="K94" s="113">
        <f t="shared" ref="K94:L94" si="59">K89+K92+K93</f>
        <v>0</v>
      </c>
      <c r="L94" s="113">
        <f t="shared" si="59"/>
        <v>0</v>
      </c>
    </row>
    <row r="95" spans="1:12" ht="20.25" customHeight="1" x14ac:dyDescent="0.25">
      <c r="A95" s="110"/>
      <c r="B95" s="80" t="s">
        <v>310</v>
      </c>
      <c r="C95" s="113">
        <f>C89+C92+C93+C94</f>
        <v>620</v>
      </c>
      <c r="D95" s="113">
        <f t="shared" ref="D95:F95" si="60">D89+D92+D93+D94</f>
        <v>0</v>
      </c>
      <c r="E95" s="113">
        <f t="shared" ref="E95" si="61">E89+E92+E93+E94</f>
        <v>0</v>
      </c>
      <c r="F95" s="113">
        <f t="shared" si="60"/>
        <v>620</v>
      </c>
      <c r="G95" s="110"/>
      <c r="H95" s="95"/>
      <c r="I95" s="103"/>
      <c r="J95" s="103"/>
      <c r="K95" s="103"/>
      <c r="L95" s="103"/>
    </row>
    <row r="96" spans="1:12" ht="20.25" customHeight="1" x14ac:dyDescent="0.25">
      <c r="A96" s="740" t="s">
        <v>143</v>
      </c>
      <c r="B96" s="741"/>
      <c r="C96" s="428">
        <f>C2+C57+C74</f>
        <v>42811</v>
      </c>
      <c r="D96" s="428">
        <f t="shared" ref="D96" si="62">D2+D57+D74</f>
        <v>1068</v>
      </c>
      <c r="E96" s="428">
        <f>E2+E57+E74</f>
        <v>463</v>
      </c>
      <c r="F96" s="428">
        <f>F2+F57+F74</f>
        <v>44342</v>
      </c>
      <c r="G96" s="740" t="s">
        <v>144</v>
      </c>
      <c r="H96" s="741"/>
      <c r="I96" s="428">
        <f>I2+I57+I74</f>
        <v>42811.136652000001</v>
      </c>
      <c r="J96" s="428">
        <f t="shared" ref="J96" si="63">J2+J57+J74</f>
        <v>1068</v>
      </c>
      <c r="K96" s="428">
        <f t="shared" ref="K96:L96" si="64">K2+K57+K74</f>
        <v>463</v>
      </c>
      <c r="L96" s="428">
        <f t="shared" si="64"/>
        <v>44342.136652000001</v>
      </c>
    </row>
    <row r="97" spans="9:12" x14ac:dyDescent="0.25">
      <c r="I97" s="117">
        <f>I96-C96</f>
        <v>0.1366520000010496</v>
      </c>
      <c r="J97" s="117">
        <f>J96-D96</f>
        <v>0</v>
      </c>
      <c r="K97" s="117"/>
      <c r="L97" s="117">
        <f t="shared" ref="L97" si="65">L96-F96</f>
        <v>0.1366520000010496</v>
      </c>
    </row>
  </sheetData>
  <mergeCells count="2">
    <mergeCell ref="A96:B96"/>
    <mergeCell ref="G96:H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&amp;CTaksony Nagyközség Önkormányzat 2016. évi költségvetés 
2. sz. módosítás&amp;R6.sz. melléklet</oddHeader>
    <oddFooter xml:space="preserve">&amp;LKészült: &amp;D
&amp;R/:Kreisz László://:Dr.Micheller Anita:/       </oddFooter>
  </headerFooter>
  <rowBreaks count="1" manualBreakCount="1">
    <brk id="56" max="9" man="1"/>
  </rowBreaks>
  <colBreaks count="1" manualBreakCount="1">
    <brk id="6" max="9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M126"/>
  <sheetViews>
    <sheetView view="pageBreakPreview" zoomScale="70" zoomScaleNormal="80" zoomScaleSheetLayoutView="70" workbookViewId="0">
      <pane ySplit="1" topLeftCell="A2" activePane="bottomLeft" state="frozen"/>
      <selection activeCell="G32" sqref="G32"/>
      <selection pane="bottomLeft" activeCell="D96" sqref="D96"/>
    </sheetView>
  </sheetViews>
  <sheetFormatPr defaultRowHeight="15" x14ac:dyDescent="0.25"/>
  <cols>
    <col min="1" max="1" width="6.7109375" style="21" customWidth="1"/>
    <col min="2" max="2" width="68.85546875" style="21" customWidth="1"/>
    <col min="3" max="6" width="20.85546875" style="21" customWidth="1"/>
    <col min="7" max="7" width="6.7109375" style="21" customWidth="1"/>
    <col min="8" max="8" width="67.140625" style="21" customWidth="1"/>
    <col min="9" max="12" width="20.7109375" style="21" customWidth="1"/>
    <col min="13" max="16384" width="9.140625" style="21"/>
  </cols>
  <sheetData>
    <row r="1" spans="1:12" ht="40.5" customHeight="1" x14ac:dyDescent="0.25">
      <c r="A1" s="76"/>
      <c r="B1" s="77" t="s">
        <v>519</v>
      </c>
      <c r="C1" s="76" t="s">
        <v>1101</v>
      </c>
      <c r="D1" s="76" t="s">
        <v>1106</v>
      </c>
      <c r="E1" s="657" t="s">
        <v>1110</v>
      </c>
      <c r="F1" s="76" t="s">
        <v>1102</v>
      </c>
      <c r="G1" s="76"/>
      <c r="H1" s="77" t="s">
        <v>520</v>
      </c>
      <c r="I1" s="76" t="s">
        <v>1101</v>
      </c>
      <c r="J1" s="76" t="s">
        <v>1106</v>
      </c>
      <c r="K1" s="657" t="s">
        <v>1110</v>
      </c>
      <c r="L1" s="76" t="s">
        <v>1102</v>
      </c>
    </row>
    <row r="2" spans="1:12" s="692" customFormat="1" ht="20.25" customHeight="1" x14ac:dyDescent="0.25">
      <c r="A2" s="689"/>
      <c r="B2" s="690" t="s">
        <v>180</v>
      </c>
      <c r="C2" s="691">
        <f>C3+C22+C24+C58</f>
        <v>15185</v>
      </c>
      <c r="D2" s="691">
        <f t="shared" ref="D2:F2" si="0">D3+D22+D24+D58</f>
        <v>0</v>
      </c>
      <c r="E2" s="691">
        <f t="shared" ref="E2" si="1">E3+E22+E24+E58</f>
        <v>0</v>
      </c>
      <c r="F2" s="691">
        <f t="shared" si="0"/>
        <v>15185</v>
      </c>
      <c r="G2" s="689"/>
      <c r="H2" s="690" t="s">
        <v>196</v>
      </c>
      <c r="I2" s="691">
        <f>I3+I18+I22+I65+I72</f>
        <v>42191.136652000001</v>
      </c>
      <c r="J2" s="691">
        <f t="shared" ref="J2:L2" si="2">J3+J18+J22+J65+J72</f>
        <v>1068</v>
      </c>
      <c r="K2" s="691">
        <f t="shared" ref="K2" si="3">K3+K18+K22+K65+K72</f>
        <v>0</v>
      </c>
      <c r="L2" s="691">
        <f t="shared" si="2"/>
        <v>43259.136652000001</v>
      </c>
    </row>
    <row r="3" spans="1:12" ht="20.25" customHeight="1" x14ac:dyDescent="0.25">
      <c r="A3" s="421" t="s">
        <v>23</v>
      </c>
      <c r="B3" s="422" t="s">
        <v>405</v>
      </c>
      <c r="C3" s="423">
        <f>SUM(C4+C12+C13+C14+C15+C17)</f>
        <v>12045</v>
      </c>
      <c r="D3" s="423">
        <f t="shared" ref="D3:F3" si="4">SUM(D4+D12+D13+D14+D15+D17)</f>
        <v>0</v>
      </c>
      <c r="E3" s="423">
        <f t="shared" ref="E3" si="5">SUM(E4+E12+E13+E14+E15+E17)</f>
        <v>0</v>
      </c>
      <c r="F3" s="423">
        <f t="shared" si="4"/>
        <v>12045</v>
      </c>
      <c r="G3" s="421" t="s">
        <v>23</v>
      </c>
      <c r="H3" s="414" t="s">
        <v>313</v>
      </c>
      <c r="I3" s="415">
        <f>I12+I17</f>
        <v>25471.752</v>
      </c>
      <c r="J3" s="415">
        <f t="shared" ref="J3:L3" si="6">J12+J17</f>
        <v>841</v>
      </c>
      <c r="K3" s="415">
        <f t="shared" ref="K3" si="7">K12+K17</f>
        <v>0</v>
      </c>
      <c r="L3" s="415">
        <f t="shared" si="6"/>
        <v>26312.752</v>
      </c>
    </row>
    <row r="4" spans="1:12" ht="20.25" customHeight="1" x14ac:dyDescent="0.25">
      <c r="A4" s="70"/>
      <c r="B4" s="111" t="s">
        <v>446</v>
      </c>
      <c r="C4" s="109">
        <f>SUM(C5:C10)</f>
        <v>0</v>
      </c>
      <c r="D4" s="109">
        <f t="shared" ref="D4:F4" si="8">SUM(D5:D10)</f>
        <v>0</v>
      </c>
      <c r="E4" s="109">
        <f t="shared" ref="E4" si="9">SUM(E5:E10)</f>
        <v>0</v>
      </c>
      <c r="F4" s="109">
        <f t="shared" si="8"/>
        <v>0</v>
      </c>
      <c r="G4" s="80"/>
      <c r="H4" s="69" t="s">
        <v>908</v>
      </c>
      <c r="I4" s="97">
        <f>21191</f>
        <v>21191</v>
      </c>
      <c r="J4" s="97">
        <v>-610</v>
      </c>
      <c r="K4" s="97"/>
      <c r="L4" s="97">
        <f>I4+J4</f>
        <v>20581</v>
      </c>
    </row>
    <row r="5" spans="1:12" ht="24" customHeight="1" x14ac:dyDescent="0.25">
      <c r="A5" s="80"/>
      <c r="B5" s="84" t="s">
        <v>407</v>
      </c>
      <c r="C5" s="109"/>
      <c r="D5" s="109"/>
      <c r="E5" s="109"/>
      <c r="F5" s="109"/>
      <c r="G5" s="80"/>
      <c r="H5" s="69" t="s">
        <v>314</v>
      </c>
      <c r="I5" s="97"/>
      <c r="J5" s="97">
        <v>610</v>
      </c>
      <c r="K5" s="97"/>
      <c r="L5" s="97">
        <f t="shared" ref="L5:L68" si="10">I5+J5</f>
        <v>610</v>
      </c>
    </row>
    <row r="6" spans="1:12" ht="24" customHeight="1" x14ac:dyDescent="0.25">
      <c r="A6" s="80"/>
      <c r="B6" s="84" t="s">
        <v>408</v>
      </c>
      <c r="C6" s="109"/>
      <c r="D6" s="109"/>
      <c r="E6" s="109"/>
      <c r="F6" s="109"/>
      <c r="G6" s="80"/>
      <c r="H6" s="69" t="s">
        <v>315</v>
      </c>
      <c r="I6" s="97"/>
      <c r="J6" s="97"/>
      <c r="K6" s="97"/>
      <c r="L6" s="97">
        <f t="shared" si="10"/>
        <v>0</v>
      </c>
    </row>
    <row r="7" spans="1:12" ht="30" x14ac:dyDescent="0.25">
      <c r="A7" s="80"/>
      <c r="B7" s="84" t="s">
        <v>1044</v>
      </c>
      <c r="C7" s="109"/>
      <c r="D7" s="109"/>
      <c r="E7" s="109"/>
      <c r="F7" s="109"/>
      <c r="G7" s="80"/>
      <c r="H7" s="69" t="s">
        <v>316</v>
      </c>
      <c r="I7" s="97"/>
      <c r="J7" s="97"/>
      <c r="K7" s="97"/>
      <c r="L7" s="97">
        <f t="shared" si="10"/>
        <v>0</v>
      </c>
    </row>
    <row r="8" spans="1:12" ht="22.5" customHeight="1" x14ac:dyDescent="0.25">
      <c r="A8" s="80"/>
      <c r="B8" s="84" t="s">
        <v>409</v>
      </c>
      <c r="C8" s="109"/>
      <c r="D8" s="109"/>
      <c r="E8" s="109"/>
      <c r="F8" s="109"/>
      <c r="G8" s="80"/>
      <c r="H8" s="69" t="s">
        <v>317</v>
      </c>
      <c r="I8" s="315">
        <f>9.5*6*12+205</f>
        <v>889</v>
      </c>
      <c r="J8" s="315"/>
      <c r="K8" s="315"/>
      <c r="L8" s="97">
        <f t="shared" si="10"/>
        <v>889</v>
      </c>
    </row>
    <row r="9" spans="1:12" ht="24.75" customHeight="1" x14ac:dyDescent="0.25">
      <c r="A9" s="80"/>
      <c r="B9" s="84" t="s">
        <v>1045</v>
      </c>
      <c r="C9" s="82" t="s">
        <v>253</v>
      </c>
      <c r="D9" s="82"/>
      <c r="E9" s="82"/>
      <c r="F9" s="82"/>
      <c r="G9" s="80"/>
      <c r="H9" s="69" t="s">
        <v>318</v>
      </c>
      <c r="I9" s="97">
        <f>245+25*8</f>
        <v>445</v>
      </c>
      <c r="J9" s="97"/>
      <c r="K9" s="97"/>
      <c r="L9" s="97">
        <f t="shared" si="10"/>
        <v>445</v>
      </c>
    </row>
    <row r="10" spans="1:12" ht="18" customHeight="1" x14ac:dyDescent="0.25">
      <c r="A10" s="80"/>
      <c r="B10" s="84" t="s">
        <v>1046</v>
      </c>
      <c r="C10" s="82" t="s">
        <v>253</v>
      </c>
      <c r="D10" s="82"/>
      <c r="E10" s="82"/>
      <c r="F10" s="82"/>
      <c r="G10" s="85"/>
      <c r="H10" s="69" t="s">
        <v>319</v>
      </c>
      <c r="I10" s="108"/>
      <c r="J10" s="108"/>
      <c r="K10" s="108"/>
      <c r="L10" s="97">
        <f t="shared" si="10"/>
        <v>0</v>
      </c>
    </row>
    <row r="11" spans="1:12" ht="20.25" customHeight="1" x14ac:dyDescent="0.25">
      <c r="A11" s="80"/>
      <c r="B11" s="115"/>
      <c r="C11" s="88"/>
      <c r="D11" s="88"/>
      <c r="E11" s="88"/>
      <c r="F11" s="88"/>
      <c r="G11" s="85"/>
      <c r="H11" s="69" t="s">
        <v>863</v>
      </c>
      <c r="I11" s="107">
        <f>477+41</f>
        <v>518</v>
      </c>
      <c r="J11" s="107">
        <v>841</v>
      </c>
      <c r="K11" s="107"/>
      <c r="L11" s="97">
        <f t="shared" si="10"/>
        <v>1359</v>
      </c>
    </row>
    <row r="12" spans="1:12" ht="20.25" customHeight="1" x14ac:dyDescent="0.25">
      <c r="A12" s="80"/>
      <c r="B12" s="84" t="s">
        <v>412</v>
      </c>
      <c r="C12" s="88"/>
      <c r="D12" s="88"/>
      <c r="E12" s="88"/>
      <c r="F12" s="88"/>
      <c r="G12" s="85"/>
      <c r="H12" s="70" t="s">
        <v>321</v>
      </c>
      <c r="I12" s="107">
        <f>I4+I5+I6+I7+I8+I9+I10+I11</f>
        <v>23043</v>
      </c>
      <c r="J12" s="107">
        <f t="shared" ref="J12:K12" si="11">J4+J5+J6+J7+J8+J9+J10+J11</f>
        <v>841</v>
      </c>
      <c r="K12" s="107">
        <f t="shared" si="11"/>
        <v>0</v>
      </c>
      <c r="L12" s="97">
        <f>I12+J12</f>
        <v>23884</v>
      </c>
    </row>
    <row r="13" spans="1:12" ht="30" x14ac:dyDescent="0.25">
      <c r="A13" s="70"/>
      <c r="B13" s="84" t="s">
        <v>413</v>
      </c>
      <c r="C13" s="109"/>
      <c r="D13" s="109"/>
      <c r="E13" s="109"/>
      <c r="F13" s="109"/>
      <c r="G13" s="85"/>
      <c r="H13" s="69" t="s">
        <v>322</v>
      </c>
      <c r="I13" s="99"/>
      <c r="J13" s="99"/>
      <c r="K13" s="99"/>
      <c r="L13" s="97">
        <f t="shared" si="10"/>
        <v>0</v>
      </c>
    </row>
    <row r="14" spans="1:12" ht="29.25" customHeight="1" x14ac:dyDescent="0.25">
      <c r="A14" s="70"/>
      <c r="B14" s="84" t="s">
        <v>414</v>
      </c>
      <c r="C14" s="109"/>
      <c r="D14" s="109"/>
      <c r="E14" s="109"/>
      <c r="F14" s="109"/>
      <c r="G14" s="85"/>
      <c r="H14" s="69" t="s">
        <v>323</v>
      </c>
      <c r="I14" s="99"/>
      <c r="J14" s="107">
        <v>2428</v>
      </c>
      <c r="K14" s="107"/>
      <c r="L14" s="97">
        <f t="shared" si="10"/>
        <v>2428</v>
      </c>
    </row>
    <row r="15" spans="1:12" ht="29.25" customHeight="1" x14ac:dyDescent="0.25">
      <c r="A15" s="70"/>
      <c r="B15" s="84" t="s">
        <v>415</v>
      </c>
      <c r="C15" s="109"/>
      <c r="D15" s="109"/>
      <c r="E15" s="109"/>
      <c r="F15" s="109"/>
      <c r="G15" s="85"/>
      <c r="H15" s="69" t="s">
        <v>324</v>
      </c>
      <c r="I15" s="107">
        <f>SUM(I16)</f>
        <v>2428.752</v>
      </c>
      <c r="J15" s="107">
        <v>-2428</v>
      </c>
      <c r="K15" s="107"/>
      <c r="L15" s="97">
        <f t="shared" si="10"/>
        <v>0.75199999999995271</v>
      </c>
    </row>
    <row r="16" spans="1:12" ht="29.25" customHeight="1" x14ac:dyDescent="0.25">
      <c r="A16" s="70"/>
      <c r="B16" s="84"/>
      <c r="C16" s="109"/>
      <c r="D16" s="109"/>
      <c r="E16" s="109"/>
      <c r="F16" s="109"/>
      <c r="G16" s="85"/>
      <c r="H16" s="69" t="s">
        <v>1056</v>
      </c>
      <c r="I16" s="315">
        <f>2756*66*12/1000+3*82</f>
        <v>2428.752</v>
      </c>
      <c r="J16" s="315"/>
      <c r="K16" s="315"/>
      <c r="L16" s="97">
        <f t="shared" si="10"/>
        <v>2428.752</v>
      </c>
    </row>
    <row r="17" spans="1:12" ht="21" customHeight="1" x14ac:dyDescent="0.25">
      <c r="A17" s="70"/>
      <c r="B17" s="84" t="s">
        <v>416</v>
      </c>
      <c r="C17" s="316">
        <f>1985*0.35*12+103*3*12</f>
        <v>12045</v>
      </c>
      <c r="D17" s="316"/>
      <c r="E17" s="316"/>
      <c r="F17" s="316">
        <f>C17+D17</f>
        <v>12045</v>
      </c>
      <c r="G17" s="85"/>
      <c r="H17" s="70" t="s">
        <v>325</v>
      </c>
      <c r="I17" s="107">
        <f>I13+I14+I15</f>
        <v>2428.752</v>
      </c>
      <c r="J17" s="107">
        <f t="shared" ref="J17:K17" si="12">J13+J14+J15</f>
        <v>0</v>
      </c>
      <c r="K17" s="107">
        <f t="shared" si="12"/>
        <v>0</v>
      </c>
      <c r="L17" s="97">
        <f t="shared" si="10"/>
        <v>2428.752</v>
      </c>
    </row>
    <row r="18" spans="1:12" ht="18.75" customHeight="1" x14ac:dyDescent="0.25">
      <c r="A18" s="70"/>
      <c r="B18" s="84"/>
      <c r="C18" s="109"/>
      <c r="D18" s="109"/>
      <c r="E18" s="109"/>
      <c r="F18" s="109"/>
      <c r="G18" s="421" t="s">
        <v>45</v>
      </c>
      <c r="H18" s="414" t="s">
        <v>326</v>
      </c>
      <c r="I18" s="415">
        <f>SUM(I19:I21)</f>
        <v>6869.6886519999998</v>
      </c>
      <c r="J18" s="415">
        <f t="shared" ref="J18:L18" si="13">SUM(J19:J21)</f>
        <v>227</v>
      </c>
      <c r="K18" s="415">
        <f t="shared" ref="K18" si="14">SUM(K19:K21)</f>
        <v>0</v>
      </c>
      <c r="L18" s="415">
        <f t="shared" si="13"/>
        <v>7096.6886519999998</v>
      </c>
    </row>
    <row r="19" spans="1:12" ht="20.25" customHeight="1" x14ac:dyDescent="0.25">
      <c r="A19" s="70"/>
      <c r="B19" s="84"/>
      <c r="C19" s="109"/>
      <c r="D19" s="109"/>
      <c r="E19" s="109"/>
      <c r="F19" s="109"/>
      <c r="G19" s="71"/>
      <c r="H19" s="69" t="s">
        <v>864</v>
      </c>
      <c r="I19" s="107">
        <f>(I4+I11+I17)*27%</f>
        <v>6517.1930400000001</v>
      </c>
      <c r="J19" s="107">
        <v>227</v>
      </c>
      <c r="K19" s="107"/>
      <c r="L19" s="97">
        <f t="shared" si="10"/>
        <v>6744.1930400000001</v>
      </c>
    </row>
    <row r="20" spans="1:12" ht="20.25" customHeight="1" x14ac:dyDescent="0.25">
      <c r="A20" s="70"/>
      <c r="B20" s="84"/>
      <c r="C20" s="109"/>
      <c r="D20" s="109"/>
      <c r="E20" s="109"/>
      <c r="F20" s="109"/>
      <c r="G20" s="71"/>
      <c r="H20" s="69" t="s">
        <v>865</v>
      </c>
      <c r="I20" s="107">
        <f>I8*1.19*14%+I37*127%*20%*1.19*27%</f>
        <v>177.48707199999998</v>
      </c>
      <c r="J20" s="107"/>
      <c r="K20" s="107"/>
      <c r="L20" s="97">
        <f t="shared" si="10"/>
        <v>177.48707199999998</v>
      </c>
    </row>
    <row r="21" spans="1:12" ht="20.25" customHeight="1" x14ac:dyDescent="0.25">
      <c r="A21" s="70"/>
      <c r="B21" s="84"/>
      <c r="C21" s="109"/>
      <c r="D21" s="109"/>
      <c r="E21" s="109"/>
      <c r="F21" s="109"/>
      <c r="G21" s="71"/>
      <c r="H21" s="69" t="s">
        <v>866</v>
      </c>
      <c r="I21" s="107">
        <f>(I8+I37*127%*20%)*1.19*15%</f>
        <v>175.00854000000001</v>
      </c>
      <c r="J21" s="107"/>
      <c r="K21" s="107"/>
      <c r="L21" s="97">
        <f t="shared" si="10"/>
        <v>175.00854000000001</v>
      </c>
    </row>
    <row r="22" spans="1:12" ht="20.25" customHeight="1" x14ac:dyDescent="0.25">
      <c r="A22" s="421" t="s">
        <v>45</v>
      </c>
      <c r="B22" s="422" t="s">
        <v>448</v>
      </c>
      <c r="C22" s="423">
        <f>0</f>
        <v>0</v>
      </c>
      <c r="D22" s="423">
        <f>0</f>
        <v>0</v>
      </c>
      <c r="E22" s="423">
        <f>0</f>
        <v>0</v>
      </c>
      <c r="F22" s="423">
        <f>0</f>
        <v>0</v>
      </c>
      <c r="G22" s="421" t="s">
        <v>56</v>
      </c>
      <c r="H22" s="414" t="s">
        <v>327</v>
      </c>
      <c r="I22" s="415">
        <f>I35+I38+I55+I58+I64</f>
        <v>9849.6959999999999</v>
      </c>
      <c r="J22" s="415">
        <f t="shared" ref="J22:L22" si="15">J35+J38+J55+J58+J64</f>
        <v>0</v>
      </c>
      <c r="K22" s="415">
        <f t="shared" ref="K22" si="16">K35+K38+K55+K58+K64</f>
        <v>0</v>
      </c>
      <c r="L22" s="415">
        <f t="shared" si="15"/>
        <v>9849.6959999999999</v>
      </c>
    </row>
    <row r="23" spans="1:12" ht="20.25" customHeight="1" x14ac:dyDescent="0.25">
      <c r="A23" s="86"/>
      <c r="B23" s="88"/>
      <c r="C23" s="97"/>
      <c r="D23" s="97"/>
      <c r="E23" s="97"/>
      <c r="F23" s="97"/>
      <c r="G23" s="71"/>
      <c r="H23" s="71" t="s">
        <v>328</v>
      </c>
      <c r="I23" s="107">
        <f>SUM(I24:I26)</f>
        <v>165</v>
      </c>
      <c r="J23" s="107">
        <f t="shared" ref="J23:K23" si="17">SUM(J24:J26)</f>
        <v>0</v>
      </c>
      <c r="K23" s="107">
        <f t="shared" si="17"/>
        <v>0</v>
      </c>
      <c r="L23" s="97">
        <f t="shared" si="10"/>
        <v>165</v>
      </c>
    </row>
    <row r="24" spans="1:12" ht="20.25" customHeight="1" x14ac:dyDescent="0.25">
      <c r="A24" s="421" t="s">
        <v>56</v>
      </c>
      <c r="B24" s="422" t="s">
        <v>447</v>
      </c>
      <c r="C24" s="423">
        <f>C25+C26+C32+C33+C34+C40+C41+C42+C43+C44</f>
        <v>3140</v>
      </c>
      <c r="D24" s="423">
        <f t="shared" ref="D24:F24" si="18">D25+D26+D32+D33+D34+D40+D41+D42+D43+D44</f>
        <v>0</v>
      </c>
      <c r="E24" s="423">
        <f t="shared" ref="E24" si="19">E25+E26+E32+E33+E34+E40+E41+E42+E43+E44</f>
        <v>0</v>
      </c>
      <c r="F24" s="423">
        <f t="shared" si="18"/>
        <v>3140</v>
      </c>
      <c r="G24" s="71"/>
      <c r="H24" s="71" t="s">
        <v>329</v>
      </c>
      <c r="I24" s="107">
        <v>100</v>
      </c>
      <c r="J24" s="107"/>
      <c r="K24" s="107"/>
      <c r="L24" s="97">
        <f t="shared" si="10"/>
        <v>100</v>
      </c>
    </row>
    <row r="25" spans="1:12" ht="20.25" customHeight="1" x14ac:dyDescent="0.25">
      <c r="A25" s="86"/>
      <c r="B25" s="89" t="s">
        <v>449</v>
      </c>
      <c r="C25" s="103"/>
      <c r="D25" s="103"/>
      <c r="E25" s="103"/>
      <c r="F25" s="103"/>
      <c r="G25" s="71"/>
      <c r="H25" s="71" t="s">
        <v>330</v>
      </c>
      <c r="I25" s="107">
        <v>40</v>
      </c>
      <c r="J25" s="107"/>
      <c r="K25" s="107"/>
      <c r="L25" s="97">
        <f t="shared" si="10"/>
        <v>40</v>
      </c>
    </row>
    <row r="26" spans="1:12" ht="20.25" customHeight="1" x14ac:dyDescent="0.25">
      <c r="A26" s="86"/>
      <c r="B26" s="89" t="s">
        <v>450</v>
      </c>
      <c r="C26" s="103">
        <f>SUM(C27:C31)</f>
        <v>0</v>
      </c>
      <c r="D26" s="103">
        <f t="shared" ref="D26:F26" si="20">SUM(D27:D31)</f>
        <v>0</v>
      </c>
      <c r="E26" s="103">
        <f t="shared" ref="E26" si="21">SUM(E27:E31)</f>
        <v>0</v>
      </c>
      <c r="F26" s="103">
        <f t="shared" si="20"/>
        <v>0</v>
      </c>
      <c r="G26" s="71"/>
      <c r="H26" s="71" t="s">
        <v>331</v>
      </c>
      <c r="I26" s="107">
        <v>25</v>
      </c>
      <c r="J26" s="107"/>
      <c r="K26" s="107"/>
      <c r="L26" s="97">
        <f t="shared" si="10"/>
        <v>25</v>
      </c>
    </row>
    <row r="27" spans="1:12" ht="20.25" customHeight="1" x14ac:dyDescent="0.25">
      <c r="A27" s="86"/>
      <c r="B27" s="89" t="s">
        <v>469</v>
      </c>
      <c r="C27" s="103"/>
      <c r="D27" s="103"/>
      <c r="E27" s="103"/>
      <c r="F27" s="103"/>
      <c r="G27" s="71"/>
      <c r="H27" s="71" t="s">
        <v>338</v>
      </c>
      <c r="I27" s="107">
        <f>SUM(I28:I33)</f>
        <v>882.5</v>
      </c>
      <c r="J27" s="107">
        <f t="shared" ref="J27:K27" si="22">SUM(J28:J33)</f>
        <v>0</v>
      </c>
      <c r="K27" s="107">
        <f t="shared" si="22"/>
        <v>0</v>
      </c>
      <c r="L27" s="97">
        <f t="shared" si="10"/>
        <v>882.5</v>
      </c>
    </row>
    <row r="28" spans="1:12" ht="20.25" customHeight="1" x14ac:dyDescent="0.25">
      <c r="A28" s="86"/>
      <c r="B28" s="89" t="s">
        <v>467</v>
      </c>
      <c r="C28" s="103"/>
      <c r="D28" s="103"/>
      <c r="E28" s="103"/>
      <c r="F28" s="103"/>
      <c r="G28" s="71"/>
      <c r="H28" s="71" t="s">
        <v>332</v>
      </c>
      <c r="I28" s="107"/>
      <c r="J28" s="107"/>
      <c r="K28" s="107"/>
      <c r="L28" s="97">
        <f t="shared" si="10"/>
        <v>0</v>
      </c>
    </row>
    <row r="29" spans="1:12" ht="20.25" customHeight="1" x14ac:dyDescent="0.25">
      <c r="A29" s="86"/>
      <c r="B29" s="21" t="s">
        <v>468</v>
      </c>
      <c r="C29" s="103"/>
      <c r="D29" s="103"/>
      <c r="E29" s="103"/>
      <c r="F29" s="103"/>
      <c r="G29" s="71"/>
      <c r="H29" s="71" t="s">
        <v>333</v>
      </c>
      <c r="I29" s="107">
        <v>200</v>
      </c>
      <c r="J29" s="107"/>
      <c r="K29" s="107"/>
      <c r="L29" s="97">
        <f t="shared" si="10"/>
        <v>200</v>
      </c>
    </row>
    <row r="30" spans="1:12" ht="20.25" customHeight="1" x14ac:dyDescent="0.25">
      <c r="A30" s="86"/>
      <c r="B30" s="89" t="s">
        <v>494</v>
      </c>
      <c r="C30" s="103"/>
      <c r="D30" s="103"/>
      <c r="E30" s="103"/>
      <c r="F30" s="103"/>
      <c r="G30" s="71"/>
      <c r="H30" s="71" t="s">
        <v>334</v>
      </c>
      <c r="I30" s="107">
        <v>50</v>
      </c>
      <c r="J30" s="107"/>
      <c r="K30" s="107"/>
      <c r="L30" s="97">
        <f t="shared" si="10"/>
        <v>50</v>
      </c>
    </row>
    <row r="31" spans="1:12" ht="20.25" customHeight="1" x14ac:dyDescent="0.25">
      <c r="A31" s="86"/>
      <c r="B31" s="89" t="s">
        <v>495</v>
      </c>
      <c r="C31" s="103"/>
      <c r="D31" s="103"/>
      <c r="E31" s="103"/>
      <c r="F31" s="103"/>
      <c r="G31" s="71"/>
      <c r="H31" s="71" t="s">
        <v>335</v>
      </c>
      <c r="I31" s="107"/>
      <c r="J31" s="107"/>
      <c r="K31" s="107"/>
      <c r="L31" s="97">
        <f t="shared" si="10"/>
        <v>0</v>
      </c>
    </row>
    <row r="32" spans="1:12" ht="20.25" customHeight="1" x14ac:dyDescent="0.25">
      <c r="A32" s="86"/>
      <c r="B32" s="89" t="s">
        <v>451</v>
      </c>
      <c r="C32" s="103"/>
      <c r="D32" s="103"/>
      <c r="E32" s="103"/>
      <c r="F32" s="103"/>
      <c r="G32" s="71"/>
      <c r="H32" s="71" t="s">
        <v>336</v>
      </c>
      <c r="I32" s="107">
        <f>9.5*35</f>
        <v>332.5</v>
      </c>
      <c r="J32" s="107"/>
      <c r="K32" s="107"/>
      <c r="L32" s="97">
        <f t="shared" si="10"/>
        <v>332.5</v>
      </c>
    </row>
    <row r="33" spans="1:12" ht="20.25" customHeight="1" x14ac:dyDescent="0.25">
      <c r="A33" s="86"/>
      <c r="B33" s="89" t="s">
        <v>452</v>
      </c>
      <c r="C33" s="103"/>
      <c r="D33" s="103"/>
      <c r="E33" s="103"/>
      <c r="F33" s="103"/>
      <c r="G33" s="71"/>
      <c r="H33" s="71" t="s">
        <v>912</v>
      </c>
      <c r="I33" s="107">
        <v>300</v>
      </c>
      <c r="J33" s="107"/>
      <c r="K33" s="107"/>
      <c r="L33" s="97">
        <f t="shared" si="10"/>
        <v>300</v>
      </c>
    </row>
    <row r="34" spans="1:12" ht="20.25" customHeight="1" x14ac:dyDescent="0.25">
      <c r="A34" s="86"/>
      <c r="B34" s="89" t="s">
        <v>453</v>
      </c>
      <c r="C34" s="103">
        <f>SUM(C35:C39)</f>
        <v>3140</v>
      </c>
      <c r="D34" s="103">
        <f t="shared" ref="D34:E34" si="23">SUM(D35:D39)</f>
        <v>0</v>
      </c>
      <c r="E34" s="103">
        <f t="shared" si="23"/>
        <v>0</v>
      </c>
      <c r="F34" s="316">
        <f t="shared" ref="F34:F39" si="24">C34+D34</f>
        <v>3140</v>
      </c>
      <c r="G34" s="71"/>
      <c r="H34" s="71" t="s">
        <v>339</v>
      </c>
      <c r="I34" s="107"/>
      <c r="J34" s="107"/>
      <c r="K34" s="107"/>
      <c r="L34" s="97">
        <f t="shared" si="10"/>
        <v>0</v>
      </c>
    </row>
    <row r="35" spans="1:12" ht="20.25" customHeight="1" x14ac:dyDescent="0.25">
      <c r="A35" s="86"/>
      <c r="B35" s="21" t="s">
        <v>497</v>
      </c>
      <c r="C35" s="103"/>
      <c r="D35" s="103"/>
      <c r="E35" s="103"/>
      <c r="F35" s="316"/>
      <c r="G35" s="71"/>
      <c r="H35" s="72" t="s">
        <v>340</v>
      </c>
      <c r="I35" s="107">
        <f>I23+I27+I34</f>
        <v>1047.5</v>
      </c>
      <c r="J35" s="107">
        <f t="shared" ref="J35:K35" si="25">J23+J27+J34</f>
        <v>0</v>
      </c>
      <c r="K35" s="107">
        <f t="shared" si="25"/>
        <v>0</v>
      </c>
      <c r="L35" s="97">
        <f t="shared" si="10"/>
        <v>1047.5</v>
      </c>
    </row>
    <row r="36" spans="1:12" ht="20.25" customHeight="1" x14ac:dyDescent="0.25">
      <c r="A36" s="86"/>
      <c r="B36" s="88" t="s">
        <v>498</v>
      </c>
      <c r="C36" s="103"/>
      <c r="D36" s="103"/>
      <c r="E36" s="103"/>
      <c r="F36" s="316"/>
      <c r="G36" s="71"/>
      <c r="H36" s="71" t="s">
        <v>909</v>
      </c>
      <c r="I36" s="107">
        <f>21*4+4*12</f>
        <v>132</v>
      </c>
      <c r="J36" s="107"/>
      <c r="K36" s="107"/>
      <c r="L36" s="97">
        <f t="shared" si="10"/>
        <v>132</v>
      </c>
    </row>
    <row r="37" spans="1:12" ht="20.25" customHeight="1" x14ac:dyDescent="0.25">
      <c r="A37" s="86"/>
      <c r="B37" s="88" t="s">
        <v>496</v>
      </c>
      <c r="C37" s="103">
        <v>3000</v>
      </c>
      <c r="D37" s="103"/>
      <c r="E37" s="103"/>
      <c r="F37" s="316">
        <f t="shared" si="24"/>
        <v>3000</v>
      </c>
      <c r="G37" s="71"/>
      <c r="H37" s="71" t="s">
        <v>492</v>
      </c>
      <c r="I37" s="107">
        <f>30*12</f>
        <v>360</v>
      </c>
      <c r="J37" s="107"/>
      <c r="K37" s="107"/>
      <c r="L37" s="97">
        <f t="shared" si="10"/>
        <v>360</v>
      </c>
    </row>
    <row r="38" spans="1:12" ht="20.25" customHeight="1" x14ac:dyDescent="0.25">
      <c r="A38" s="86"/>
      <c r="B38" s="88" t="s">
        <v>454</v>
      </c>
      <c r="C38" s="103"/>
      <c r="D38" s="103"/>
      <c r="E38" s="103"/>
      <c r="F38" s="316"/>
      <c r="G38" s="71"/>
      <c r="H38" s="72" t="s">
        <v>341</v>
      </c>
      <c r="I38" s="107">
        <f>I36+I37</f>
        <v>492</v>
      </c>
      <c r="J38" s="107">
        <f t="shared" ref="J38:K38" si="26">J36+J37</f>
        <v>0</v>
      </c>
      <c r="K38" s="107">
        <f t="shared" si="26"/>
        <v>0</v>
      </c>
      <c r="L38" s="97">
        <f t="shared" si="10"/>
        <v>492</v>
      </c>
    </row>
    <row r="39" spans="1:12" ht="20.25" customHeight="1" x14ac:dyDescent="0.25">
      <c r="A39" s="86"/>
      <c r="B39" s="21" t="s">
        <v>911</v>
      </c>
      <c r="C39" s="103">
        <v>140</v>
      </c>
      <c r="D39" s="103"/>
      <c r="E39" s="103"/>
      <c r="F39" s="316">
        <f t="shared" si="24"/>
        <v>140</v>
      </c>
      <c r="G39" s="71"/>
      <c r="H39" s="71" t="s">
        <v>345</v>
      </c>
      <c r="I39" s="107">
        <f>SUM(I40:I42)</f>
        <v>820</v>
      </c>
      <c r="J39" s="107">
        <f t="shared" ref="J39:K39" si="27">SUM(J40:J42)</f>
        <v>0</v>
      </c>
      <c r="K39" s="107">
        <f t="shared" si="27"/>
        <v>0</v>
      </c>
      <c r="L39" s="97">
        <f t="shared" si="10"/>
        <v>820</v>
      </c>
    </row>
    <row r="40" spans="1:12" ht="20.25" customHeight="1" x14ac:dyDescent="0.25">
      <c r="A40" s="86"/>
      <c r="B40" s="89" t="s">
        <v>455</v>
      </c>
      <c r="C40" s="103"/>
      <c r="D40" s="103"/>
      <c r="E40" s="103"/>
      <c r="F40" s="103"/>
      <c r="G40" s="71"/>
      <c r="H40" s="71" t="s">
        <v>346</v>
      </c>
      <c r="I40" s="107">
        <v>300</v>
      </c>
      <c r="J40" s="107"/>
      <c r="K40" s="107"/>
      <c r="L40" s="97">
        <f t="shared" si="10"/>
        <v>300</v>
      </c>
    </row>
    <row r="41" spans="1:12" ht="20.25" customHeight="1" x14ac:dyDescent="0.25">
      <c r="A41" s="88"/>
      <c r="B41" s="89" t="s">
        <v>456</v>
      </c>
      <c r="C41" s="88"/>
      <c r="D41" s="88"/>
      <c r="E41" s="88"/>
      <c r="F41" s="88"/>
      <c r="G41" s="71"/>
      <c r="H41" s="71" t="s">
        <v>348</v>
      </c>
      <c r="I41" s="107">
        <v>400</v>
      </c>
      <c r="J41" s="107"/>
      <c r="K41" s="107"/>
      <c r="L41" s="97">
        <f t="shared" si="10"/>
        <v>400</v>
      </c>
    </row>
    <row r="42" spans="1:12" ht="20.25" customHeight="1" x14ac:dyDescent="0.25">
      <c r="A42" s="88"/>
      <c r="B42" s="89" t="s">
        <v>1048</v>
      </c>
      <c r="C42" s="88"/>
      <c r="D42" s="88"/>
      <c r="E42" s="88"/>
      <c r="F42" s="88"/>
      <c r="G42" s="71"/>
      <c r="H42" s="71" t="s">
        <v>347</v>
      </c>
      <c r="I42" s="107">
        <v>120</v>
      </c>
      <c r="J42" s="107"/>
      <c r="K42" s="107"/>
      <c r="L42" s="97">
        <f t="shared" si="10"/>
        <v>120</v>
      </c>
    </row>
    <row r="43" spans="1:12" ht="20.25" customHeight="1" x14ac:dyDescent="0.25">
      <c r="A43" s="88"/>
      <c r="B43" s="89" t="s">
        <v>458</v>
      </c>
      <c r="C43" s="88"/>
      <c r="D43" s="88"/>
      <c r="E43" s="88"/>
      <c r="F43" s="88"/>
      <c r="G43" s="71"/>
      <c r="H43" s="71" t="s">
        <v>349</v>
      </c>
      <c r="I43" s="315">
        <f>21*10%*720/127%*251/1000+21*90%*810/127%*251/1000+(280+401)/127%</f>
        <v>3860.6858267716539</v>
      </c>
      <c r="J43" s="315"/>
      <c r="K43" s="315"/>
      <c r="L43" s="97">
        <f t="shared" si="10"/>
        <v>3860.6858267716539</v>
      </c>
    </row>
    <row r="44" spans="1:12" ht="20.25" customHeight="1" x14ac:dyDescent="0.25">
      <c r="A44" s="88"/>
      <c r="B44" s="89" t="s">
        <v>459</v>
      </c>
      <c r="C44" s="88">
        <f>SUM(C45:C47)</f>
        <v>0</v>
      </c>
      <c r="D44" s="88">
        <f t="shared" ref="D44:F44" si="28">SUM(D45:D47)</f>
        <v>0</v>
      </c>
      <c r="E44" s="88">
        <f t="shared" ref="E44" si="29">SUM(E45:E47)</f>
        <v>0</v>
      </c>
      <c r="F44" s="88">
        <f t="shared" si="28"/>
        <v>0</v>
      </c>
      <c r="G44" s="71"/>
      <c r="H44" s="71" t="s">
        <v>350</v>
      </c>
      <c r="I44" s="99"/>
      <c r="J44" s="99"/>
      <c r="K44" s="99"/>
      <c r="L44" s="97">
        <f t="shared" si="10"/>
        <v>0</v>
      </c>
    </row>
    <row r="45" spans="1:12" ht="20.25" customHeight="1" x14ac:dyDescent="0.25">
      <c r="A45" s="88"/>
      <c r="B45" s="88" t="s">
        <v>460</v>
      </c>
      <c r="C45" s="88"/>
      <c r="D45" s="88"/>
      <c r="E45" s="88"/>
      <c r="F45" s="88"/>
      <c r="G45" s="71"/>
      <c r="H45" s="71" t="s">
        <v>351</v>
      </c>
      <c r="I45" s="99"/>
      <c r="J45" s="107">
        <v>3</v>
      </c>
      <c r="K45" s="107"/>
      <c r="L45" s="97">
        <f t="shared" si="10"/>
        <v>3</v>
      </c>
    </row>
    <row r="46" spans="1:12" ht="20.25" customHeight="1" x14ac:dyDescent="0.25">
      <c r="A46" s="88"/>
      <c r="B46" s="88" t="s">
        <v>461</v>
      </c>
      <c r="C46" s="88"/>
      <c r="D46" s="88"/>
      <c r="E46" s="88"/>
      <c r="F46" s="88"/>
      <c r="G46" s="71"/>
      <c r="H46" s="71" t="s">
        <v>352</v>
      </c>
      <c r="I46" s="99"/>
      <c r="J46" s="99"/>
      <c r="K46" s="99"/>
      <c r="L46" s="97">
        <f t="shared" si="10"/>
        <v>0</v>
      </c>
    </row>
    <row r="47" spans="1:12" ht="20.25" customHeight="1" x14ac:dyDescent="0.25">
      <c r="A47" s="86"/>
      <c r="B47" s="88" t="s">
        <v>462</v>
      </c>
      <c r="C47" s="103"/>
      <c r="D47" s="103"/>
      <c r="E47" s="103"/>
      <c r="F47" s="103"/>
      <c r="G47" s="71"/>
      <c r="H47" s="71" t="s">
        <v>869</v>
      </c>
      <c r="I47" s="107">
        <f>SUM(I48:I48)</f>
        <v>376</v>
      </c>
      <c r="J47" s="107">
        <f t="shared" ref="J47:K47" si="30">SUM(J48:J48)</f>
        <v>0</v>
      </c>
      <c r="K47" s="107">
        <f t="shared" si="30"/>
        <v>0</v>
      </c>
      <c r="L47" s="97">
        <f t="shared" si="10"/>
        <v>376</v>
      </c>
    </row>
    <row r="48" spans="1:12" ht="20.25" customHeight="1" x14ac:dyDescent="0.25">
      <c r="A48" s="86"/>
      <c r="B48" s="88"/>
      <c r="C48" s="103"/>
      <c r="D48" s="103"/>
      <c r="E48" s="103"/>
      <c r="F48" s="103"/>
      <c r="G48" s="71"/>
      <c r="H48" s="71" t="s">
        <v>1057</v>
      </c>
      <c r="I48" s="315">
        <v>376</v>
      </c>
      <c r="J48" s="315"/>
      <c r="K48" s="315"/>
      <c r="L48" s="97">
        <f t="shared" si="10"/>
        <v>376</v>
      </c>
    </row>
    <row r="49" spans="1:12" ht="20.25" customHeight="1" x14ac:dyDescent="0.25">
      <c r="A49" s="88"/>
      <c r="B49" s="89"/>
      <c r="C49" s="88"/>
      <c r="D49" s="88"/>
      <c r="E49" s="88"/>
      <c r="F49" s="88"/>
      <c r="G49" s="71"/>
      <c r="H49" s="71" t="s">
        <v>354</v>
      </c>
      <c r="I49" s="107">
        <f>SUM(I50:I54)</f>
        <v>419.32283464566927</v>
      </c>
      <c r="J49" s="107">
        <f t="shared" ref="J49:K49" si="31">SUM(J50:J54)</f>
        <v>0</v>
      </c>
      <c r="K49" s="107">
        <f t="shared" si="31"/>
        <v>0</v>
      </c>
      <c r="L49" s="97">
        <f t="shared" si="10"/>
        <v>419.32283464566927</v>
      </c>
    </row>
    <row r="50" spans="1:12" ht="20.25" customHeight="1" x14ac:dyDescent="0.25">
      <c r="A50" s="88"/>
      <c r="B50" s="89"/>
      <c r="C50" s="88"/>
      <c r="D50" s="88"/>
      <c r="E50" s="88"/>
      <c r="F50" s="88"/>
      <c r="G50" s="71"/>
      <c r="H50" s="71" t="s">
        <v>355</v>
      </c>
      <c r="I50" s="107">
        <v>20</v>
      </c>
      <c r="J50" s="107"/>
      <c r="K50" s="107"/>
      <c r="L50" s="97">
        <f t="shared" si="10"/>
        <v>20</v>
      </c>
    </row>
    <row r="51" spans="1:12" ht="30.75" customHeight="1" x14ac:dyDescent="0.25">
      <c r="A51" s="88"/>
      <c r="B51" s="89"/>
      <c r="C51" s="88"/>
      <c r="D51" s="88"/>
      <c r="E51" s="88"/>
      <c r="F51" s="88"/>
      <c r="G51" s="71"/>
      <c r="H51" s="71" t="s">
        <v>910</v>
      </c>
      <c r="I51" s="107">
        <f>35+70+22/127%</f>
        <v>122.32283464566929</v>
      </c>
      <c r="J51" s="107"/>
      <c r="K51" s="107"/>
      <c r="L51" s="97">
        <f t="shared" si="10"/>
        <v>122.32283464566929</v>
      </c>
    </row>
    <row r="52" spans="1:12" ht="20.25" customHeight="1" x14ac:dyDescent="0.25">
      <c r="A52" s="88"/>
      <c r="B52" s="88"/>
      <c r="C52" s="88"/>
      <c r="D52" s="88"/>
      <c r="E52" s="88"/>
      <c r="F52" s="88"/>
      <c r="G52" s="71"/>
      <c r="H52" s="71" t="s">
        <v>867</v>
      </c>
      <c r="I52" s="107">
        <v>150</v>
      </c>
      <c r="J52" s="107"/>
      <c r="K52" s="107"/>
      <c r="L52" s="97">
        <f t="shared" si="10"/>
        <v>150</v>
      </c>
    </row>
    <row r="53" spans="1:12" ht="20.25" customHeight="1" x14ac:dyDescent="0.25">
      <c r="A53" s="88"/>
      <c r="B53" s="88"/>
      <c r="C53" s="88"/>
      <c r="D53" s="88"/>
      <c r="E53" s="88"/>
      <c r="F53" s="88"/>
      <c r="G53" s="71"/>
      <c r="H53" s="71" t="s">
        <v>1058</v>
      </c>
      <c r="I53" s="107">
        <f>50+17</f>
        <v>67</v>
      </c>
      <c r="J53" s="107"/>
      <c r="K53" s="107"/>
      <c r="L53" s="97">
        <f t="shared" si="10"/>
        <v>67</v>
      </c>
    </row>
    <row r="54" spans="1:12" ht="20.25" customHeight="1" x14ac:dyDescent="0.25">
      <c r="A54" s="88"/>
      <c r="B54" s="88"/>
      <c r="C54" s="88"/>
      <c r="D54" s="88"/>
      <c r="E54" s="88"/>
      <c r="F54" s="88"/>
      <c r="G54" s="71"/>
      <c r="H54" s="71" t="s">
        <v>868</v>
      </c>
      <c r="I54" s="107">
        <v>60</v>
      </c>
      <c r="J54" s="107"/>
      <c r="K54" s="107"/>
      <c r="L54" s="97">
        <f t="shared" si="10"/>
        <v>60</v>
      </c>
    </row>
    <row r="55" spans="1:12" ht="20.25" customHeight="1" x14ac:dyDescent="0.25">
      <c r="A55" s="88"/>
      <c r="B55" s="88"/>
      <c r="C55" s="88"/>
      <c r="D55" s="88"/>
      <c r="E55" s="88"/>
      <c r="F55" s="88"/>
      <c r="G55" s="71"/>
      <c r="H55" s="72" t="s">
        <v>344</v>
      </c>
      <c r="I55" s="107">
        <f>I39+I43+I44+I45+I46+I47+I49</f>
        <v>5476.0086614173233</v>
      </c>
      <c r="J55" s="107">
        <f>J39+J43+J44+J45+J46+J47+J49</f>
        <v>3</v>
      </c>
      <c r="K55" s="107">
        <f>K39+K43+K44+K45+K46+K47+K49</f>
        <v>0</v>
      </c>
      <c r="L55" s="97">
        <f t="shared" si="10"/>
        <v>5479.0086614173233</v>
      </c>
    </row>
    <row r="56" spans="1:12" ht="20.25" customHeight="1" x14ac:dyDescent="0.25">
      <c r="A56" s="88"/>
      <c r="B56" s="88"/>
      <c r="C56" s="88"/>
      <c r="D56" s="88"/>
      <c r="E56" s="88"/>
      <c r="F56" s="88"/>
      <c r="G56" s="71"/>
      <c r="H56" s="71" t="s">
        <v>357</v>
      </c>
      <c r="I56" s="107">
        <v>860</v>
      </c>
      <c r="J56" s="107"/>
      <c r="K56" s="107"/>
      <c r="L56" s="97">
        <f t="shared" si="10"/>
        <v>860</v>
      </c>
    </row>
    <row r="57" spans="1:12" ht="20.25" customHeight="1" x14ac:dyDescent="0.25">
      <c r="A57" s="88"/>
      <c r="B57" s="88"/>
      <c r="C57" s="88"/>
      <c r="D57" s="88"/>
      <c r="E57" s="88"/>
      <c r="F57" s="88"/>
      <c r="G57" s="71"/>
      <c r="H57" s="71" t="s">
        <v>358</v>
      </c>
      <c r="I57" s="99"/>
      <c r="J57" s="107">
        <v>10</v>
      </c>
      <c r="K57" s="107"/>
      <c r="L57" s="97">
        <f t="shared" si="10"/>
        <v>10</v>
      </c>
    </row>
    <row r="58" spans="1:12" ht="20.25" customHeight="1" x14ac:dyDescent="0.25">
      <c r="A58" s="421" t="s">
        <v>64</v>
      </c>
      <c r="B58" s="422" t="s">
        <v>463</v>
      </c>
      <c r="C58" s="423">
        <f>C59+C60+C61</f>
        <v>0</v>
      </c>
      <c r="D58" s="423">
        <f t="shared" ref="D58:F58" si="32">D59+D60+D61</f>
        <v>0</v>
      </c>
      <c r="E58" s="423">
        <f t="shared" ref="E58" si="33">E59+E60+E61</f>
        <v>0</v>
      </c>
      <c r="F58" s="423">
        <f t="shared" si="32"/>
        <v>0</v>
      </c>
      <c r="G58" s="71"/>
      <c r="H58" s="72" t="s">
        <v>359</v>
      </c>
      <c r="I58" s="107">
        <f>I56+I57</f>
        <v>860</v>
      </c>
      <c r="J58" s="107">
        <f t="shared" ref="J58:K58" si="34">J56+J57</f>
        <v>10</v>
      </c>
      <c r="K58" s="107">
        <f t="shared" si="34"/>
        <v>0</v>
      </c>
      <c r="L58" s="97">
        <f t="shared" si="10"/>
        <v>870</v>
      </c>
    </row>
    <row r="59" spans="1:12" ht="30" x14ac:dyDescent="0.25">
      <c r="A59" s="86"/>
      <c r="B59" s="89" t="s">
        <v>464</v>
      </c>
      <c r="C59" s="103"/>
      <c r="D59" s="103"/>
      <c r="E59" s="103"/>
      <c r="F59" s="103"/>
      <c r="G59" s="71"/>
      <c r="H59" s="71" t="s">
        <v>361</v>
      </c>
      <c r="I59" s="107">
        <f>(I35+I38+I55)*0.27</f>
        <v>1894.1873385826775</v>
      </c>
      <c r="J59" s="107">
        <v>-13</v>
      </c>
      <c r="K59" s="107"/>
      <c r="L59" s="97">
        <f t="shared" si="10"/>
        <v>1881.1873385826775</v>
      </c>
    </row>
    <row r="60" spans="1:12" ht="28.5" customHeight="1" x14ac:dyDescent="0.25">
      <c r="A60" s="86"/>
      <c r="B60" s="84" t="s">
        <v>465</v>
      </c>
      <c r="C60" s="103"/>
      <c r="D60" s="103"/>
      <c r="E60" s="103"/>
      <c r="F60" s="103"/>
      <c r="G60" s="71"/>
      <c r="H60" s="71" t="s">
        <v>362</v>
      </c>
      <c r="I60" s="99"/>
      <c r="J60" s="99"/>
      <c r="K60" s="99"/>
      <c r="L60" s="97">
        <f t="shared" si="10"/>
        <v>0</v>
      </c>
    </row>
    <row r="61" spans="1:12" ht="19.5" customHeight="1" x14ac:dyDescent="0.25">
      <c r="A61" s="86"/>
      <c r="B61" s="89" t="s">
        <v>466</v>
      </c>
      <c r="C61" s="103"/>
      <c r="D61" s="103"/>
      <c r="E61" s="103"/>
      <c r="F61" s="103"/>
      <c r="G61" s="71"/>
      <c r="H61" s="71" t="s">
        <v>363</v>
      </c>
      <c r="I61" s="99"/>
      <c r="J61" s="99"/>
      <c r="K61" s="99"/>
      <c r="L61" s="97">
        <f t="shared" si="10"/>
        <v>0</v>
      </c>
    </row>
    <row r="62" spans="1:12" ht="19.5" customHeight="1" x14ac:dyDescent="0.25">
      <c r="A62" s="86"/>
      <c r="B62" s="89"/>
      <c r="C62" s="103"/>
      <c r="D62" s="103"/>
      <c r="E62" s="103"/>
      <c r="F62" s="103"/>
      <c r="G62" s="71"/>
      <c r="H62" s="71" t="s">
        <v>364</v>
      </c>
      <c r="I62" s="99"/>
      <c r="J62" s="99"/>
      <c r="K62" s="99"/>
      <c r="L62" s="97">
        <f t="shared" si="10"/>
        <v>0</v>
      </c>
    </row>
    <row r="63" spans="1:12" ht="25.5" customHeight="1" x14ac:dyDescent="0.25">
      <c r="A63" s="86"/>
      <c r="B63" s="89"/>
      <c r="C63" s="101"/>
      <c r="D63" s="101"/>
      <c r="E63" s="101"/>
      <c r="F63" s="101"/>
      <c r="G63" s="71"/>
      <c r="H63" s="116" t="s">
        <v>903</v>
      </c>
      <c r="I63" s="314">
        <f>20+2*30</f>
        <v>80</v>
      </c>
      <c r="J63" s="314"/>
      <c r="K63" s="314"/>
      <c r="L63" s="97">
        <f t="shared" si="10"/>
        <v>80</v>
      </c>
    </row>
    <row r="64" spans="1:12" ht="19.5" customHeight="1" x14ac:dyDescent="0.25">
      <c r="A64" s="86"/>
      <c r="B64" s="89"/>
      <c r="C64" s="101"/>
      <c r="D64" s="101"/>
      <c r="E64" s="101"/>
      <c r="F64" s="101"/>
      <c r="G64" s="71"/>
      <c r="H64" s="72" t="s">
        <v>360</v>
      </c>
      <c r="I64" s="108">
        <f>I59+I60+I61+I62+I63</f>
        <v>1974.1873385826775</v>
      </c>
      <c r="J64" s="108">
        <f t="shared" ref="J64:K64" si="35">J59+J60+J61+J62+J63</f>
        <v>-13</v>
      </c>
      <c r="K64" s="108">
        <f t="shared" si="35"/>
        <v>0</v>
      </c>
      <c r="L64" s="97">
        <f t="shared" si="10"/>
        <v>1961.1873385826775</v>
      </c>
    </row>
    <row r="65" spans="1:12" ht="19.5" customHeight="1" x14ac:dyDescent="0.25">
      <c r="A65" s="86"/>
      <c r="B65" s="89"/>
      <c r="C65" s="101"/>
      <c r="D65" s="101"/>
      <c r="E65" s="101"/>
      <c r="F65" s="101"/>
      <c r="G65" s="421" t="s">
        <v>64</v>
      </c>
      <c r="H65" s="414" t="s">
        <v>366</v>
      </c>
      <c r="I65" s="415">
        <f>SUM(I66:I71)</f>
        <v>0</v>
      </c>
      <c r="J65" s="415">
        <f t="shared" ref="J65:L65" si="36">SUM(J66:J71)</f>
        <v>0</v>
      </c>
      <c r="K65" s="415">
        <f t="shared" ref="K65" si="37">SUM(K66:K71)</f>
        <v>0</v>
      </c>
      <c r="L65" s="415">
        <f t="shared" si="36"/>
        <v>0</v>
      </c>
    </row>
    <row r="66" spans="1:12" ht="19.5" customHeight="1" x14ac:dyDescent="0.25">
      <c r="A66" s="86"/>
      <c r="B66" s="89"/>
      <c r="C66" s="101"/>
      <c r="D66" s="101"/>
      <c r="E66" s="101"/>
      <c r="F66" s="101"/>
      <c r="G66" s="71"/>
      <c r="H66" s="71" t="s">
        <v>367</v>
      </c>
      <c r="I66" s="102"/>
      <c r="J66" s="102"/>
      <c r="K66" s="102"/>
      <c r="L66" s="97">
        <f t="shared" si="10"/>
        <v>0</v>
      </c>
    </row>
    <row r="67" spans="1:12" ht="19.5" customHeight="1" x14ac:dyDescent="0.25">
      <c r="A67" s="86"/>
      <c r="B67" s="89"/>
      <c r="C67" s="101"/>
      <c r="D67" s="101"/>
      <c r="E67" s="101"/>
      <c r="F67" s="101"/>
      <c r="G67" s="71"/>
      <c r="H67" s="88" t="s">
        <v>368</v>
      </c>
      <c r="I67" s="102"/>
      <c r="J67" s="102"/>
      <c r="K67" s="102"/>
      <c r="L67" s="97">
        <f t="shared" si="10"/>
        <v>0</v>
      </c>
    </row>
    <row r="68" spans="1:12" ht="19.5" customHeight="1" x14ac:dyDescent="0.25">
      <c r="A68" s="86"/>
      <c r="B68" s="89"/>
      <c r="C68" s="101"/>
      <c r="D68" s="101"/>
      <c r="E68" s="101"/>
      <c r="F68" s="101"/>
      <c r="G68" s="71"/>
      <c r="H68" s="71" t="s">
        <v>369</v>
      </c>
      <c r="I68" s="102"/>
      <c r="J68" s="102"/>
      <c r="K68" s="102"/>
      <c r="L68" s="97">
        <f t="shared" si="10"/>
        <v>0</v>
      </c>
    </row>
    <row r="69" spans="1:12" ht="19.5" customHeight="1" x14ac:dyDescent="0.25">
      <c r="A69" s="86"/>
      <c r="B69" s="89"/>
      <c r="C69" s="101"/>
      <c r="D69" s="101"/>
      <c r="E69" s="101"/>
      <c r="F69" s="101"/>
      <c r="G69" s="71"/>
      <c r="H69" s="71" t="s">
        <v>370</v>
      </c>
      <c r="I69" s="102"/>
      <c r="J69" s="102"/>
      <c r="K69" s="102"/>
      <c r="L69" s="97">
        <f t="shared" ref="L69:L78" si="38">I69+J69</f>
        <v>0</v>
      </c>
    </row>
    <row r="70" spans="1:12" ht="19.5" customHeight="1" x14ac:dyDescent="0.25">
      <c r="A70" s="86"/>
      <c r="B70" s="89"/>
      <c r="C70" s="101"/>
      <c r="D70" s="101"/>
      <c r="E70" s="101"/>
      <c r="F70" s="101"/>
      <c r="G70" s="71"/>
      <c r="H70" s="71" t="s">
        <v>371</v>
      </c>
      <c r="I70" s="102"/>
      <c r="J70" s="102"/>
      <c r="K70" s="102"/>
      <c r="L70" s="97">
        <f t="shared" si="38"/>
        <v>0</v>
      </c>
    </row>
    <row r="71" spans="1:12" ht="19.5" customHeight="1" x14ac:dyDescent="0.25">
      <c r="A71" s="86"/>
      <c r="B71" s="89"/>
      <c r="C71" s="101"/>
      <c r="D71" s="101"/>
      <c r="E71" s="101"/>
      <c r="F71" s="101"/>
      <c r="G71" s="71"/>
      <c r="H71" s="71" t="s">
        <v>372</v>
      </c>
      <c r="I71" s="102"/>
      <c r="J71" s="102"/>
      <c r="K71" s="102"/>
      <c r="L71" s="97">
        <f t="shared" si="38"/>
        <v>0</v>
      </c>
    </row>
    <row r="72" spans="1:12" ht="19.5" customHeight="1" x14ac:dyDescent="0.25">
      <c r="A72" s="86"/>
      <c r="B72" s="87"/>
      <c r="C72" s="101"/>
      <c r="D72" s="101"/>
      <c r="E72" s="101"/>
      <c r="F72" s="101"/>
      <c r="G72" s="421" t="s">
        <v>100</v>
      </c>
      <c r="H72" s="414" t="s">
        <v>502</v>
      </c>
      <c r="I72" s="415">
        <f>SUM(I73:I78)</f>
        <v>0</v>
      </c>
      <c r="J72" s="415">
        <f t="shared" ref="J72:L72" si="39">SUM(J73:J78)</f>
        <v>0</v>
      </c>
      <c r="K72" s="415">
        <f t="shared" ref="K72" si="40">SUM(K73:K78)</f>
        <v>0</v>
      </c>
      <c r="L72" s="415">
        <f t="shared" si="39"/>
        <v>0</v>
      </c>
    </row>
    <row r="73" spans="1:12" ht="21.75" customHeight="1" x14ac:dyDescent="0.25">
      <c r="A73" s="86"/>
      <c r="B73" s="89"/>
      <c r="C73" s="101"/>
      <c r="D73" s="101"/>
      <c r="E73" s="101"/>
      <c r="F73" s="101"/>
      <c r="G73" s="71"/>
      <c r="H73" s="71" t="s">
        <v>373</v>
      </c>
      <c r="I73" s="108" t="s">
        <v>253</v>
      </c>
      <c r="J73" s="108"/>
      <c r="K73" s="108"/>
      <c r="L73" s="97"/>
    </row>
    <row r="74" spans="1:12" ht="21.75" customHeight="1" x14ac:dyDescent="0.25">
      <c r="A74" s="86"/>
      <c r="B74" s="84"/>
      <c r="C74" s="101"/>
      <c r="D74" s="101"/>
      <c r="E74" s="101"/>
      <c r="F74" s="101"/>
      <c r="G74" s="71"/>
      <c r="H74" s="71" t="s">
        <v>374</v>
      </c>
      <c r="I74" s="102"/>
      <c r="J74" s="102"/>
      <c r="K74" s="102"/>
      <c r="L74" s="97">
        <f t="shared" si="38"/>
        <v>0</v>
      </c>
    </row>
    <row r="75" spans="1:12" ht="19.5" customHeight="1" x14ac:dyDescent="0.25">
      <c r="A75" s="86"/>
      <c r="B75" s="89"/>
      <c r="C75" s="101"/>
      <c r="D75" s="101"/>
      <c r="E75" s="101"/>
      <c r="F75" s="101"/>
      <c r="G75" s="71"/>
      <c r="H75" s="71" t="s">
        <v>375</v>
      </c>
      <c r="I75" s="102"/>
      <c r="J75" s="102"/>
      <c r="K75" s="102"/>
      <c r="L75" s="97">
        <f t="shared" si="38"/>
        <v>0</v>
      </c>
    </row>
    <row r="76" spans="1:12" ht="19.5" customHeight="1" x14ac:dyDescent="0.25">
      <c r="A76" s="86"/>
      <c r="B76" s="89"/>
      <c r="C76" s="101"/>
      <c r="D76" s="101"/>
      <c r="E76" s="101"/>
      <c r="F76" s="101"/>
      <c r="G76" s="71"/>
      <c r="H76" s="71" t="s">
        <v>376</v>
      </c>
      <c r="I76" s="102"/>
      <c r="J76" s="102"/>
      <c r="K76" s="102"/>
      <c r="L76" s="97">
        <f t="shared" si="38"/>
        <v>0</v>
      </c>
    </row>
    <row r="77" spans="1:12" ht="19.5" customHeight="1" x14ac:dyDescent="0.25">
      <c r="A77" s="86"/>
      <c r="B77" s="89"/>
      <c r="C77" s="101"/>
      <c r="D77" s="101"/>
      <c r="E77" s="101"/>
      <c r="F77" s="101"/>
      <c r="G77" s="71"/>
      <c r="H77" s="71" t="s">
        <v>1043</v>
      </c>
      <c r="I77" s="102"/>
      <c r="J77" s="102"/>
      <c r="K77" s="102"/>
      <c r="L77" s="97">
        <f t="shared" si="38"/>
        <v>0</v>
      </c>
    </row>
    <row r="78" spans="1:12" ht="20.25" customHeight="1" x14ac:dyDescent="0.25">
      <c r="A78" s="86"/>
      <c r="B78" s="89"/>
      <c r="C78" s="101"/>
      <c r="D78" s="101"/>
      <c r="E78" s="101"/>
      <c r="F78" s="101"/>
      <c r="G78" s="71"/>
      <c r="H78" s="71" t="s">
        <v>1053</v>
      </c>
      <c r="I78" s="102"/>
      <c r="J78" s="102"/>
      <c r="K78" s="102"/>
      <c r="L78" s="97">
        <f t="shared" si="38"/>
        <v>0</v>
      </c>
    </row>
    <row r="79" spans="1:12" s="692" customFormat="1" ht="20.25" customHeight="1" x14ac:dyDescent="0.25">
      <c r="A79" s="689"/>
      <c r="B79" s="690" t="s">
        <v>192</v>
      </c>
      <c r="C79" s="691">
        <f>C80+C86+C92</f>
        <v>0</v>
      </c>
      <c r="D79" s="691">
        <f t="shared" ref="D79:F79" si="41">D80+D86+D92</f>
        <v>0</v>
      </c>
      <c r="E79" s="691">
        <f t="shared" ref="E79" si="42">E80+E86+E92</f>
        <v>0</v>
      </c>
      <c r="F79" s="691">
        <f t="shared" si="41"/>
        <v>0</v>
      </c>
      <c r="G79" s="689"/>
      <c r="H79" s="690" t="s">
        <v>200</v>
      </c>
      <c r="I79" s="691">
        <f>I80+I88+I93</f>
        <v>620</v>
      </c>
      <c r="J79" s="691">
        <f t="shared" ref="J79:L79" si="43">J80+J88+J93</f>
        <v>0</v>
      </c>
      <c r="K79" s="691">
        <f t="shared" ref="K79" si="44">K80+K88+K93</f>
        <v>463</v>
      </c>
      <c r="L79" s="691">
        <f t="shared" si="43"/>
        <v>1083</v>
      </c>
    </row>
    <row r="80" spans="1:12" ht="20.25" customHeight="1" x14ac:dyDescent="0.25">
      <c r="A80" s="421" t="s">
        <v>100</v>
      </c>
      <c r="B80" s="422" t="s">
        <v>417</v>
      </c>
      <c r="C80" s="423">
        <f>SUM(C81:C85)</f>
        <v>0</v>
      </c>
      <c r="D80" s="423">
        <f t="shared" ref="D80:F80" si="45">SUM(D81:D85)</f>
        <v>0</v>
      </c>
      <c r="E80" s="423">
        <f t="shared" ref="E80" si="46">SUM(E81:E85)</f>
        <v>0</v>
      </c>
      <c r="F80" s="423">
        <f t="shared" si="45"/>
        <v>0</v>
      </c>
      <c r="G80" s="421" t="s">
        <v>181</v>
      </c>
      <c r="H80" s="414" t="s">
        <v>380</v>
      </c>
      <c r="I80" s="415">
        <f>SUM(I81:I87)</f>
        <v>620</v>
      </c>
      <c r="J80" s="415">
        <f t="shared" ref="J80:L80" si="47">SUM(J81:J87)</f>
        <v>0</v>
      </c>
      <c r="K80" s="415">
        <f t="shared" ref="K80" si="48">SUM(K81:K87)</f>
        <v>463</v>
      </c>
      <c r="L80" s="415">
        <f t="shared" si="47"/>
        <v>1083</v>
      </c>
    </row>
    <row r="81" spans="1:12" ht="20.25" customHeight="1" x14ac:dyDescent="0.25">
      <c r="A81" s="86"/>
      <c r="B81" s="84" t="s">
        <v>418</v>
      </c>
      <c r="C81" s="103" t="s">
        <v>253</v>
      </c>
      <c r="D81" s="103"/>
      <c r="E81" s="103"/>
      <c r="F81" s="103"/>
      <c r="G81" s="86"/>
      <c r="H81" s="92" t="s">
        <v>378</v>
      </c>
      <c r="I81" s="97"/>
      <c r="J81" s="97"/>
      <c r="K81" s="97"/>
      <c r="L81" s="97">
        <f t="shared" ref="L81:L117" si="49">I81+J81</f>
        <v>0</v>
      </c>
    </row>
    <row r="82" spans="1:12" ht="29.25" customHeight="1" x14ac:dyDescent="0.25">
      <c r="A82" s="86"/>
      <c r="B82" s="84" t="s">
        <v>419</v>
      </c>
      <c r="C82" s="103"/>
      <c r="D82" s="103"/>
      <c r="E82" s="103"/>
      <c r="F82" s="103"/>
      <c r="G82" s="86"/>
      <c r="H82" s="92" t="s">
        <v>379</v>
      </c>
      <c r="I82" s="97"/>
      <c r="J82" s="97"/>
      <c r="K82" s="97"/>
      <c r="L82" s="97">
        <f t="shared" si="49"/>
        <v>0</v>
      </c>
    </row>
    <row r="83" spans="1:12" ht="29.25" customHeight="1" x14ac:dyDescent="0.25">
      <c r="A83" s="86"/>
      <c r="B83" s="84" t="s">
        <v>420</v>
      </c>
      <c r="C83" s="103"/>
      <c r="D83" s="103"/>
      <c r="E83" s="103"/>
      <c r="F83" s="103"/>
      <c r="G83" s="71"/>
      <c r="H83" s="71" t="s">
        <v>381</v>
      </c>
      <c r="I83" s="100"/>
      <c r="J83" s="100"/>
      <c r="K83" s="100">
        <v>365</v>
      </c>
      <c r="L83" s="97">
        <f>I83+J83+K83</f>
        <v>365</v>
      </c>
    </row>
    <row r="84" spans="1:12" ht="29.25" customHeight="1" x14ac:dyDescent="0.25">
      <c r="A84" s="86"/>
      <c r="B84" s="84" t="s">
        <v>421</v>
      </c>
      <c r="C84" s="103"/>
      <c r="D84" s="103"/>
      <c r="E84" s="103"/>
      <c r="F84" s="103"/>
      <c r="G84" s="71"/>
      <c r="H84" s="71" t="s">
        <v>870</v>
      </c>
      <c r="I84" s="100">
        <f>620/127%</f>
        <v>488.18897637795277</v>
      </c>
      <c r="J84" s="100"/>
      <c r="K84" s="100"/>
      <c r="L84" s="97">
        <f>I84+J84+K84</f>
        <v>488.18897637795277</v>
      </c>
    </row>
    <row r="85" spans="1:12" ht="21" customHeight="1" x14ac:dyDescent="0.25">
      <c r="A85" s="86"/>
      <c r="B85" s="84" t="s">
        <v>422</v>
      </c>
      <c r="C85" s="103"/>
      <c r="D85" s="103"/>
      <c r="E85" s="103"/>
      <c r="F85" s="103"/>
      <c r="G85" s="71"/>
      <c r="H85" s="71" t="s">
        <v>383</v>
      </c>
      <c r="I85" s="100"/>
      <c r="J85" s="100"/>
      <c r="K85" s="100"/>
      <c r="L85" s="97">
        <f t="shared" ref="L85:L87" si="50">I85+J85+K85</f>
        <v>0</v>
      </c>
    </row>
    <row r="86" spans="1:12" ht="20.25" customHeight="1" x14ac:dyDescent="0.25">
      <c r="A86" s="421" t="s">
        <v>181</v>
      </c>
      <c r="B86" s="422" t="s">
        <v>423</v>
      </c>
      <c r="C86" s="423">
        <f>SUM(C87:C91)</f>
        <v>0</v>
      </c>
      <c r="D86" s="423">
        <f t="shared" ref="D86:F86" si="51">SUM(D87:D91)</f>
        <v>0</v>
      </c>
      <c r="E86" s="423">
        <f t="shared" ref="E86" si="52">SUM(E87:E91)</f>
        <v>0</v>
      </c>
      <c r="F86" s="423">
        <f t="shared" si="51"/>
        <v>0</v>
      </c>
      <c r="G86" s="71"/>
      <c r="H86" s="71" t="s">
        <v>384</v>
      </c>
      <c r="I86" s="100"/>
      <c r="J86" s="100"/>
      <c r="K86" s="100"/>
      <c r="L86" s="97">
        <f t="shared" si="50"/>
        <v>0</v>
      </c>
    </row>
    <row r="87" spans="1:12" ht="20.25" customHeight="1" x14ac:dyDescent="0.25">
      <c r="A87" s="86"/>
      <c r="B87" s="89" t="s">
        <v>424</v>
      </c>
      <c r="C87" s="103"/>
      <c r="D87" s="103"/>
      <c r="E87" s="103"/>
      <c r="F87" s="103"/>
      <c r="G87" s="71"/>
      <c r="H87" s="71" t="s">
        <v>385</v>
      </c>
      <c r="I87" s="100">
        <f>+I84*27%</f>
        <v>131.81102362204726</v>
      </c>
      <c r="J87" s="100"/>
      <c r="K87" s="100">
        <v>98</v>
      </c>
      <c r="L87" s="97">
        <f t="shared" si="50"/>
        <v>229.81102362204726</v>
      </c>
    </row>
    <row r="88" spans="1:12" ht="20.25" customHeight="1" x14ac:dyDescent="0.25">
      <c r="A88" s="86"/>
      <c r="B88" s="89" t="s">
        <v>425</v>
      </c>
      <c r="C88" s="103"/>
      <c r="D88" s="103"/>
      <c r="E88" s="103"/>
      <c r="F88" s="103"/>
      <c r="G88" s="421" t="s">
        <v>191</v>
      </c>
      <c r="H88" s="414" t="s">
        <v>386</v>
      </c>
      <c r="I88" s="415">
        <f>SUM(I89:I92)</f>
        <v>0</v>
      </c>
      <c r="J88" s="415">
        <f t="shared" ref="J88:L88" si="53">SUM(J89:J92)</f>
        <v>0</v>
      </c>
      <c r="K88" s="415">
        <f t="shared" ref="K88" si="54">SUM(K89:K92)</f>
        <v>0</v>
      </c>
      <c r="L88" s="415">
        <f t="shared" si="53"/>
        <v>0</v>
      </c>
    </row>
    <row r="89" spans="1:12" ht="20.25" customHeight="1" x14ac:dyDescent="0.25">
      <c r="A89" s="86"/>
      <c r="B89" s="89" t="s">
        <v>426</v>
      </c>
      <c r="C89" s="103"/>
      <c r="D89" s="103"/>
      <c r="E89" s="103"/>
      <c r="F89" s="103"/>
      <c r="G89" s="71"/>
      <c r="H89" s="71" t="s">
        <v>387</v>
      </c>
      <c r="I89" s="100"/>
      <c r="J89" s="100"/>
      <c r="K89" s="100"/>
      <c r="L89" s="97">
        <f t="shared" si="49"/>
        <v>0</v>
      </c>
    </row>
    <row r="90" spans="1:12" ht="20.25" customHeight="1" x14ac:dyDescent="0.25">
      <c r="A90" s="86"/>
      <c r="B90" s="89" t="s">
        <v>427</v>
      </c>
      <c r="C90" s="103"/>
      <c r="D90" s="103"/>
      <c r="E90" s="103"/>
      <c r="F90" s="103"/>
      <c r="G90" s="71"/>
      <c r="H90" s="71" t="s">
        <v>388</v>
      </c>
      <c r="I90" s="100"/>
      <c r="J90" s="100"/>
      <c r="K90" s="100"/>
      <c r="L90" s="97">
        <f t="shared" si="49"/>
        <v>0</v>
      </c>
    </row>
    <row r="91" spans="1:12" ht="20.25" customHeight="1" x14ac:dyDescent="0.25">
      <c r="A91" s="86"/>
      <c r="B91" s="89" t="s">
        <v>428</v>
      </c>
      <c r="C91" s="103"/>
      <c r="D91" s="103"/>
      <c r="E91" s="103"/>
      <c r="F91" s="103"/>
      <c r="G91" s="71"/>
      <c r="H91" s="71" t="s">
        <v>389</v>
      </c>
      <c r="I91" s="100"/>
      <c r="J91" s="100"/>
      <c r="K91" s="100"/>
      <c r="L91" s="97">
        <f t="shared" si="49"/>
        <v>0</v>
      </c>
    </row>
    <row r="92" spans="1:12" ht="20.25" customHeight="1" x14ac:dyDescent="0.25">
      <c r="A92" s="421" t="s">
        <v>191</v>
      </c>
      <c r="B92" s="422" t="s">
        <v>429</v>
      </c>
      <c r="C92" s="423">
        <f>C93+C94+C95</f>
        <v>0</v>
      </c>
      <c r="D92" s="423">
        <f t="shared" ref="D92:F92" si="55">D93+D94+D95</f>
        <v>0</v>
      </c>
      <c r="E92" s="423">
        <f t="shared" ref="E92" si="56">E93+E94+E95</f>
        <v>0</v>
      </c>
      <c r="F92" s="423">
        <f t="shared" si="55"/>
        <v>0</v>
      </c>
      <c r="G92" s="71"/>
      <c r="H92" s="71" t="s">
        <v>390</v>
      </c>
      <c r="I92" s="100"/>
      <c r="J92" s="100"/>
      <c r="K92" s="100"/>
      <c r="L92" s="97">
        <f t="shared" si="49"/>
        <v>0</v>
      </c>
    </row>
    <row r="93" spans="1:12" ht="29.25" customHeight="1" x14ac:dyDescent="0.25">
      <c r="A93" s="86"/>
      <c r="B93" s="89" t="s">
        <v>430</v>
      </c>
      <c r="C93" s="103"/>
      <c r="D93" s="103"/>
      <c r="E93" s="103"/>
      <c r="F93" s="103"/>
      <c r="G93" s="421" t="s">
        <v>199</v>
      </c>
      <c r="H93" s="414" t="s">
        <v>391</v>
      </c>
      <c r="I93" s="415">
        <f>I94+I95</f>
        <v>0</v>
      </c>
      <c r="J93" s="415">
        <f t="shared" ref="J93:L93" si="57">J94+J95</f>
        <v>0</v>
      </c>
      <c r="K93" s="415">
        <f t="shared" ref="K93" si="58">K94+K95</f>
        <v>0</v>
      </c>
      <c r="L93" s="415">
        <f t="shared" si="57"/>
        <v>0</v>
      </c>
    </row>
    <row r="94" spans="1:12" ht="29.25" customHeight="1" x14ac:dyDescent="0.25">
      <c r="A94" s="86"/>
      <c r="B94" s="84" t="s">
        <v>1050</v>
      </c>
      <c r="C94" s="103"/>
      <c r="D94" s="103"/>
      <c r="E94" s="103"/>
      <c r="F94" s="103"/>
      <c r="G94" s="71"/>
      <c r="H94" s="71" t="s">
        <v>393</v>
      </c>
      <c r="I94" s="100"/>
      <c r="J94" s="100"/>
      <c r="K94" s="100"/>
      <c r="L94" s="97">
        <f t="shared" si="49"/>
        <v>0</v>
      </c>
    </row>
    <row r="95" spans="1:12" ht="21" customHeight="1" x14ac:dyDescent="0.25">
      <c r="A95" s="86"/>
      <c r="B95" s="89"/>
      <c r="C95" s="103"/>
      <c r="D95" s="103"/>
      <c r="E95" s="103"/>
      <c r="F95" s="103"/>
      <c r="G95" s="71"/>
      <c r="H95" s="71" t="s">
        <v>392</v>
      </c>
      <c r="I95" s="100"/>
      <c r="J95" s="100"/>
      <c r="K95" s="100"/>
      <c r="L95" s="97">
        <f t="shared" si="49"/>
        <v>0</v>
      </c>
    </row>
    <row r="96" spans="1:12" ht="20.25" customHeight="1" x14ac:dyDescent="0.25">
      <c r="A96" s="689"/>
      <c r="B96" s="696" t="s">
        <v>433</v>
      </c>
      <c r="C96" s="691">
        <f>C106+C117</f>
        <v>27626</v>
      </c>
      <c r="D96" s="691">
        <f t="shared" ref="D96:F96" si="59">D106+D117</f>
        <v>1068</v>
      </c>
      <c r="E96" s="691">
        <f t="shared" ref="E96" si="60">E106+E117</f>
        <v>463</v>
      </c>
      <c r="F96" s="691">
        <f t="shared" si="59"/>
        <v>29157</v>
      </c>
      <c r="G96" s="689"/>
      <c r="H96" s="690" t="s">
        <v>397</v>
      </c>
      <c r="I96" s="691">
        <f>I105+I116</f>
        <v>0</v>
      </c>
      <c r="J96" s="691">
        <f t="shared" ref="J96:L96" si="61">J105+J116</f>
        <v>0</v>
      </c>
      <c r="K96" s="691">
        <f t="shared" ref="K96" si="62">K105+K116</f>
        <v>0</v>
      </c>
      <c r="L96" s="691">
        <f t="shared" si="61"/>
        <v>0</v>
      </c>
    </row>
    <row r="97" spans="1:12" ht="21" customHeight="1" x14ac:dyDescent="0.25">
      <c r="A97" s="75"/>
      <c r="B97" s="94" t="s">
        <v>434</v>
      </c>
      <c r="C97" s="103"/>
      <c r="D97" s="103"/>
      <c r="E97" s="103"/>
      <c r="F97" s="103"/>
      <c r="G97" s="75"/>
      <c r="H97" s="94" t="s">
        <v>394</v>
      </c>
      <c r="I97" s="103"/>
      <c r="J97" s="103"/>
      <c r="K97" s="103"/>
      <c r="L97" s="97">
        <f t="shared" si="49"/>
        <v>0</v>
      </c>
    </row>
    <row r="98" spans="1:12" ht="20.25" customHeight="1" x14ac:dyDescent="0.25">
      <c r="A98" s="75"/>
      <c r="B98" s="94" t="s">
        <v>435</v>
      </c>
      <c r="C98" s="103"/>
      <c r="D98" s="103"/>
      <c r="E98" s="103"/>
      <c r="F98" s="103"/>
      <c r="G98" s="75"/>
      <c r="H98" s="94" t="s">
        <v>395</v>
      </c>
      <c r="I98" s="103"/>
      <c r="J98" s="103"/>
      <c r="K98" s="103"/>
      <c r="L98" s="97">
        <f t="shared" si="49"/>
        <v>0</v>
      </c>
    </row>
    <row r="99" spans="1:12" ht="20.25" customHeight="1" x14ac:dyDescent="0.25">
      <c r="A99" s="75"/>
      <c r="B99" s="94" t="s">
        <v>436</v>
      </c>
      <c r="C99" s="103"/>
      <c r="D99" s="103"/>
      <c r="E99" s="103"/>
      <c r="F99" s="103"/>
      <c r="G99" s="75"/>
      <c r="H99" s="94" t="s">
        <v>396</v>
      </c>
      <c r="I99" s="103"/>
      <c r="J99" s="103"/>
      <c r="K99" s="103"/>
      <c r="L99" s="97">
        <f t="shared" si="49"/>
        <v>0</v>
      </c>
    </row>
    <row r="100" spans="1:12" ht="20.25" customHeight="1" x14ac:dyDescent="0.25">
      <c r="A100" s="75"/>
      <c r="B100" s="95" t="s">
        <v>437</v>
      </c>
      <c r="C100" s="103">
        <f>C97+C98+C99</f>
        <v>0</v>
      </c>
      <c r="D100" s="103">
        <f t="shared" ref="D100:F100" si="63">D97+D98+D99</f>
        <v>0</v>
      </c>
      <c r="E100" s="103">
        <f t="shared" ref="E100" si="64">E97+E98+E99</f>
        <v>0</v>
      </c>
      <c r="F100" s="103">
        <f t="shared" si="63"/>
        <v>0</v>
      </c>
      <c r="G100" s="75"/>
      <c r="H100" s="95" t="s">
        <v>398</v>
      </c>
      <c r="I100" s="103">
        <f>I97+I98+I99</f>
        <v>0</v>
      </c>
      <c r="J100" s="103">
        <f t="shared" ref="J100:K100" si="65">J97+J98+J99</f>
        <v>0</v>
      </c>
      <c r="K100" s="103">
        <f t="shared" si="65"/>
        <v>0</v>
      </c>
      <c r="L100" s="97">
        <f t="shared" si="49"/>
        <v>0</v>
      </c>
    </row>
    <row r="101" spans="1:12" ht="20.25" customHeight="1" x14ac:dyDescent="0.25">
      <c r="A101" s="75"/>
      <c r="B101" s="69" t="s">
        <v>438</v>
      </c>
      <c r="C101" s="103"/>
      <c r="D101" s="103"/>
      <c r="E101" s="103"/>
      <c r="F101" s="103"/>
      <c r="G101" s="75"/>
      <c r="H101" s="94" t="s">
        <v>399</v>
      </c>
      <c r="I101" s="103"/>
      <c r="J101" s="103"/>
      <c r="K101" s="103"/>
      <c r="L101" s="97">
        <f t="shared" si="49"/>
        <v>0</v>
      </c>
    </row>
    <row r="102" spans="1:12" ht="20.25" customHeight="1" x14ac:dyDescent="0.25">
      <c r="A102" s="75"/>
      <c r="B102" s="69" t="s">
        <v>439</v>
      </c>
      <c r="C102" s="103"/>
      <c r="D102" s="103"/>
      <c r="E102" s="103"/>
      <c r="F102" s="103"/>
      <c r="G102" s="75"/>
      <c r="H102" s="94" t="s">
        <v>400</v>
      </c>
      <c r="I102" s="103"/>
      <c r="J102" s="103"/>
      <c r="K102" s="103"/>
      <c r="L102" s="97">
        <f t="shared" si="49"/>
        <v>0</v>
      </c>
    </row>
    <row r="103" spans="1:12" ht="20.25" customHeight="1" x14ac:dyDescent="0.25">
      <c r="A103" s="75"/>
      <c r="B103" s="70" t="s">
        <v>440</v>
      </c>
      <c r="C103" s="103">
        <f>C101+C102</f>
        <v>0</v>
      </c>
      <c r="D103" s="103">
        <f t="shared" ref="D103:F103" si="66">D101+D102</f>
        <v>0</v>
      </c>
      <c r="E103" s="103">
        <f t="shared" ref="E103" si="67">E101+E102</f>
        <v>0</v>
      </c>
      <c r="F103" s="103">
        <f t="shared" si="66"/>
        <v>0</v>
      </c>
      <c r="G103" s="75"/>
      <c r="H103" s="95" t="s">
        <v>401</v>
      </c>
      <c r="I103" s="103">
        <f>I101+I102</f>
        <v>0</v>
      </c>
      <c r="J103" s="103">
        <f t="shared" ref="J103:K103" si="68">J101+J102</f>
        <v>0</v>
      </c>
      <c r="K103" s="103">
        <f t="shared" si="68"/>
        <v>0</v>
      </c>
      <c r="L103" s="97">
        <f t="shared" si="49"/>
        <v>0</v>
      </c>
    </row>
    <row r="104" spans="1:12" ht="20.25" customHeight="1" x14ac:dyDescent="0.25">
      <c r="A104" s="75"/>
      <c r="B104" s="70" t="s">
        <v>441</v>
      </c>
      <c r="C104" s="103">
        <f>26+3</f>
        <v>29</v>
      </c>
      <c r="D104" s="103"/>
      <c r="E104" s="103">
        <v>1374</v>
      </c>
      <c r="F104" s="316">
        <f>C104+D104+E104</f>
        <v>1403</v>
      </c>
      <c r="G104" s="75"/>
      <c r="H104" s="95" t="s">
        <v>402</v>
      </c>
      <c r="I104" s="103"/>
      <c r="J104" s="103"/>
      <c r="K104" s="103"/>
      <c r="L104" s="97">
        <f t="shared" si="49"/>
        <v>0</v>
      </c>
    </row>
    <row r="105" spans="1:12" ht="20.25" customHeight="1" x14ac:dyDescent="0.25">
      <c r="A105" s="75"/>
      <c r="B105" s="70" t="s">
        <v>442</v>
      </c>
      <c r="C105" s="103">
        <v>26977</v>
      </c>
      <c r="D105" s="103">
        <v>1068</v>
      </c>
      <c r="E105" s="103">
        <v>-911</v>
      </c>
      <c r="F105" s="316">
        <f>C105+D105+E105</f>
        <v>27134</v>
      </c>
      <c r="G105" s="75"/>
      <c r="H105" s="75" t="s">
        <v>403</v>
      </c>
      <c r="I105" s="113">
        <f>I100+I103+I104</f>
        <v>0</v>
      </c>
      <c r="J105" s="113">
        <f t="shared" ref="J105:K105" si="69">J100+J103+J104</f>
        <v>0</v>
      </c>
      <c r="K105" s="113">
        <f t="shared" si="69"/>
        <v>0</v>
      </c>
      <c r="L105" s="97">
        <f t="shared" si="49"/>
        <v>0</v>
      </c>
    </row>
    <row r="106" spans="1:12" ht="20.25" customHeight="1" x14ac:dyDescent="0.25">
      <c r="A106" s="75"/>
      <c r="B106" s="80" t="s">
        <v>443</v>
      </c>
      <c r="C106" s="113">
        <f>C100+C103+C104+C105</f>
        <v>27006</v>
      </c>
      <c r="D106" s="113">
        <f t="shared" ref="D106:F106" si="70">D100+D103+D104+D105</f>
        <v>1068</v>
      </c>
      <c r="E106" s="113">
        <f t="shared" ref="E106" si="71">E100+E103+E104+E105</f>
        <v>463</v>
      </c>
      <c r="F106" s="113">
        <f t="shared" si="70"/>
        <v>28537</v>
      </c>
      <c r="G106" s="75"/>
      <c r="H106" s="95"/>
      <c r="I106" s="103"/>
      <c r="J106" s="103"/>
      <c r="K106" s="103"/>
      <c r="L106" s="97">
        <f t="shared" si="49"/>
        <v>0</v>
      </c>
    </row>
    <row r="107" spans="1:12" ht="20.25" customHeight="1" x14ac:dyDescent="0.25">
      <c r="A107" s="90"/>
      <c r="B107" s="79"/>
      <c r="C107" s="104"/>
      <c r="D107" s="104"/>
      <c r="E107" s="104"/>
      <c r="F107" s="104"/>
      <c r="G107" s="90"/>
      <c r="H107" s="90"/>
      <c r="I107" s="104"/>
      <c r="J107" s="104"/>
      <c r="K107" s="104"/>
      <c r="L107" s="104"/>
    </row>
    <row r="108" spans="1:12" ht="20.25" customHeight="1" x14ac:dyDescent="0.25">
      <c r="A108" s="75"/>
      <c r="B108" s="94" t="s">
        <v>434</v>
      </c>
      <c r="C108" s="103"/>
      <c r="D108" s="103"/>
      <c r="E108" s="103"/>
      <c r="F108" s="103"/>
      <c r="G108" s="75"/>
      <c r="H108" s="94" t="s">
        <v>394</v>
      </c>
      <c r="I108" s="103"/>
      <c r="J108" s="103"/>
      <c r="K108" s="103"/>
      <c r="L108" s="97">
        <f t="shared" si="49"/>
        <v>0</v>
      </c>
    </row>
    <row r="109" spans="1:12" ht="20.25" customHeight="1" x14ac:dyDescent="0.25">
      <c r="A109" s="75"/>
      <c r="B109" s="94" t="s">
        <v>435</v>
      </c>
      <c r="C109" s="103"/>
      <c r="D109" s="103"/>
      <c r="E109" s="103"/>
      <c r="F109" s="103"/>
      <c r="G109" s="75"/>
      <c r="H109" s="94" t="s">
        <v>395</v>
      </c>
      <c r="I109" s="103"/>
      <c r="J109" s="103"/>
      <c r="K109" s="103"/>
      <c r="L109" s="97">
        <f t="shared" si="49"/>
        <v>0</v>
      </c>
    </row>
    <row r="110" spans="1:12" ht="20.25" customHeight="1" x14ac:dyDescent="0.25">
      <c r="A110" s="75"/>
      <c r="B110" s="94" t="s">
        <v>436</v>
      </c>
      <c r="C110" s="103"/>
      <c r="D110" s="103"/>
      <c r="E110" s="103"/>
      <c r="F110" s="103"/>
      <c r="G110" s="75"/>
      <c r="H110" s="94" t="s">
        <v>396</v>
      </c>
      <c r="I110" s="103"/>
      <c r="J110" s="103"/>
      <c r="K110" s="103"/>
      <c r="L110" s="97">
        <f t="shared" si="49"/>
        <v>0</v>
      </c>
    </row>
    <row r="111" spans="1:12" ht="20.25" customHeight="1" x14ac:dyDescent="0.25">
      <c r="A111" s="75"/>
      <c r="B111" s="95" t="s">
        <v>437</v>
      </c>
      <c r="C111" s="103">
        <f>C108+C109+C110</f>
        <v>0</v>
      </c>
      <c r="D111" s="103">
        <f t="shared" ref="D111:F111" si="72">D108+D109+D110</f>
        <v>0</v>
      </c>
      <c r="E111" s="103">
        <f t="shared" ref="E111" si="73">E108+E109+E110</f>
        <v>0</v>
      </c>
      <c r="F111" s="103">
        <f t="shared" si="72"/>
        <v>0</v>
      </c>
      <c r="G111" s="75"/>
      <c r="H111" s="95" t="s">
        <v>398</v>
      </c>
      <c r="I111" s="103">
        <f>I108+I109+I110</f>
        <v>0</v>
      </c>
      <c r="J111" s="103">
        <f t="shared" ref="J111:K111" si="74">J108+J109+J110</f>
        <v>0</v>
      </c>
      <c r="K111" s="103">
        <f t="shared" si="74"/>
        <v>0</v>
      </c>
      <c r="L111" s="97">
        <f t="shared" si="49"/>
        <v>0</v>
      </c>
    </row>
    <row r="112" spans="1:12" ht="20.25" customHeight="1" x14ac:dyDescent="0.25">
      <c r="A112" s="75"/>
      <c r="B112" s="69" t="s">
        <v>438</v>
      </c>
      <c r="C112" s="103"/>
      <c r="D112" s="103"/>
      <c r="E112" s="103"/>
      <c r="F112" s="103"/>
      <c r="G112" s="75"/>
      <c r="H112" s="94" t="s">
        <v>399</v>
      </c>
      <c r="I112" s="103"/>
      <c r="J112" s="103"/>
      <c r="K112" s="103"/>
      <c r="L112" s="97">
        <f t="shared" si="49"/>
        <v>0</v>
      </c>
    </row>
    <row r="113" spans="1:13" ht="20.25" customHeight="1" x14ac:dyDescent="0.25">
      <c r="A113" s="75"/>
      <c r="B113" s="69" t="s">
        <v>439</v>
      </c>
      <c r="C113" s="103"/>
      <c r="D113" s="103"/>
      <c r="E113" s="103"/>
      <c r="F113" s="103"/>
      <c r="G113" s="75"/>
      <c r="H113" s="94" t="s">
        <v>400</v>
      </c>
      <c r="I113" s="103"/>
      <c r="J113" s="103"/>
      <c r="K113" s="103"/>
      <c r="L113" s="97">
        <f t="shared" si="49"/>
        <v>0</v>
      </c>
    </row>
    <row r="114" spans="1:13" ht="20.25" customHeight="1" x14ac:dyDescent="0.25">
      <c r="A114" s="75"/>
      <c r="B114" s="70" t="s">
        <v>440</v>
      </c>
      <c r="C114" s="103">
        <f>C112+C113</f>
        <v>0</v>
      </c>
      <c r="D114" s="103">
        <f t="shared" ref="D114:F114" si="75">D112+D113</f>
        <v>0</v>
      </c>
      <c r="E114" s="103">
        <f t="shared" ref="E114" si="76">E112+E113</f>
        <v>0</v>
      </c>
      <c r="F114" s="103">
        <f t="shared" si="75"/>
        <v>0</v>
      </c>
      <c r="G114" s="75"/>
      <c r="H114" s="95" t="s">
        <v>401</v>
      </c>
      <c r="I114" s="103">
        <f>I112+I113</f>
        <v>0</v>
      </c>
      <c r="J114" s="103">
        <f t="shared" ref="J114:K114" si="77">J112+J113</f>
        <v>0</v>
      </c>
      <c r="K114" s="103">
        <f t="shared" si="77"/>
        <v>0</v>
      </c>
      <c r="L114" s="97">
        <f t="shared" si="49"/>
        <v>0</v>
      </c>
    </row>
    <row r="115" spans="1:13" ht="20.25" customHeight="1" x14ac:dyDescent="0.25">
      <c r="A115" s="75"/>
      <c r="B115" s="70" t="s">
        <v>444</v>
      </c>
      <c r="C115" s="103"/>
      <c r="D115" s="103"/>
      <c r="E115" s="103"/>
      <c r="F115" s="103"/>
      <c r="G115" s="75"/>
      <c r="H115" s="95" t="s">
        <v>402</v>
      </c>
      <c r="I115" s="103"/>
      <c r="J115" s="103"/>
      <c r="K115" s="103"/>
      <c r="L115" s="97">
        <f t="shared" si="49"/>
        <v>0</v>
      </c>
    </row>
    <row r="116" spans="1:13" ht="20.25" customHeight="1" x14ac:dyDescent="0.25">
      <c r="A116" s="75"/>
      <c r="B116" s="70" t="s">
        <v>442</v>
      </c>
      <c r="C116" s="103">
        <v>620</v>
      </c>
      <c r="D116" s="103"/>
      <c r="E116" s="103"/>
      <c r="F116" s="316">
        <f t="shared" ref="F116:F117" si="78">C116+D116</f>
        <v>620</v>
      </c>
      <c r="G116" s="75"/>
      <c r="H116" s="75" t="s">
        <v>404</v>
      </c>
      <c r="I116" s="113">
        <f>I111+I114+I115</f>
        <v>0</v>
      </c>
      <c r="J116" s="113">
        <f t="shared" ref="J116:K116" si="79">J111+J114+J115</f>
        <v>0</v>
      </c>
      <c r="K116" s="113">
        <f t="shared" si="79"/>
        <v>0</v>
      </c>
      <c r="L116" s="97">
        <f t="shared" si="49"/>
        <v>0</v>
      </c>
    </row>
    <row r="117" spans="1:13" ht="20.25" customHeight="1" x14ac:dyDescent="0.25">
      <c r="A117" s="110"/>
      <c r="B117" s="80" t="s">
        <v>445</v>
      </c>
      <c r="C117" s="113">
        <f>C111+C114+C115+C116</f>
        <v>620</v>
      </c>
      <c r="D117" s="113">
        <f t="shared" ref="D117:E117" si="80">D111+D114+D115+D116</f>
        <v>0</v>
      </c>
      <c r="E117" s="113">
        <f t="shared" si="80"/>
        <v>0</v>
      </c>
      <c r="F117" s="316">
        <f t="shared" si="78"/>
        <v>620</v>
      </c>
      <c r="G117" s="110"/>
      <c r="H117" s="95"/>
      <c r="I117" s="103"/>
      <c r="J117" s="103"/>
      <c r="K117" s="103"/>
      <c r="L117" s="97">
        <f t="shared" si="49"/>
        <v>0</v>
      </c>
    </row>
    <row r="118" spans="1:13" ht="20.25" customHeight="1" x14ac:dyDescent="0.25">
      <c r="A118" s="740" t="s">
        <v>143</v>
      </c>
      <c r="B118" s="741"/>
      <c r="C118" s="428">
        <f>C2+C79+C96</f>
        <v>42811</v>
      </c>
      <c r="D118" s="428">
        <f t="shared" ref="D118:F118" si="81">D2+D79+D96</f>
        <v>1068</v>
      </c>
      <c r="E118" s="428">
        <f t="shared" ref="E118" si="82">E2+E79+E96</f>
        <v>463</v>
      </c>
      <c r="F118" s="428">
        <f t="shared" si="81"/>
        <v>44342</v>
      </c>
      <c r="G118" s="740" t="s">
        <v>144</v>
      </c>
      <c r="H118" s="741"/>
      <c r="I118" s="428">
        <f>I2+I79+I96</f>
        <v>42811.136652000001</v>
      </c>
      <c r="J118" s="428">
        <f t="shared" ref="J118:K118" si="83">J2+J79+J96</f>
        <v>1068</v>
      </c>
      <c r="K118" s="428">
        <f t="shared" si="83"/>
        <v>463</v>
      </c>
      <c r="L118" s="428">
        <f>L2+L79+L96</f>
        <v>44342.136652000001</v>
      </c>
    </row>
    <row r="120" spans="1:13" x14ac:dyDescent="0.25">
      <c r="I120" s="117">
        <f>+C118-I118</f>
        <v>-0.1366520000010496</v>
      </c>
      <c r="J120" s="117">
        <f>+D118-J118</f>
        <v>0</v>
      </c>
      <c r="K120" s="117">
        <f>+E118-K118</f>
        <v>0</v>
      </c>
      <c r="L120" s="117">
        <f>+F118-L118</f>
        <v>-0.1366520000010496</v>
      </c>
      <c r="M120" s="117"/>
    </row>
    <row r="122" spans="1:13" x14ac:dyDescent="0.25">
      <c r="C122" s="117"/>
      <c r="D122" s="117"/>
      <c r="E122" s="117"/>
      <c r="F122" s="117"/>
      <c r="I122" s="429"/>
      <c r="J122" s="429"/>
      <c r="K122" s="429"/>
      <c r="L122" s="429"/>
    </row>
    <row r="123" spans="1:13" x14ac:dyDescent="0.25">
      <c r="I123" s="429"/>
      <c r="J123" s="429"/>
      <c r="K123" s="429"/>
      <c r="L123" s="429"/>
    </row>
    <row r="124" spans="1:13" x14ac:dyDescent="0.25">
      <c r="I124" s="429"/>
      <c r="J124" s="429"/>
      <c r="K124" s="429"/>
      <c r="L124" s="429"/>
    </row>
    <row r="125" spans="1:13" x14ac:dyDescent="0.25">
      <c r="I125" s="429"/>
      <c r="J125" s="429"/>
      <c r="K125" s="429"/>
      <c r="L125" s="429"/>
    </row>
    <row r="126" spans="1:13" x14ac:dyDescent="0.25">
      <c r="I126" s="429"/>
      <c r="J126" s="429"/>
      <c r="K126" s="429"/>
      <c r="L126" s="429"/>
    </row>
  </sheetData>
  <mergeCells count="2">
    <mergeCell ref="A118:B118"/>
    <mergeCell ref="G118:H1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>&amp;CTaksony Nagyközség Önkormányzat 2016. évi költségvetés 
2. sz. módosítás&amp;R6.a.sz. melléklet</oddHeader>
    <oddFooter xml:space="preserve">&amp;LKészült: &amp;D
&amp;R/:Kreisz László://:Dr.Micheller Anita:/       </oddFooter>
  </headerFooter>
  <rowBreaks count="1" manualBreakCount="1">
    <brk id="71" max="9" man="1"/>
  </rowBreaks>
  <colBreaks count="1" manualBreakCount="1">
    <brk id="6" max="11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L97"/>
  <sheetViews>
    <sheetView view="pageBreakPreview" zoomScale="70" zoomScaleNormal="70" zoomScaleSheetLayoutView="70" workbookViewId="0">
      <pane ySplit="1" topLeftCell="A2" activePane="bottomLeft" state="frozen"/>
      <selection activeCell="G32" sqref="G32"/>
      <selection pane="bottomLeft" activeCell="F97" sqref="F97"/>
    </sheetView>
  </sheetViews>
  <sheetFormatPr defaultRowHeight="15" x14ac:dyDescent="0.25"/>
  <cols>
    <col min="1" max="1" width="6.7109375" style="21" customWidth="1"/>
    <col min="2" max="2" width="71.5703125" style="21" customWidth="1"/>
    <col min="3" max="6" width="20.85546875" style="21" customWidth="1"/>
    <col min="7" max="7" width="6.7109375" style="21" customWidth="1"/>
    <col min="8" max="8" width="69.5703125" style="21" bestFit="1" customWidth="1"/>
    <col min="9" max="12" width="20.7109375" style="21" customWidth="1"/>
    <col min="13" max="16384" width="9.140625" style="21"/>
  </cols>
  <sheetData>
    <row r="1" spans="1:12" ht="40.5" customHeight="1" x14ac:dyDescent="0.25">
      <c r="A1" s="657"/>
      <c r="B1" s="77" t="s">
        <v>1117</v>
      </c>
      <c r="C1" s="657" t="s">
        <v>1101</v>
      </c>
      <c r="D1" s="657" t="s">
        <v>1106</v>
      </c>
      <c r="E1" s="657" t="s">
        <v>1110</v>
      </c>
      <c r="F1" s="657" t="s">
        <v>1102</v>
      </c>
      <c r="G1" s="657"/>
      <c r="H1" s="77" t="s">
        <v>1118</v>
      </c>
      <c r="I1" s="657" t="s">
        <v>1101</v>
      </c>
      <c r="J1" s="657" t="s">
        <v>1106</v>
      </c>
      <c r="K1" s="657" t="s">
        <v>1110</v>
      </c>
      <c r="L1" s="657" t="s">
        <v>1102</v>
      </c>
    </row>
    <row r="2" spans="1:12" ht="20.25" customHeight="1" x14ac:dyDescent="0.25">
      <c r="A2" s="689"/>
      <c r="B2" s="690" t="s">
        <v>180</v>
      </c>
      <c r="C2" s="691">
        <f>C3+C18+C25+C36</f>
        <v>0</v>
      </c>
      <c r="D2" s="691">
        <f t="shared" ref="D2:F2" si="0">D3+D18+D25+D36</f>
        <v>0</v>
      </c>
      <c r="E2" s="691">
        <f t="shared" ref="E2" si="1">E3+E18+E25+E36</f>
        <v>1792</v>
      </c>
      <c r="F2" s="691">
        <f t="shared" si="0"/>
        <v>1792</v>
      </c>
      <c r="G2" s="689"/>
      <c r="H2" s="690" t="s">
        <v>196</v>
      </c>
      <c r="I2" s="691">
        <f>I3+I7+I18+I25+I36</f>
        <v>0</v>
      </c>
      <c r="J2" s="691">
        <f t="shared" ref="J2:L2" si="2">J3+J7+J18+J25+J36</f>
        <v>0</v>
      </c>
      <c r="K2" s="691">
        <f t="shared" ref="K2" si="3">K3+K7+K18+K25+K36</f>
        <v>6857.4500000000007</v>
      </c>
      <c r="L2" s="691">
        <f t="shared" si="2"/>
        <v>6857.4500000000007</v>
      </c>
    </row>
    <row r="3" spans="1:12" ht="20.25" customHeight="1" x14ac:dyDescent="0.25">
      <c r="A3" s="421" t="s">
        <v>23</v>
      </c>
      <c r="B3" s="422" t="s">
        <v>312</v>
      </c>
      <c r="C3" s="423">
        <f>C4+C12+C13+C14+C15+C16</f>
        <v>0</v>
      </c>
      <c r="D3" s="423">
        <f t="shared" ref="D3:F3" si="4">D4+D12+D13+D14+D15+D16</f>
        <v>0</v>
      </c>
      <c r="E3" s="423">
        <f t="shared" ref="E3" si="5">E4+E12+E13+E14+E15+E16</f>
        <v>0</v>
      </c>
      <c r="F3" s="423">
        <f t="shared" si="4"/>
        <v>0</v>
      </c>
      <c r="G3" s="421" t="s">
        <v>23</v>
      </c>
      <c r="H3" s="414" t="s">
        <v>213</v>
      </c>
      <c r="I3" s="415">
        <f>SUM(I4:I5)</f>
        <v>0</v>
      </c>
      <c r="J3" s="415">
        <f t="shared" ref="J3:L3" si="6">SUM(J4:J5)</f>
        <v>0</v>
      </c>
      <c r="K3" s="415">
        <f t="shared" ref="K3" si="7">SUM(K4:K5)</f>
        <v>3738</v>
      </c>
      <c r="L3" s="415">
        <f t="shared" si="6"/>
        <v>3738</v>
      </c>
    </row>
    <row r="4" spans="1:12" ht="20.25" customHeight="1" x14ac:dyDescent="0.25">
      <c r="A4" s="70"/>
      <c r="B4" s="111" t="s">
        <v>247</v>
      </c>
      <c r="C4" s="109">
        <f>SUM(C5:C8)</f>
        <v>0</v>
      </c>
      <c r="D4" s="109">
        <f t="shared" ref="D4:F4" si="8">SUM(D5:D8)</f>
        <v>0</v>
      </c>
      <c r="E4" s="109">
        <f t="shared" ref="E4" si="9">SUM(E5:E8)</f>
        <v>0</v>
      </c>
      <c r="F4" s="109">
        <f t="shared" si="8"/>
        <v>0</v>
      </c>
      <c r="G4" s="80"/>
      <c r="H4" s="69" t="s">
        <v>507</v>
      </c>
      <c r="I4" s="97">
        <f>'19.a bölcsőde részletes'!I12</f>
        <v>0</v>
      </c>
      <c r="J4" s="97">
        <f>'19.a bölcsőde részletes'!J12</f>
        <v>0</v>
      </c>
      <c r="K4" s="97">
        <f>'19.a bölcsőde részletes'!K12</f>
        <v>3738</v>
      </c>
      <c r="L4" s="97">
        <f>'19.a bölcsőde részletes'!L12</f>
        <v>3738</v>
      </c>
    </row>
    <row r="5" spans="1:12" ht="24" customHeight="1" x14ac:dyDescent="0.25">
      <c r="A5" s="80"/>
      <c r="B5" s="84" t="s">
        <v>248</v>
      </c>
      <c r="C5" s="109"/>
      <c r="D5" s="109"/>
      <c r="E5" s="109"/>
      <c r="F5" s="109"/>
      <c r="G5" s="80"/>
      <c r="H5" s="69" t="s">
        <v>508</v>
      </c>
      <c r="I5" s="97">
        <f>'19.a bölcsőde részletes'!I17</f>
        <v>0</v>
      </c>
      <c r="J5" s="97">
        <f>'19.a bölcsőde részletes'!J17</f>
        <v>0</v>
      </c>
      <c r="K5" s="97">
        <f>'19.a bölcsőde részletes'!K17</f>
        <v>0</v>
      </c>
      <c r="L5" s="97">
        <f>'19.a bölcsőde részletes'!L17</f>
        <v>0</v>
      </c>
    </row>
    <row r="6" spans="1:12" ht="24" customHeight="1" x14ac:dyDescent="0.25">
      <c r="A6" s="80"/>
      <c r="B6" s="84" t="s">
        <v>249</v>
      </c>
      <c r="C6" s="109"/>
      <c r="D6" s="109"/>
      <c r="E6" s="109"/>
      <c r="F6" s="109"/>
      <c r="G6" s="80"/>
      <c r="H6" s="69"/>
      <c r="I6" s="97"/>
      <c r="J6" s="97"/>
      <c r="K6" s="97"/>
      <c r="L6" s="97"/>
    </row>
    <row r="7" spans="1:12" ht="22.5" customHeight="1" x14ac:dyDescent="0.25">
      <c r="A7" s="80"/>
      <c r="B7" s="84" t="s">
        <v>250</v>
      </c>
      <c r="C7" s="109">
        <f>'6.a szociális részletes'!C7</f>
        <v>0</v>
      </c>
      <c r="D7" s="109">
        <f>'6.a szociális részletes'!D7</f>
        <v>0</v>
      </c>
      <c r="E7" s="109">
        <f>'6.a szociális részletes'!F7</f>
        <v>0</v>
      </c>
      <c r="F7" s="109">
        <f>'6.a szociális részletes'!F7</f>
        <v>0</v>
      </c>
      <c r="G7" s="421" t="s">
        <v>45</v>
      </c>
      <c r="H7" s="422" t="s">
        <v>214</v>
      </c>
      <c r="I7" s="423">
        <f>'19.a bölcsőde részletes'!I18</f>
        <v>0</v>
      </c>
      <c r="J7" s="423">
        <f>'19.a bölcsőde részletes'!J18</f>
        <v>0</v>
      </c>
      <c r="K7" s="423">
        <f>'19.a bölcsőde részletes'!K18</f>
        <v>1020</v>
      </c>
      <c r="L7" s="423">
        <f>'19.a bölcsőde részletes'!L18</f>
        <v>1020</v>
      </c>
    </row>
    <row r="8" spans="1:12" ht="22.5" customHeight="1" x14ac:dyDescent="0.25">
      <c r="A8" s="80"/>
      <c r="B8" s="84" t="s">
        <v>251</v>
      </c>
      <c r="C8" s="109"/>
      <c r="D8" s="109"/>
      <c r="E8" s="109"/>
      <c r="F8" s="109"/>
      <c r="G8" s="80"/>
      <c r="H8" s="69"/>
      <c r="I8" s="97"/>
      <c r="J8" s="97"/>
      <c r="K8" s="97"/>
      <c r="L8" s="97"/>
    </row>
    <row r="9" spans="1:12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0"/>
      <c r="H9" s="69"/>
      <c r="I9" s="97"/>
      <c r="J9" s="97"/>
      <c r="K9" s="97"/>
      <c r="L9" s="97"/>
    </row>
    <row r="10" spans="1:12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5"/>
      <c r="H10" s="69"/>
      <c r="I10" s="98"/>
      <c r="J10" s="98"/>
      <c r="K10" s="98"/>
      <c r="L10" s="98"/>
    </row>
    <row r="11" spans="1:12" ht="20.25" customHeight="1" x14ac:dyDescent="0.25">
      <c r="A11" s="80"/>
      <c r="B11" s="115"/>
      <c r="C11" s="88"/>
      <c r="D11" s="88"/>
      <c r="E11" s="88"/>
      <c r="F11" s="88"/>
      <c r="G11" s="85"/>
      <c r="H11" s="69"/>
      <c r="I11" s="99"/>
      <c r="J11" s="99"/>
      <c r="K11" s="99"/>
      <c r="L11" s="99"/>
    </row>
    <row r="12" spans="1:12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7"/>
      <c r="J12" s="107"/>
      <c r="K12" s="107"/>
      <c r="L12" s="107"/>
    </row>
    <row r="13" spans="1:12" ht="30" x14ac:dyDescent="0.25">
      <c r="A13" s="70"/>
      <c r="B13" s="84" t="s">
        <v>256</v>
      </c>
      <c r="C13" s="109"/>
      <c r="D13" s="109"/>
      <c r="E13" s="109"/>
      <c r="F13" s="109"/>
      <c r="G13" s="85"/>
      <c r="H13" s="69"/>
      <c r="I13" s="99"/>
      <c r="J13" s="99"/>
      <c r="K13" s="99"/>
      <c r="L13" s="99"/>
    </row>
    <row r="14" spans="1:12" ht="29.25" customHeight="1" x14ac:dyDescent="0.25">
      <c r="A14" s="70"/>
      <c r="B14" s="84" t="s">
        <v>257</v>
      </c>
      <c r="C14" s="109"/>
      <c r="D14" s="109"/>
      <c r="E14" s="109"/>
      <c r="F14" s="109"/>
      <c r="G14" s="85"/>
      <c r="H14" s="69"/>
      <c r="I14" s="99"/>
      <c r="J14" s="99"/>
      <c r="K14" s="99"/>
      <c r="L14" s="99"/>
    </row>
    <row r="15" spans="1:12" ht="29.25" customHeight="1" x14ac:dyDescent="0.25">
      <c r="A15" s="70"/>
      <c r="B15" s="84" t="s">
        <v>258</v>
      </c>
      <c r="C15" s="109"/>
      <c r="D15" s="109"/>
      <c r="E15" s="109"/>
      <c r="F15" s="109"/>
      <c r="G15" s="85"/>
      <c r="H15" s="69"/>
      <c r="I15" s="99"/>
      <c r="J15" s="99"/>
      <c r="K15" s="99"/>
      <c r="L15" s="99"/>
    </row>
    <row r="16" spans="1:12" ht="29.25" customHeight="1" x14ac:dyDescent="0.25">
      <c r="A16" s="70"/>
      <c r="B16" s="84" t="s">
        <v>259</v>
      </c>
      <c r="C16" s="109"/>
      <c r="D16" s="109"/>
      <c r="E16" s="109"/>
      <c r="F16" s="109"/>
      <c r="G16" s="85"/>
      <c r="H16" s="88"/>
      <c r="I16" s="107"/>
      <c r="J16" s="107"/>
      <c r="K16" s="107"/>
      <c r="L16" s="107"/>
    </row>
    <row r="17" spans="1:12" ht="18.75" customHeight="1" x14ac:dyDescent="0.25">
      <c r="A17" s="70"/>
      <c r="C17" s="109"/>
      <c r="D17" s="109"/>
      <c r="E17" s="109"/>
      <c r="F17" s="109"/>
      <c r="H17" s="88"/>
      <c r="I17" s="99"/>
      <c r="J17" s="99"/>
      <c r="K17" s="99"/>
      <c r="L17" s="99"/>
    </row>
    <row r="18" spans="1:12" ht="20.25" customHeight="1" x14ac:dyDescent="0.25">
      <c r="A18" s="421" t="s">
        <v>45</v>
      </c>
      <c r="B18" s="422" t="s">
        <v>266</v>
      </c>
      <c r="C18" s="423">
        <f>C19+C20+C24</f>
        <v>0</v>
      </c>
      <c r="D18" s="423">
        <f t="shared" ref="D18:F18" si="10">D19+D20+D24</f>
        <v>0</v>
      </c>
      <c r="E18" s="423">
        <f t="shared" ref="E18" si="11">E19+E20+E24</f>
        <v>0</v>
      </c>
      <c r="F18" s="423">
        <f t="shared" si="10"/>
        <v>0</v>
      </c>
      <c r="G18" s="421" t="s">
        <v>56</v>
      </c>
      <c r="H18" s="422" t="s">
        <v>215</v>
      </c>
      <c r="I18" s="423">
        <f>SUM(I19:I23)</f>
        <v>0</v>
      </c>
      <c r="J18" s="423">
        <f t="shared" ref="J18:L18" si="12">SUM(J19:J23)</f>
        <v>0</v>
      </c>
      <c r="K18" s="423">
        <f t="shared" ref="K18" si="13">SUM(K19:K23)</f>
        <v>2099.4500000000003</v>
      </c>
      <c r="L18" s="423">
        <f t="shared" si="12"/>
        <v>2099.4500000000003</v>
      </c>
    </row>
    <row r="19" spans="1:12" ht="20.25" customHeight="1" x14ac:dyDescent="0.25">
      <c r="A19" s="86"/>
      <c r="B19" s="88" t="s">
        <v>267</v>
      </c>
      <c r="C19" s="97"/>
      <c r="D19" s="97"/>
      <c r="E19" s="97"/>
      <c r="F19" s="97"/>
      <c r="G19" s="71"/>
      <c r="H19" s="119" t="s">
        <v>238</v>
      </c>
      <c r="I19" s="107">
        <f>'19.a bölcsőde részletes'!I36</f>
        <v>0</v>
      </c>
      <c r="J19" s="107">
        <f>'19.a bölcsőde részletes'!J36</f>
        <v>0</v>
      </c>
      <c r="K19" s="107">
        <f>'19.a bölcsőde részletes'!K36</f>
        <v>143</v>
      </c>
      <c r="L19" s="107">
        <f>'19.a bölcsőde részletes'!L36</f>
        <v>143</v>
      </c>
    </row>
    <row r="20" spans="1:12" ht="20.25" customHeight="1" x14ac:dyDescent="0.25">
      <c r="A20" s="86"/>
      <c r="B20" s="88" t="s">
        <v>268</v>
      </c>
      <c r="C20" s="97"/>
      <c r="D20" s="97"/>
      <c r="E20" s="97"/>
      <c r="F20" s="97"/>
      <c r="G20" s="71"/>
      <c r="H20" s="119" t="s">
        <v>239</v>
      </c>
      <c r="I20" s="107">
        <f>'19.a bölcsőde részletes'!I39</f>
        <v>0</v>
      </c>
      <c r="J20" s="107">
        <f>'19.a bölcsőde részletes'!J39</f>
        <v>0</v>
      </c>
      <c r="K20" s="107">
        <f>'19.a bölcsőde részletes'!K39</f>
        <v>25</v>
      </c>
      <c r="L20" s="107">
        <f>'19.a bölcsőde részletes'!L39</f>
        <v>25</v>
      </c>
    </row>
    <row r="21" spans="1:12" ht="20.25" customHeight="1" x14ac:dyDescent="0.25">
      <c r="A21" s="86"/>
      <c r="B21" s="88" t="s">
        <v>269</v>
      </c>
      <c r="C21" s="97"/>
      <c r="D21" s="97"/>
      <c r="E21" s="97"/>
      <c r="F21" s="97"/>
      <c r="G21" s="71"/>
      <c r="H21" s="119" t="s">
        <v>240</v>
      </c>
      <c r="I21" s="107">
        <f>'19.a bölcsőde részletes'!I57</f>
        <v>0</v>
      </c>
      <c r="J21" s="107">
        <f>'19.a bölcsőde részletes'!J57</f>
        <v>0</v>
      </c>
      <c r="K21" s="107">
        <f>'19.a bölcsőde részletes'!K57</f>
        <v>1527.4173228346458</v>
      </c>
      <c r="L21" s="107">
        <f>'19.a bölcsőde részletes'!L57</f>
        <v>1527.4173228346458</v>
      </c>
    </row>
    <row r="22" spans="1:12" ht="20.25" customHeight="1" x14ac:dyDescent="0.25">
      <c r="A22" s="86"/>
      <c r="B22" s="88" t="s">
        <v>270</v>
      </c>
      <c r="C22" s="97"/>
      <c r="D22" s="97"/>
      <c r="E22" s="97"/>
      <c r="F22" s="97"/>
      <c r="G22" s="71"/>
      <c r="H22" s="119" t="s">
        <v>241</v>
      </c>
      <c r="I22" s="107">
        <f>'19.a bölcsőde részletes'!I60</f>
        <v>0</v>
      </c>
      <c r="J22" s="107">
        <f>'19.a bölcsőde részletes'!J60</f>
        <v>0</v>
      </c>
      <c r="K22" s="107">
        <f>'19.a bölcsőde részletes'!K60</f>
        <v>0</v>
      </c>
      <c r="L22" s="107">
        <f>'19.a bölcsőde részletes'!L60</f>
        <v>0</v>
      </c>
    </row>
    <row r="23" spans="1:12" ht="20.25" customHeight="1" x14ac:dyDescent="0.25">
      <c r="A23" s="86"/>
      <c r="B23" s="88" t="s">
        <v>271</v>
      </c>
      <c r="C23" s="97"/>
      <c r="D23" s="97"/>
      <c r="E23" s="97"/>
      <c r="F23" s="97"/>
      <c r="G23" s="71"/>
      <c r="H23" s="119" t="s">
        <v>242</v>
      </c>
      <c r="I23" s="107">
        <f>'19.a bölcsőde részletes'!I66</f>
        <v>0</v>
      </c>
      <c r="J23" s="107">
        <f>'19.a bölcsőde részletes'!J66</f>
        <v>0</v>
      </c>
      <c r="K23" s="107">
        <f>'19.a bölcsőde részletes'!K66</f>
        <v>404.03267716535441</v>
      </c>
      <c r="L23" s="107">
        <f>'19.a bölcsőde részletes'!L66</f>
        <v>404.03267716535441</v>
      </c>
    </row>
    <row r="24" spans="1:12" ht="20.25" customHeight="1" x14ac:dyDescent="0.25">
      <c r="A24" s="86"/>
      <c r="B24" s="88" t="s">
        <v>272</v>
      </c>
      <c r="C24" s="97"/>
      <c r="D24" s="97"/>
      <c r="E24" s="97"/>
      <c r="F24" s="97"/>
      <c r="G24" s="71"/>
      <c r="H24" s="71"/>
      <c r="I24" s="99"/>
      <c r="J24" s="99"/>
      <c r="K24" s="99"/>
      <c r="L24" s="99"/>
    </row>
    <row r="25" spans="1:12" ht="20.25" customHeight="1" x14ac:dyDescent="0.25">
      <c r="A25" s="421" t="s">
        <v>56</v>
      </c>
      <c r="B25" s="422" t="s">
        <v>273</v>
      </c>
      <c r="C25" s="423">
        <f>SUM(C26:C35)</f>
        <v>0</v>
      </c>
      <c r="D25" s="423">
        <f t="shared" ref="D25:F25" si="14">SUM(D26:D35)</f>
        <v>0</v>
      </c>
      <c r="E25" s="423">
        <f t="shared" ref="E25" si="15">SUM(E26:E35)</f>
        <v>1792</v>
      </c>
      <c r="F25" s="423">
        <f t="shared" si="14"/>
        <v>1792</v>
      </c>
      <c r="G25" s="421" t="s">
        <v>64</v>
      </c>
      <c r="H25" s="422" t="s">
        <v>216</v>
      </c>
      <c r="I25" s="423">
        <f>'6.a szociális részletes'!I65</f>
        <v>0</v>
      </c>
      <c r="J25" s="423">
        <f>'6.a szociális részletes'!J65</f>
        <v>0</v>
      </c>
      <c r="K25" s="423">
        <f>'6.a szociális részletes'!L65</f>
        <v>0</v>
      </c>
      <c r="L25" s="423">
        <f>'6.a szociális részletes'!L65</f>
        <v>0</v>
      </c>
    </row>
    <row r="26" spans="1:12" ht="20.25" customHeight="1" x14ac:dyDescent="0.25">
      <c r="A26" s="86"/>
      <c r="B26" s="89" t="s">
        <v>274</v>
      </c>
      <c r="C26" s="103"/>
      <c r="D26" s="103"/>
      <c r="E26" s="103"/>
      <c r="F26" s="103"/>
      <c r="G26" s="71"/>
      <c r="H26" s="71" t="s">
        <v>202</v>
      </c>
      <c r="I26" s="102"/>
      <c r="J26" s="102"/>
      <c r="K26" s="102"/>
      <c r="L26" s="102"/>
    </row>
    <row r="27" spans="1:12" ht="20.25" customHeight="1" x14ac:dyDescent="0.25">
      <c r="A27" s="86"/>
      <c r="B27" s="89" t="s">
        <v>275</v>
      </c>
      <c r="C27" s="103"/>
      <c r="D27" s="103"/>
      <c r="E27" s="103"/>
      <c r="F27" s="103"/>
      <c r="G27" s="71"/>
      <c r="H27" s="88" t="s">
        <v>203</v>
      </c>
      <c r="I27" s="102"/>
      <c r="J27" s="102"/>
      <c r="K27" s="102"/>
      <c r="L27" s="102"/>
    </row>
    <row r="28" spans="1:12" ht="20.25" customHeight="1" x14ac:dyDescent="0.25">
      <c r="A28" s="86"/>
      <c r="B28" s="89" t="s">
        <v>276</v>
      </c>
      <c r="C28" s="103"/>
      <c r="D28" s="103"/>
      <c r="E28" s="103"/>
      <c r="F28" s="103"/>
      <c r="G28" s="71"/>
      <c r="H28" s="71" t="s">
        <v>204</v>
      </c>
      <c r="I28" s="102"/>
      <c r="J28" s="102"/>
      <c r="K28" s="102"/>
      <c r="L28" s="102"/>
    </row>
    <row r="29" spans="1:12" ht="20.25" customHeight="1" x14ac:dyDescent="0.25">
      <c r="A29" s="86"/>
      <c r="B29" s="89" t="s">
        <v>277</v>
      </c>
      <c r="C29" s="103"/>
      <c r="D29" s="103"/>
      <c r="E29" s="103"/>
      <c r="F29" s="103"/>
      <c r="G29" s="71"/>
      <c r="H29" s="71" t="s">
        <v>205</v>
      </c>
      <c r="I29" s="102"/>
      <c r="J29" s="102"/>
      <c r="K29" s="102"/>
      <c r="L29" s="102"/>
    </row>
    <row r="30" spans="1:12" ht="20.25" customHeight="1" x14ac:dyDescent="0.25">
      <c r="A30" s="86"/>
      <c r="B30" s="89" t="s">
        <v>278</v>
      </c>
      <c r="C30" s="103">
        <f>'19.a bölcsőde részletes'!C34</f>
        <v>0</v>
      </c>
      <c r="D30" s="103">
        <f>'19.a bölcsőde részletes'!D34</f>
        <v>0</v>
      </c>
      <c r="E30" s="103">
        <f>'19.a bölcsőde részletes'!E34</f>
        <v>1690</v>
      </c>
      <c r="F30" s="103">
        <f>'19.a bölcsőde részletes'!F34</f>
        <v>1690</v>
      </c>
      <c r="G30" s="71"/>
      <c r="H30" s="71" t="s">
        <v>206</v>
      </c>
      <c r="I30" s="102"/>
      <c r="J30" s="102"/>
      <c r="K30" s="102"/>
      <c r="L30" s="102"/>
    </row>
    <row r="31" spans="1:12" ht="20.25" customHeight="1" x14ac:dyDescent="0.25">
      <c r="A31" s="86"/>
      <c r="B31" s="89" t="s">
        <v>279</v>
      </c>
      <c r="C31" s="103">
        <f>'19.a bölcsőde részletes'!C41</f>
        <v>0</v>
      </c>
      <c r="D31" s="103">
        <f>'19.a bölcsőde részletes'!D41</f>
        <v>0</v>
      </c>
      <c r="E31" s="103">
        <f>'19.a bölcsőde részletes'!E41</f>
        <v>102</v>
      </c>
      <c r="F31" s="103">
        <f>'19.a bölcsőde részletes'!F41</f>
        <v>102</v>
      </c>
      <c r="G31" s="71"/>
      <c r="H31" s="71" t="s">
        <v>207</v>
      </c>
      <c r="I31" s="102"/>
      <c r="J31" s="102"/>
      <c r="K31" s="102"/>
      <c r="L31" s="102"/>
    </row>
    <row r="32" spans="1:12" ht="20.25" customHeight="1" x14ac:dyDescent="0.25">
      <c r="A32" s="86"/>
      <c r="B32" s="89" t="s">
        <v>280</v>
      </c>
      <c r="C32" s="103"/>
      <c r="D32" s="103"/>
      <c r="E32" s="103"/>
      <c r="F32" s="103"/>
      <c r="G32" s="71"/>
      <c r="H32" s="71"/>
      <c r="I32" s="99"/>
      <c r="J32" s="99"/>
      <c r="K32" s="99"/>
      <c r="L32" s="99"/>
    </row>
    <row r="33" spans="1:12" ht="20.25" customHeight="1" x14ac:dyDescent="0.25">
      <c r="A33" s="86"/>
      <c r="B33" s="89" t="s">
        <v>281</v>
      </c>
      <c r="C33" s="103"/>
      <c r="D33" s="103"/>
      <c r="E33" s="103"/>
      <c r="F33" s="103"/>
      <c r="G33" s="71"/>
      <c r="I33" s="107"/>
      <c r="J33" s="107"/>
      <c r="K33" s="107"/>
      <c r="L33" s="107"/>
    </row>
    <row r="34" spans="1:12" ht="20.25" customHeight="1" x14ac:dyDescent="0.25">
      <c r="A34" s="86"/>
      <c r="B34" s="89" t="s">
        <v>282</v>
      </c>
      <c r="C34" s="103"/>
      <c r="D34" s="103"/>
      <c r="E34" s="103"/>
      <c r="F34" s="103"/>
      <c r="G34" s="71"/>
      <c r="H34" s="71"/>
      <c r="I34" s="99"/>
      <c r="J34" s="99"/>
      <c r="K34" s="99"/>
      <c r="L34" s="99"/>
    </row>
    <row r="35" spans="1:12" ht="20.25" customHeight="1" x14ac:dyDescent="0.25">
      <c r="A35" s="86"/>
      <c r="B35" s="89" t="s">
        <v>283</v>
      </c>
      <c r="C35" s="103"/>
      <c r="D35" s="103"/>
      <c r="E35" s="103"/>
      <c r="F35" s="103"/>
      <c r="G35" s="71"/>
      <c r="H35" s="71"/>
      <c r="I35" s="99"/>
      <c r="J35" s="99"/>
      <c r="K35" s="99"/>
      <c r="L35" s="99"/>
    </row>
    <row r="36" spans="1:12" ht="20.25" customHeight="1" x14ac:dyDescent="0.25">
      <c r="A36" s="421" t="s">
        <v>64</v>
      </c>
      <c r="B36" s="422" t="s">
        <v>290</v>
      </c>
      <c r="C36" s="423">
        <f>C37+C38+C39</f>
        <v>0</v>
      </c>
      <c r="D36" s="423">
        <f t="shared" ref="D36:F36" si="16">D37+D38+D39</f>
        <v>0</v>
      </c>
      <c r="E36" s="423">
        <f t="shared" ref="E36" si="17">E37+E38+E39</f>
        <v>0</v>
      </c>
      <c r="F36" s="423">
        <f t="shared" si="16"/>
        <v>0</v>
      </c>
      <c r="G36" s="421" t="s">
        <v>100</v>
      </c>
      <c r="H36" s="422" t="s">
        <v>237</v>
      </c>
      <c r="I36" s="423">
        <f>'6.a szociális részletes'!I72</f>
        <v>0</v>
      </c>
      <c r="J36" s="423">
        <f>'6.a szociális részletes'!J72</f>
        <v>0</v>
      </c>
      <c r="K36" s="423">
        <f>'6.a szociális részletes'!L72</f>
        <v>0</v>
      </c>
      <c r="L36" s="423">
        <f>'6.a szociális részletes'!L72</f>
        <v>0</v>
      </c>
    </row>
    <row r="37" spans="1:12" ht="30" x14ac:dyDescent="0.25">
      <c r="A37" s="86"/>
      <c r="B37" s="89" t="s">
        <v>291</v>
      </c>
      <c r="C37" s="103"/>
      <c r="D37" s="103"/>
      <c r="E37" s="103"/>
      <c r="F37" s="103"/>
      <c r="G37" s="71"/>
      <c r="H37" s="71" t="s">
        <v>208</v>
      </c>
      <c r="I37" s="108" t="s">
        <v>253</v>
      </c>
      <c r="J37" s="108"/>
      <c r="K37" s="108"/>
      <c r="L37" s="108"/>
    </row>
    <row r="38" spans="1:12" ht="28.5" customHeight="1" x14ac:dyDescent="0.25">
      <c r="A38" s="86"/>
      <c r="B38" s="84" t="s">
        <v>292</v>
      </c>
      <c r="C38" s="103"/>
      <c r="D38" s="103"/>
      <c r="E38" s="103"/>
      <c r="F38" s="103"/>
      <c r="G38" s="71"/>
      <c r="H38" s="71" t="s">
        <v>210</v>
      </c>
      <c r="I38" s="102"/>
      <c r="J38" s="102"/>
      <c r="K38" s="102"/>
      <c r="L38" s="102"/>
    </row>
    <row r="39" spans="1:12" ht="19.5" customHeight="1" x14ac:dyDescent="0.25">
      <c r="A39" s="86"/>
      <c r="B39" s="89" t="s">
        <v>293</v>
      </c>
      <c r="C39" s="103"/>
      <c r="D39" s="103"/>
      <c r="E39" s="103"/>
      <c r="F39" s="103"/>
      <c r="G39" s="71"/>
      <c r="H39" s="71" t="s">
        <v>209</v>
      </c>
      <c r="I39" s="102"/>
      <c r="J39" s="102"/>
      <c r="K39" s="102"/>
      <c r="L39" s="102"/>
    </row>
    <row r="40" spans="1:12" ht="19.5" customHeight="1" x14ac:dyDescent="0.25">
      <c r="A40" s="86"/>
      <c r="B40" s="89"/>
      <c r="C40" s="103"/>
      <c r="D40" s="103"/>
      <c r="E40" s="103"/>
      <c r="F40" s="103"/>
      <c r="G40" s="71"/>
      <c r="H40" s="71" t="s">
        <v>211</v>
      </c>
      <c r="I40" s="102"/>
      <c r="J40" s="102"/>
      <c r="K40" s="102"/>
      <c r="L40" s="102"/>
    </row>
    <row r="41" spans="1:12" ht="19.5" customHeight="1" x14ac:dyDescent="0.25">
      <c r="A41" s="86"/>
      <c r="B41" s="89"/>
      <c r="C41" s="101"/>
      <c r="D41" s="101"/>
      <c r="E41" s="101"/>
      <c r="F41" s="101"/>
      <c r="G41" s="71"/>
      <c r="H41" s="71" t="s">
        <v>377</v>
      </c>
      <c r="I41" s="102"/>
      <c r="J41" s="102"/>
      <c r="K41" s="102"/>
      <c r="L41" s="102"/>
    </row>
    <row r="42" spans="1:12" ht="19.5" customHeight="1" x14ac:dyDescent="0.25">
      <c r="A42" s="86"/>
      <c r="B42" s="89"/>
      <c r="C42" s="101"/>
      <c r="D42" s="101"/>
      <c r="E42" s="101"/>
      <c r="F42" s="101"/>
      <c r="G42" s="71"/>
      <c r="H42" s="71" t="s">
        <v>212</v>
      </c>
      <c r="I42" s="102"/>
      <c r="J42" s="102"/>
      <c r="K42" s="102"/>
      <c r="L42" s="102"/>
    </row>
    <row r="43" spans="1:12" ht="19.5" customHeight="1" x14ac:dyDescent="0.25">
      <c r="A43" s="86"/>
      <c r="B43" s="89"/>
      <c r="C43" s="101"/>
      <c r="D43" s="101"/>
      <c r="E43" s="101"/>
      <c r="F43" s="101"/>
      <c r="G43" s="73"/>
      <c r="H43" s="83"/>
      <c r="I43" s="102"/>
      <c r="J43" s="102"/>
      <c r="K43" s="102"/>
      <c r="L43" s="102"/>
    </row>
    <row r="44" spans="1:12" ht="19.5" customHeight="1" x14ac:dyDescent="0.25">
      <c r="A44" s="86"/>
      <c r="B44" s="89"/>
      <c r="C44" s="101"/>
      <c r="D44" s="101"/>
      <c r="E44" s="101"/>
      <c r="F44" s="101"/>
      <c r="G44" s="71"/>
      <c r="H44" s="71"/>
      <c r="I44" s="102"/>
      <c r="J44" s="102"/>
      <c r="K44" s="102"/>
      <c r="L44" s="102"/>
    </row>
    <row r="45" spans="1:12" ht="19.5" customHeight="1" x14ac:dyDescent="0.25">
      <c r="A45" s="86"/>
      <c r="B45" s="89"/>
      <c r="C45" s="101"/>
      <c r="D45" s="101"/>
      <c r="E45" s="101"/>
      <c r="F45" s="101"/>
      <c r="G45" s="71"/>
      <c r="H45" s="88"/>
      <c r="I45" s="102"/>
      <c r="J45" s="102"/>
      <c r="K45" s="102"/>
      <c r="L45" s="102"/>
    </row>
    <row r="46" spans="1:12" ht="19.5" customHeight="1" x14ac:dyDescent="0.25">
      <c r="A46" s="86"/>
      <c r="B46" s="89"/>
      <c r="C46" s="101"/>
      <c r="D46" s="101"/>
      <c r="E46" s="101"/>
      <c r="F46" s="101"/>
      <c r="G46" s="71"/>
      <c r="H46" s="71"/>
      <c r="I46" s="102"/>
      <c r="J46" s="102"/>
      <c r="K46" s="102"/>
      <c r="L46" s="102"/>
    </row>
    <row r="47" spans="1:12" ht="19.5" customHeight="1" x14ac:dyDescent="0.25">
      <c r="A47" s="86"/>
      <c r="B47" s="89"/>
      <c r="C47" s="101"/>
      <c r="D47" s="101"/>
      <c r="E47" s="101"/>
      <c r="F47" s="101"/>
      <c r="G47" s="71"/>
      <c r="H47" s="71"/>
      <c r="I47" s="102"/>
      <c r="J47" s="102"/>
      <c r="K47" s="102"/>
      <c r="L47" s="102"/>
    </row>
    <row r="48" spans="1:12" ht="19.5" customHeight="1" x14ac:dyDescent="0.25">
      <c r="A48" s="86"/>
      <c r="B48" s="89"/>
      <c r="C48" s="101"/>
      <c r="D48" s="101"/>
      <c r="E48" s="101"/>
      <c r="F48" s="101"/>
      <c r="G48" s="71"/>
      <c r="H48" s="71"/>
      <c r="I48" s="102"/>
      <c r="J48" s="102"/>
      <c r="K48" s="102"/>
      <c r="L48" s="102"/>
    </row>
    <row r="49" spans="1:12" ht="19.5" customHeight="1" x14ac:dyDescent="0.25">
      <c r="A49" s="86"/>
      <c r="B49" s="89"/>
      <c r="C49" s="101"/>
      <c r="D49" s="101"/>
      <c r="E49" s="101"/>
      <c r="F49" s="101"/>
      <c r="G49" s="71"/>
      <c r="H49" s="71"/>
      <c r="I49" s="102"/>
      <c r="J49" s="102"/>
      <c r="K49" s="102"/>
      <c r="L49" s="102"/>
    </row>
    <row r="50" spans="1:12" ht="19.5" customHeight="1" x14ac:dyDescent="0.25">
      <c r="A50" s="86"/>
      <c r="B50" s="87"/>
      <c r="C50" s="101"/>
      <c r="D50" s="101"/>
      <c r="E50" s="101"/>
      <c r="F50" s="101"/>
      <c r="G50" s="88"/>
      <c r="H50" s="88"/>
      <c r="I50" s="88"/>
      <c r="J50" s="88"/>
      <c r="K50" s="88"/>
      <c r="L50" s="88"/>
    </row>
    <row r="51" spans="1:12" ht="21.75" customHeight="1" x14ac:dyDescent="0.25">
      <c r="A51" s="86"/>
      <c r="B51" s="89"/>
      <c r="C51" s="101"/>
      <c r="D51" s="101"/>
      <c r="E51" s="101"/>
      <c r="F51" s="101"/>
      <c r="G51" s="88"/>
      <c r="H51" s="88"/>
      <c r="I51" s="88"/>
      <c r="J51" s="88"/>
      <c r="K51" s="88"/>
      <c r="L51" s="88"/>
    </row>
    <row r="52" spans="1:12" ht="21.75" customHeight="1" x14ac:dyDescent="0.25">
      <c r="A52" s="86"/>
      <c r="B52" s="84"/>
      <c r="C52" s="101"/>
      <c r="D52" s="101"/>
      <c r="E52" s="101"/>
      <c r="F52" s="101"/>
      <c r="G52" s="88"/>
      <c r="H52" s="88"/>
      <c r="I52" s="88"/>
      <c r="J52" s="88"/>
      <c r="K52" s="88"/>
      <c r="L52" s="88"/>
    </row>
    <row r="53" spans="1:12" ht="19.5" customHeight="1" x14ac:dyDescent="0.25">
      <c r="A53" s="86"/>
      <c r="B53" s="89"/>
      <c r="C53" s="101"/>
      <c r="D53" s="101"/>
      <c r="E53" s="101"/>
      <c r="F53" s="101"/>
      <c r="G53" s="88"/>
      <c r="H53" s="88"/>
      <c r="I53" s="88"/>
      <c r="J53" s="88"/>
      <c r="K53" s="88"/>
      <c r="L53" s="88"/>
    </row>
    <row r="54" spans="1:12" ht="19.5" customHeight="1" x14ac:dyDescent="0.25">
      <c r="A54" s="86"/>
      <c r="B54" s="89"/>
      <c r="C54" s="101"/>
      <c r="D54" s="101"/>
      <c r="E54" s="101"/>
      <c r="F54" s="101"/>
      <c r="G54" s="88"/>
      <c r="H54" s="88"/>
      <c r="I54" s="88"/>
      <c r="J54" s="88"/>
      <c r="K54" s="88"/>
      <c r="L54" s="88"/>
    </row>
    <row r="55" spans="1:12" ht="19.5" customHeight="1" x14ac:dyDescent="0.25">
      <c r="A55" s="86"/>
      <c r="B55" s="89"/>
      <c r="C55" s="101"/>
      <c r="D55" s="101"/>
      <c r="E55" s="101"/>
      <c r="F55" s="101"/>
      <c r="G55" s="88"/>
      <c r="H55" s="88"/>
      <c r="I55" s="88"/>
      <c r="J55" s="88"/>
      <c r="K55" s="88"/>
      <c r="L55" s="88"/>
    </row>
    <row r="56" spans="1:12" ht="20.25" customHeight="1" x14ac:dyDescent="0.25">
      <c r="A56" s="86"/>
      <c r="B56" s="89"/>
      <c r="C56" s="101"/>
      <c r="D56" s="101"/>
      <c r="E56" s="101"/>
      <c r="F56" s="101"/>
      <c r="G56" s="88"/>
      <c r="H56" s="88"/>
      <c r="I56" s="88"/>
      <c r="J56" s="88"/>
      <c r="K56" s="88"/>
      <c r="L56" s="88"/>
    </row>
    <row r="57" spans="1:12" ht="20.25" customHeight="1" x14ac:dyDescent="0.25">
      <c r="A57" s="689"/>
      <c r="B57" s="690" t="s">
        <v>192</v>
      </c>
      <c r="C57" s="691">
        <f>C58+C64+C70</f>
        <v>0</v>
      </c>
      <c r="D57" s="691">
        <f t="shared" ref="D57:F57" si="18">D58+D64+D70</f>
        <v>0</v>
      </c>
      <c r="E57" s="691">
        <f t="shared" ref="E57" si="19">E58+E64+E70</f>
        <v>0</v>
      </c>
      <c r="F57" s="691">
        <f t="shared" si="18"/>
        <v>0</v>
      </c>
      <c r="G57" s="689"/>
      <c r="H57" s="690" t="s">
        <v>200</v>
      </c>
      <c r="I57" s="691">
        <f>I58+I66+I71</f>
        <v>0</v>
      </c>
      <c r="J57" s="691">
        <f t="shared" ref="J57:L57" si="20">J58+J66+J71</f>
        <v>0</v>
      </c>
      <c r="K57" s="691">
        <f t="shared" ref="K57" si="21">K58+K66+K71</f>
        <v>0</v>
      </c>
      <c r="L57" s="691">
        <f t="shared" si="20"/>
        <v>0</v>
      </c>
    </row>
    <row r="58" spans="1:12" ht="20.25" customHeight="1" x14ac:dyDescent="0.25">
      <c r="A58" s="421" t="s">
        <v>100</v>
      </c>
      <c r="B58" s="422" t="s">
        <v>260</v>
      </c>
      <c r="C58" s="423">
        <f>SUM(C59:C63)</f>
        <v>0</v>
      </c>
      <c r="D58" s="423">
        <f t="shared" ref="D58:F58" si="22">SUM(D59:D63)</f>
        <v>0</v>
      </c>
      <c r="E58" s="423">
        <f t="shared" ref="E58" si="23">SUM(E59:E63)</f>
        <v>0</v>
      </c>
      <c r="F58" s="423">
        <f t="shared" si="22"/>
        <v>0</v>
      </c>
      <c r="G58" s="421" t="s">
        <v>181</v>
      </c>
      <c r="H58" s="422" t="s">
        <v>217</v>
      </c>
      <c r="I58" s="423">
        <f>SUM(I59:I65)</f>
        <v>0</v>
      </c>
      <c r="J58" s="423">
        <f t="shared" ref="J58:L58" si="24">SUM(J59:J65)</f>
        <v>0</v>
      </c>
      <c r="K58" s="423">
        <f t="shared" ref="K58" si="25">SUM(K59:K65)</f>
        <v>0</v>
      </c>
      <c r="L58" s="423">
        <f t="shared" si="24"/>
        <v>0</v>
      </c>
    </row>
    <row r="59" spans="1:12" ht="20.25" customHeight="1" x14ac:dyDescent="0.25">
      <c r="A59" s="86"/>
      <c r="B59" s="84" t="s">
        <v>261</v>
      </c>
      <c r="C59" s="103"/>
      <c r="D59" s="103"/>
      <c r="E59" s="103"/>
      <c r="F59" s="103"/>
      <c r="G59" s="86"/>
      <c r="H59" s="92" t="s">
        <v>218</v>
      </c>
      <c r="I59" s="97"/>
      <c r="J59" s="97"/>
      <c r="K59" s="97"/>
      <c r="L59" s="97"/>
    </row>
    <row r="60" spans="1:12" ht="29.25" customHeight="1" x14ac:dyDescent="0.25">
      <c r="A60" s="86"/>
      <c r="B60" s="84" t="s">
        <v>262</v>
      </c>
      <c r="C60" s="103"/>
      <c r="D60" s="103"/>
      <c r="E60" s="103"/>
      <c r="F60" s="103"/>
      <c r="G60" s="86"/>
      <c r="H60" s="92" t="s">
        <v>219</v>
      </c>
      <c r="I60" s="97"/>
      <c r="J60" s="97"/>
      <c r="K60" s="97"/>
      <c r="L60" s="97"/>
    </row>
    <row r="61" spans="1:12" ht="29.25" customHeight="1" x14ac:dyDescent="0.25">
      <c r="A61" s="86"/>
      <c r="B61" s="84" t="s">
        <v>263</v>
      </c>
      <c r="C61" s="103"/>
      <c r="D61" s="103"/>
      <c r="E61" s="103"/>
      <c r="F61" s="103"/>
      <c r="G61" s="71"/>
      <c r="H61" s="71" t="s">
        <v>220</v>
      </c>
      <c r="I61" s="100"/>
      <c r="J61" s="100"/>
      <c r="K61" s="100"/>
      <c r="L61" s="100"/>
    </row>
    <row r="62" spans="1:12" ht="29.25" customHeight="1" x14ac:dyDescent="0.25">
      <c r="A62" s="86"/>
      <c r="B62" s="84" t="s">
        <v>264</v>
      </c>
      <c r="C62" s="103"/>
      <c r="D62" s="103"/>
      <c r="E62" s="103"/>
      <c r="F62" s="103"/>
      <c r="G62" s="71"/>
      <c r="H62" s="71" t="s">
        <v>221</v>
      </c>
      <c r="I62" s="100"/>
      <c r="J62" s="100"/>
      <c r="K62" s="100"/>
      <c r="L62" s="100"/>
    </row>
    <row r="63" spans="1:12" ht="21" customHeight="1" x14ac:dyDescent="0.25">
      <c r="A63" s="86"/>
      <c r="B63" s="84" t="s">
        <v>265</v>
      </c>
      <c r="C63" s="103"/>
      <c r="D63" s="103"/>
      <c r="E63" s="103"/>
      <c r="F63" s="103"/>
      <c r="G63" s="71"/>
      <c r="H63" s="71" t="s">
        <v>222</v>
      </c>
      <c r="I63" s="100"/>
      <c r="J63" s="100"/>
      <c r="K63" s="100"/>
      <c r="L63" s="100"/>
    </row>
    <row r="64" spans="1:12" ht="20.25" customHeight="1" x14ac:dyDescent="0.25">
      <c r="A64" s="421" t="s">
        <v>181</v>
      </c>
      <c r="B64" s="422" t="s">
        <v>284</v>
      </c>
      <c r="C64" s="423">
        <f>SUM(C65:C69)</f>
        <v>0</v>
      </c>
      <c r="D64" s="423">
        <f t="shared" ref="D64:F64" si="26">SUM(D65:D69)</f>
        <v>0</v>
      </c>
      <c r="E64" s="423">
        <f t="shared" ref="E64" si="27">SUM(E65:E69)</f>
        <v>0</v>
      </c>
      <c r="F64" s="423">
        <f t="shared" si="26"/>
        <v>0</v>
      </c>
      <c r="G64" s="71"/>
      <c r="H64" s="71" t="s">
        <v>223</v>
      </c>
      <c r="I64" s="100"/>
      <c r="J64" s="100"/>
      <c r="K64" s="100"/>
      <c r="L64" s="100"/>
    </row>
    <row r="65" spans="1:12" ht="20.25" customHeight="1" x14ac:dyDescent="0.25">
      <c r="A65" s="86"/>
      <c r="B65" s="89" t="s">
        <v>285</v>
      </c>
      <c r="C65" s="103"/>
      <c r="D65" s="103"/>
      <c r="E65" s="103"/>
      <c r="F65" s="103"/>
      <c r="G65" s="71"/>
      <c r="H65" s="71" t="s">
        <v>224</v>
      </c>
      <c r="I65" s="100"/>
      <c r="J65" s="100"/>
      <c r="K65" s="100"/>
      <c r="L65" s="100"/>
    </row>
    <row r="66" spans="1:12" ht="20.25" customHeight="1" x14ac:dyDescent="0.25">
      <c r="A66" s="86"/>
      <c r="B66" s="89" t="s">
        <v>286</v>
      </c>
      <c r="C66" s="103"/>
      <c r="D66" s="103"/>
      <c r="E66" s="103"/>
      <c r="F66" s="103"/>
      <c r="G66" s="421" t="s">
        <v>191</v>
      </c>
      <c r="H66" s="422" t="s">
        <v>225</v>
      </c>
      <c r="I66" s="423">
        <f>SUM(I67:I70)</f>
        <v>0</v>
      </c>
      <c r="J66" s="423">
        <f t="shared" ref="J66:L66" si="28">SUM(J67:J70)</f>
        <v>0</v>
      </c>
      <c r="K66" s="423">
        <f t="shared" ref="K66" si="29">SUM(K67:K70)</f>
        <v>0</v>
      </c>
      <c r="L66" s="423">
        <f t="shared" si="28"/>
        <v>0</v>
      </c>
    </row>
    <row r="67" spans="1:12" ht="20.25" customHeight="1" x14ac:dyDescent="0.25">
      <c r="A67" s="86"/>
      <c r="B67" s="89" t="s">
        <v>287</v>
      </c>
      <c r="C67" s="103"/>
      <c r="D67" s="103"/>
      <c r="E67" s="103"/>
      <c r="F67" s="103"/>
      <c r="G67" s="71"/>
      <c r="H67" s="71" t="s">
        <v>226</v>
      </c>
      <c r="I67" s="100">
        <f>'6.a szociális részletes'!I89</f>
        <v>0</v>
      </c>
      <c r="J67" s="100">
        <f>'6.a szociális részletes'!J89</f>
        <v>0</v>
      </c>
      <c r="K67" s="100">
        <f>'6.a szociális részletes'!L89</f>
        <v>0</v>
      </c>
      <c r="L67" s="100">
        <f>'6.a szociális részletes'!L89</f>
        <v>0</v>
      </c>
    </row>
    <row r="68" spans="1:12" ht="20.25" customHeight="1" x14ac:dyDescent="0.25">
      <c r="A68" s="86"/>
      <c r="B68" s="89" t="s">
        <v>288</v>
      </c>
      <c r="C68" s="103"/>
      <c r="D68" s="103"/>
      <c r="E68" s="103"/>
      <c r="F68" s="103"/>
      <c r="G68" s="71"/>
      <c r="H68" s="71" t="s">
        <v>227</v>
      </c>
      <c r="I68" s="100">
        <f>'6.a szociális részletes'!I90</f>
        <v>0</v>
      </c>
      <c r="J68" s="100">
        <f>'6.a szociális részletes'!J90</f>
        <v>0</v>
      </c>
      <c r="K68" s="100">
        <f>'6.a szociális részletes'!L90</f>
        <v>0</v>
      </c>
      <c r="L68" s="100">
        <f>'6.a szociális részletes'!L90</f>
        <v>0</v>
      </c>
    </row>
    <row r="69" spans="1:12" ht="20.25" customHeight="1" x14ac:dyDescent="0.25">
      <c r="A69" s="86"/>
      <c r="B69" s="89" t="s">
        <v>289</v>
      </c>
      <c r="C69" s="103"/>
      <c r="D69" s="103"/>
      <c r="E69" s="103"/>
      <c r="F69" s="103"/>
      <c r="G69" s="71"/>
      <c r="H69" s="71" t="s">
        <v>228</v>
      </c>
      <c r="I69" s="100">
        <f>'6.a szociális részletes'!I91</f>
        <v>0</v>
      </c>
      <c r="J69" s="100">
        <f>'6.a szociális részletes'!J91</f>
        <v>0</v>
      </c>
      <c r="K69" s="100">
        <f>'6.a szociális részletes'!L91</f>
        <v>0</v>
      </c>
      <c r="L69" s="100">
        <f>'6.a szociális részletes'!L91</f>
        <v>0</v>
      </c>
    </row>
    <row r="70" spans="1:12" ht="20.25" customHeight="1" x14ac:dyDescent="0.25">
      <c r="A70" s="421" t="s">
        <v>191</v>
      </c>
      <c r="B70" s="422" t="s">
        <v>294</v>
      </c>
      <c r="C70" s="423">
        <f>C71+C72+C73</f>
        <v>0</v>
      </c>
      <c r="D70" s="423">
        <f t="shared" ref="D70:F70" si="30">D71+D72+D73</f>
        <v>0</v>
      </c>
      <c r="E70" s="423">
        <f t="shared" ref="E70" si="31">E71+E72+E73</f>
        <v>0</v>
      </c>
      <c r="F70" s="423">
        <f t="shared" si="30"/>
        <v>0</v>
      </c>
      <c r="G70" s="71"/>
      <c r="H70" s="71" t="s">
        <v>229</v>
      </c>
      <c r="I70" s="100">
        <f>'6.a szociális részletes'!I92</f>
        <v>0</v>
      </c>
      <c r="J70" s="100">
        <f>'6.a szociális részletes'!J92</f>
        <v>0</v>
      </c>
      <c r="K70" s="100">
        <f>'6.a szociális részletes'!L92</f>
        <v>0</v>
      </c>
      <c r="L70" s="100">
        <f>'6.a szociális részletes'!L92</f>
        <v>0</v>
      </c>
    </row>
    <row r="71" spans="1:12" ht="29.25" customHeight="1" x14ac:dyDescent="0.25">
      <c r="A71" s="86"/>
      <c r="B71" s="89" t="s">
        <v>295</v>
      </c>
      <c r="C71" s="103"/>
      <c r="D71" s="103"/>
      <c r="E71" s="103"/>
      <c r="F71" s="103"/>
      <c r="G71" s="421" t="s">
        <v>199</v>
      </c>
      <c r="H71" s="422" t="s">
        <v>230</v>
      </c>
      <c r="I71" s="423">
        <f>'6.a szociális részletes'!I93</f>
        <v>0</v>
      </c>
      <c r="J71" s="423">
        <f>'6.a szociális részletes'!J93</f>
        <v>0</v>
      </c>
      <c r="K71" s="423">
        <f>'6.a szociális részletes'!L93</f>
        <v>0</v>
      </c>
      <c r="L71" s="423">
        <f>'6.a szociális részletes'!L93</f>
        <v>0</v>
      </c>
    </row>
    <row r="72" spans="1:12" ht="29.25" customHeight="1" x14ac:dyDescent="0.25">
      <c r="A72" s="86"/>
      <c r="B72" s="84" t="s">
        <v>296</v>
      </c>
      <c r="C72" s="103"/>
      <c r="D72" s="103"/>
      <c r="E72" s="103"/>
      <c r="F72" s="103"/>
      <c r="G72" s="71"/>
      <c r="H72" s="71"/>
      <c r="I72" s="100"/>
      <c r="J72" s="100"/>
      <c r="K72" s="100"/>
      <c r="L72" s="100"/>
    </row>
    <row r="73" spans="1:12" ht="21" customHeight="1" x14ac:dyDescent="0.25">
      <c r="A73" s="86"/>
      <c r="B73" s="89" t="s">
        <v>297</v>
      </c>
      <c r="C73" s="103"/>
      <c r="D73" s="103"/>
      <c r="E73" s="103"/>
      <c r="F73" s="103"/>
      <c r="G73" s="71"/>
      <c r="H73" s="71"/>
      <c r="I73" s="100"/>
      <c r="J73" s="100"/>
      <c r="K73" s="100"/>
      <c r="L73" s="100"/>
    </row>
    <row r="74" spans="1:12" ht="20.25" customHeight="1" x14ac:dyDescent="0.25">
      <c r="A74" s="689"/>
      <c r="B74" s="690" t="s">
        <v>298</v>
      </c>
      <c r="C74" s="691">
        <f>C84+C95</f>
        <v>0</v>
      </c>
      <c r="D74" s="691">
        <f t="shared" ref="D74:F74" si="32">D84+D95</f>
        <v>0</v>
      </c>
      <c r="E74" s="691">
        <f t="shared" ref="E74" si="33">E84+E95</f>
        <v>5065</v>
      </c>
      <c r="F74" s="691">
        <f t="shared" si="32"/>
        <v>5065</v>
      </c>
      <c r="G74" s="689"/>
      <c r="H74" s="690" t="s">
        <v>299</v>
      </c>
      <c r="I74" s="691">
        <f>I83+I94</f>
        <v>0</v>
      </c>
      <c r="J74" s="691">
        <f t="shared" ref="J74:L74" si="34">J83+J94</f>
        <v>0</v>
      </c>
      <c r="K74" s="691">
        <f t="shared" ref="K74" si="35">K83+K94</f>
        <v>0</v>
      </c>
      <c r="L74" s="691">
        <f t="shared" si="34"/>
        <v>0</v>
      </c>
    </row>
    <row r="75" spans="1:12" ht="21" customHeight="1" x14ac:dyDescent="0.25">
      <c r="A75" s="75"/>
      <c r="B75" s="94" t="s">
        <v>300</v>
      </c>
      <c r="C75" s="103"/>
      <c r="D75" s="103"/>
      <c r="E75" s="103"/>
      <c r="F75" s="103"/>
      <c r="G75" s="75"/>
      <c r="H75" s="94" t="s">
        <v>231</v>
      </c>
      <c r="I75" s="103"/>
      <c r="J75" s="103"/>
      <c r="K75" s="103"/>
      <c r="L75" s="103"/>
    </row>
    <row r="76" spans="1:12" ht="20.25" customHeight="1" x14ac:dyDescent="0.25">
      <c r="A76" s="75"/>
      <c r="B76" s="94" t="s">
        <v>301</v>
      </c>
      <c r="C76" s="103"/>
      <c r="D76" s="103"/>
      <c r="E76" s="103"/>
      <c r="F76" s="103"/>
      <c r="G76" s="75"/>
      <c r="H76" s="94" t="s">
        <v>232</v>
      </c>
      <c r="I76" s="103"/>
      <c r="J76" s="103"/>
      <c r="K76" s="103"/>
      <c r="L76" s="103"/>
    </row>
    <row r="77" spans="1:12" ht="20.25" customHeight="1" x14ac:dyDescent="0.25">
      <c r="A77" s="75"/>
      <c r="B77" s="94" t="s">
        <v>302</v>
      </c>
      <c r="C77" s="103"/>
      <c r="D77" s="103"/>
      <c r="E77" s="103"/>
      <c r="F77" s="103"/>
      <c r="G77" s="75"/>
      <c r="H77" s="94" t="s">
        <v>233</v>
      </c>
      <c r="I77" s="103"/>
      <c r="J77" s="103"/>
      <c r="K77" s="103"/>
      <c r="L77" s="103"/>
    </row>
    <row r="78" spans="1:12" ht="20.25" customHeight="1" x14ac:dyDescent="0.25">
      <c r="A78" s="75"/>
      <c r="B78" s="95" t="s">
        <v>303</v>
      </c>
      <c r="C78" s="103">
        <f>C75+C76+C77</f>
        <v>0</v>
      </c>
      <c r="D78" s="103">
        <f t="shared" ref="D78:F78" si="36">D75+D76+D77</f>
        <v>0</v>
      </c>
      <c r="E78" s="103">
        <f t="shared" ref="E78" si="37">E75+E76+E77</f>
        <v>0</v>
      </c>
      <c r="F78" s="103">
        <f t="shared" si="36"/>
        <v>0</v>
      </c>
      <c r="G78" s="75"/>
      <c r="H78" s="95" t="s">
        <v>243</v>
      </c>
      <c r="I78" s="103">
        <f>I75+I76+I77</f>
        <v>0</v>
      </c>
      <c r="J78" s="103">
        <f t="shared" ref="J78:L78" si="38">J75+J76+J77</f>
        <v>0</v>
      </c>
      <c r="K78" s="103">
        <f t="shared" ref="K78" si="39">K75+K76+K77</f>
        <v>0</v>
      </c>
      <c r="L78" s="103">
        <f t="shared" si="38"/>
        <v>0</v>
      </c>
    </row>
    <row r="79" spans="1:12" ht="20.25" customHeight="1" x14ac:dyDescent="0.25">
      <c r="A79" s="75"/>
      <c r="B79" s="69" t="s">
        <v>304</v>
      </c>
      <c r="C79" s="103"/>
      <c r="D79" s="103"/>
      <c r="E79" s="103"/>
      <c r="F79" s="103"/>
      <c r="G79" s="75"/>
      <c r="H79" s="94" t="s">
        <v>235</v>
      </c>
      <c r="I79" s="103"/>
      <c r="J79" s="103"/>
      <c r="K79" s="103"/>
      <c r="L79" s="103"/>
    </row>
    <row r="80" spans="1:12" ht="20.25" customHeight="1" x14ac:dyDescent="0.25">
      <c r="A80" s="75"/>
      <c r="B80" s="69" t="s">
        <v>305</v>
      </c>
      <c r="C80" s="103"/>
      <c r="D80" s="103"/>
      <c r="E80" s="103"/>
      <c r="F80" s="103"/>
      <c r="G80" s="75"/>
      <c r="H80" s="94" t="s">
        <v>234</v>
      </c>
      <c r="I80" s="103"/>
      <c r="J80" s="103"/>
      <c r="K80" s="103"/>
      <c r="L80" s="103"/>
    </row>
    <row r="81" spans="1:12" ht="20.25" customHeight="1" x14ac:dyDescent="0.25">
      <c r="A81" s="75"/>
      <c r="B81" s="70" t="s">
        <v>306</v>
      </c>
      <c r="C81" s="103">
        <f>C79+C80</f>
        <v>0</v>
      </c>
      <c r="D81" s="103">
        <f t="shared" ref="D81:F81" si="40">D79+D80</f>
        <v>0</v>
      </c>
      <c r="E81" s="103">
        <f t="shared" ref="E81" si="41">E79+E80</f>
        <v>0</v>
      </c>
      <c r="F81" s="103">
        <f t="shared" si="40"/>
        <v>0</v>
      </c>
      <c r="G81" s="75"/>
      <c r="H81" s="95" t="s">
        <v>244</v>
      </c>
      <c r="I81" s="103">
        <f>I79+I80</f>
        <v>0</v>
      </c>
      <c r="J81" s="103">
        <f t="shared" ref="J81:L81" si="42">J79+J80</f>
        <v>0</v>
      </c>
      <c r="K81" s="103">
        <f t="shared" ref="K81" si="43">K79+K80</f>
        <v>0</v>
      </c>
      <c r="L81" s="103">
        <f t="shared" si="42"/>
        <v>0</v>
      </c>
    </row>
    <row r="82" spans="1:12" ht="20.25" customHeight="1" x14ac:dyDescent="0.25">
      <c r="A82" s="75"/>
      <c r="B82" s="70" t="s">
        <v>307</v>
      </c>
      <c r="C82" s="103"/>
      <c r="D82" s="103"/>
      <c r="E82" s="103"/>
      <c r="F82" s="103"/>
      <c r="G82" s="75"/>
      <c r="H82" s="95" t="s">
        <v>236</v>
      </c>
      <c r="I82" s="103"/>
      <c r="J82" s="103"/>
      <c r="K82" s="103"/>
      <c r="L82" s="103"/>
    </row>
    <row r="83" spans="1:12" ht="20.25" customHeight="1" x14ac:dyDescent="0.25">
      <c r="A83" s="75"/>
      <c r="B83" s="70" t="s">
        <v>308</v>
      </c>
      <c r="C83" s="103">
        <f>'19.a bölcsőde részletes'!C107</f>
        <v>0</v>
      </c>
      <c r="D83" s="103">
        <f>'19.a bölcsőde részletes'!D107</f>
        <v>0</v>
      </c>
      <c r="E83" s="103">
        <f>'19.a bölcsőde részletes'!E107</f>
        <v>5065</v>
      </c>
      <c r="F83" s="103">
        <f>'19.a bölcsőde részletes'!F107</f>
        <v>5065</v>
      </c>
      <c r="G83" s="75"/>
      <c r="H83" s="75" t="s">
        <v>245</v>
      </c>
      <c r="I83" s="113">
        <f>I78+I81+I82</f>
        <v>0</v>
      </c>
      <c r="J83" s="113">
        <f t="shared" ref="J83:L83" si="44">J78+J81+J82</f>
        <v>0</v>
      </c>
      <c r="K83" s="113">
        <f t="shared" ref="K83" si="45">K78+K81+K82</f>
        <v>0</v>
      </c>
      <c r="L83" s="113">
        <f t="shared" si="44"/>
        <v>0</v>
      </c>
    </row>
    <row r="84" spans="1:12" ht="20.25" customHeight="1" x14ac:dyDescent="0.25">
      <c r="A84" s="75"/>
      <c r="B84" s="80" t="s">
        <v>309</v>
      </c>
      <c r="C84" s="113">
        <f>C78+C81+C82+C83</f>
        <v>0</v>
      </c>
      <c r="D84" s="113">
        <f t="shared" ref="D84:F84" si="46">D78+D81+D82+D83</f>
        <v>0</v>
      </c>
      <c r="E84" s="113">
        <f t="shared" ref="E84" si="47">E78+E81+E82+E83</f>
        <v>5065</v>
      </c>
      <c r="F84" s="113">
        <f t="shared" si="46"/>
        <v>5065</v>
      </c>
      <c r="G84" s="75"/>
      <c r="H84" s="95"/>
      <c r="I84" s="103"/>
      <c r="J84" s="103"/>
      <c r="K84" s="103"/>
      <c r="L84" s="103"/>
    </row>
    <row r="85" spans="1:12" ht="20.25" customHeight="1" x14ac:dyDescent="0.25">
      <c r="A85" s="90"/>
      <c r="B85" s="79"/>
      <c r="C85" s="104"/>
      <c r="D85" s="104"/>
      <c r="E85" s="104"/>
      <c r="F85" s="104"/>
      <c r="G85" s="90"/>
      <c r="H85" s="90"/>
      <c r="I85" s="104"/>
      <c r="J85" s="104"/>
      <c r="K85" s="104"/>
      <c r="L85" s="104"/>
    </row>
    <row r="86" spans="1:12" ht="20.25" customHeight="1" x14ac:dyDescent="0.25">
      <c r="A86" s="75"/>
      <c r="B86" s="94" t="s">
        <v>300</v>
      </c>
      <c r="C86" s="103"/>
      <c r="D86" s="103"/>
      <c r="E86" s="103"/>
      <c r="F86" s="103"/>
      <c r="G86" s="75"/>
      <c r="H86" s="94" t="s">
        <v>231</v>
      </c>
      <c r="I86" s="103"/>
      <c r="J86" s="103"/>
      <c r="K86" s="103"/>
      <c r="L86" s="103"/>
    </row>
    <row r="87" spans="1:12" ht="20.25" customHeight="1" x14ac:dyDescent="0.25">
      <c r="A87" s="75"/>
      <c r="B87" s="94" t="s">
        <v>301</v>
      </c>
      <c r="C87" s="103"/>
      <c r="D87" s="103"/>
      <c r="E87" s="103"/>
      <c r="F87" s="103"/>
      <c r="G87" s="75"/>
      <c r="H87" s="94" t="s">
        <v>232</v>
      </c>
      <c r="I87" s="103"/>
      <c r="J87" s="103"/>
      <c r="K87" s="103"/>
      <c r="L87" s="103"/>
    </row>
    <row r="88" spans="1:12" ht="20.25" customHeight="1" x14ac:dyDescent="0.25">
      <c r="A88" s="75"/>
      <c r="B88" s="94" t="s">
        <v>302</v>
      </c>
      <c r="C88" s="103"/>
      <c r="D88" s="103"/>
      <c r="E88" s="103"/>
      <c r="F88" s="103"/>
      <c r="G88" s="75"/>
      <c r="H88" s="94" t="s">
        <v>233</v>
      </c>
      <c r="I88" s="103"/>
      <c r="J88" s="103"/>
      <c r="K88" s="103"/>
      <c r="L88" s="103"/>
    </row>
    <row r="89" spans="1:12" ht="20.25" customHeight="1" x14ac:dyDescent="0.25">
      <c r="A89" s="75"/>
      <c r="B89" s="95" t="s">
        <v>303</v>
      </c>
      <c r="C89" s="103">
        <f>C86+C87+C88</f>
        <v>0</v>
      </c>
      <c r="D89" s="103">
        <f t="shared" ref="D89:F89" si="48">D86+D87+D88</f>
        <v>0</v>
      </c>
      <c r="E89" s="103">
        <f t="shared" ref="E89" si="49">E86+E87+E88</f>
        <v>0</v>
      </c>
      <c r="F89" s="103">
        <f t="shared" si="48"/>
        <v>0</v>
      </c>
      <c r="G89" s="75"/>
      <c r="H89" s="95" t="s">
        <v>243</v>
      </c>
      <c r="I89" s="103">
        <f>I86+I87+I88</f>
        <v>0</v>
      </c>
      <c r="J89" s="103">
        <f t="shared" ref="J89:L89" si="50">J86+J87+J88</f>
        <v>0</v>
      </c>
      <c r="K89" s="103">
        <f t="shared" ref="K89" si="51">K86+K87+K88</f>
        <v>0</v>
      </c>
      <c r="L89" s="103">
        <f t="shared" si="50"/>
        <v>0</v>
      </c>
    </row>
    <row r="90" spans="1:12" ht="20.25" customHeight="1" x14ac:dyDescent="0.25">
      <c r="A90" s="75"/>
      <c r="B90" s="69" t="s">
        <v>304</v>
      </c>
      <c r="C90" s="103"/>
      <c r="D90" s="103"/>
      <c r="E90" s="103"/>
      <c r="F90" s="103"/>
      <c r="G90" s="75"/>
      <c r="H90" s="94" t="s">
        <v>235</v>
      </c>
      <c r="I90" s="103"/>
      <c r="J90" s="103"/>
      <c r="K90" s="103"/>
      <c r="L90" s="103"/>
    </row>
    <row r="91" spans="1:12" ht="20.25" customHeight="1" x14ac:dyDescent="0.25">
      <c r="A91" s="75"/>
      <c r="B91" s="69" t="s">
        <v>305</v>
      </c>
      <c r="C91" s="103"/>
      <c r="D91" s="103"/>
      <c r="E91" s="103"/>
      <c r="F91" s="103"/>
      <c r="G91" s="75"/>
      <c r="H91" s="94" t="s">
        <v>234</v>
      </c>
      <c r="I91" s="103"/>
      <c r="J91" s="103"/>
      <c r="K91" s="103"/>
      <c r="L91" s="103"/>
    </row>
    <row r="92" spans="1:12" ht="20.25" customHeight="1" x14ac:dyDescent="0.25">
      <c r="A92" s="75"/>
      <c r="B92" s="70" t="s">
        <v>306</v>
      </c>
      <c r="C92" s="103">
        <f>C90+C91</f>
        <v>0</v>
      </c>
      <c r="D92" s="103">
        <f t="shared" ref="D92:F92" si="52">D90+D91</f>
        <v>0</v>
      </c>
      <c r="E92" s="103">
        <f t="shared" ref="E92" si="53">E90+E91</f>
        <v>0</v>
      </c>
      <c r="F92" s="103">
        <f t="shared" si="52"/>
        <v>0</v>
      </c>
      <c r="G92" s="75"/>
      <c r="H92" s="95" t="s">
        <v>244</v>
      </c>
      <c r="I92" s="103">
        <f>I90+I91</f>
        <v>0</v>
      </c>
      <c r="J92" s="103">
        <f t="shared" ref="J92:L92" si="54">J90+J91</f>
        <v>0</v>
      </c>
      <c r="K92" s="103">
        <f t="shared" ref="K92" si="55">K90+K91</f>
        <v>0</v>
      </c>
      <c r="L92" s="103">
        <f t="shared" si="54"/>
        <v>0</v>
      </c>
    </row>
    <row r="93" spans="1:12" ht="20.25" customHeight="1" x14ac:dyDescent="0.25">
      <c r="A93" s="75"/>
      <c r="B93" s="70" t="s">
        <v>311</v>
      </c>
      <c r="C93" s="103"/>
      <c r="D93" s="103"/>
      <c r="E93" s="103"/>
      <c r="F93" s="103"/>
      <c r="G93" s="75"/>
      <c r="H93" s="95" t="s">
        <v>236</v>
      </c>
      <c r="I93" s="103"/>
      <c r="J93" s="103"/>
      <c r="K93" s="103"/>
      <c r="L93" s="103"/>
    </row>
    <row r="94" spans="1:12" ht="20.25" customHeight="1" x14ac:dyDescent="0.25">
      <c r="A94" s="75"/>
      <c r="B94" s="70" t="s">
        <v>308</v>
      </c>
      <c r="C94" s="103"/>
      <c r="D94" s="103"/>
      <c r="E94" s="103"/>
      <c r="F94" s="103"/>
      <c r="G94" s="75"/>
      <c r="H94" s="75" t="s">
        <v>246</v>
      </c>
      <c r="I94" s="113">
        <f>I89+I92+I93</f>
        <v>0</v>
      </c>
      <c r="J94" s="113">
        <f t="shared" ref="J94:L94" si="56">J89+J92+J93</f>
        <v>0</v>
      </c>
      <c r="K94" s="113">
        <f t="shared" ref="K94" si="57">K89+K92+K93</f>
        <v>0</v>
      </c>
      <c r="L94" s="113">
        <f t="shared" si="56"/>
        <v>0</v>
      </c>
    </row>
    <row r="95" spans="1:12" ht="20.25" customHeight="1" x14ac:dyDescent="0.25">
      <c r="A95" s="110"/>
      <c r="B95" s="80" t="s">
        <v>310</v>
      </c>
      <c r="C95" s="113">
        <f>C89+C92+C93+C94</f>
        <v>0</v>
      </c>
      <c r="D95" s="113">
        <f t="shared" ref="D95:F95" si="58">D89+D92+D93+D94</f>
        <v>0</v>
      </c>
      <c r="E95" s="113">
        <f t="shared" ref="E95" si="59">E89+E92+E93+E94</f>
        <v>0</v>
      </c>
      <c r="F95" s="113">
        <f t="shared" si="58"/>
        <v>0</v>
      </c>
      <c r="G95" s="110"/>
      <c r="H95" s="95"/>
      <c r="I95" s="103"/>
      <c r="J95" s="103"/>
      <c r="K95" s="103"/>
      <c r="L95" s="103"/>
    </row>
    <row r="96" spans="1:12" ht="20.25" customHeight="1" x14ac:dyDescent="0.25">
      <c r="A96" s="740" t="s">
        <v>143</v>
      </c>
      <c r="B96" s="741"/>
      <c r="C96" s="428">
        <f>C2+C57+C74</f>
        <v>0</v>
      </c>
      <c r="D96" s="428">
        <f t="shared" ref="D96" si="60">D2+D57+D74</f>
        <v>0</v>
      </c>
      <c r="E96" s="428">
        <f t="shared" ref="E96" si="61">E2+E57+E74</f>
        <v>6857</v>
      </c>
      <c r="F96" s="428">
        <f>F2+F57+F74</f>
        <v>6857</v>
      </c>
      <c r="G96" s="740" t="s">
        <v>144</v>
      </c>
      <c r="H96" s="741"/>
      <c r="I96" s="428">
        <f>I2+I57+I74</f>
        <v>0</v>
      </c>
      <c r="J96" s="428">
        <f t="shared" ref="J96:L96" si="62">J2+J57+J74</f>
        <v>0</v>
      </c>
      <c r="K96" s="428">
        <f t="shared" ref="K96" si="63">K2+K57+K74</f>
        <v>6857.4500000000007</v>
      </c>
      <c r="L96" s="428">
        <f t="shared" si="62"/>
        <v>6857.4500000000007</v>
      </c>
    </row>
    <row r="97" spans="9:12" x14ac:dyDescent="0.25">
      <c r="I97" s="117">
        <f>I96-C96</f>
        <v>0</v>
      </c>
      <c r="J97" s="117">
        <f>J96-D96</f>
        <v>0</v>
      </c>
      <c r="K97" s="117">
        <f>K96-E96</f>
        <v>0.4500000000007276</v>
      </c>
      <c r="L97" s="117">
        <f t="shared" ref="L97" si="64">L96-F96</f>
        <v>0.4500000000007276</v>
      </c>
    </row>
  </sheetData>
  <mergeCells count="2">
    <mergeCell ref="A96:B96"/>
    <mergeCell ref="G96:H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&amp;CTaksony Nagyközség Önkormányzat 2016. évi költségvetés 
2. sz. módosítás&amp;R19.sz. melléklet</oddHeader>
    <oddFooter xml:space="preserve">&amp;LKészült: &amp;D
&amp;R/:Kreisz László://:Dr.Micheller Anita:/       </oddFooter>
  </headerFooter>
  <rowBreaks count="1" manualBreakCount="1">
    <brk id="56" max="9" man="1"/>
  </rowBreaks>
  <colBreaks count="1" manualBreakCount="1">
    <brk id="6" max="9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M128"/>
  <sheetViews>
    <sheetView view="pageBreakPreview" zoomScale="70" zoomScaleNormal="80" zoomScaleSheetLayoutView="70" workbookViewId="0">
      <pane ySplit="1" topLeftCell="A2" activePane="bottomLeft" state="frozen"/>
      <selection activeCell="G32" sqref="G32"/>
      <selection pane="bottomLeft" activeCell="D14" sqref="D14"/>
    </sheetView>
  </sheetViews>
  <sheetFormatPr defaultRowHeight="15" x14ac:dyDescent="0.25"/>
  <cols>
    <col min="1" max="1" width="6.7109375" style="21" customWidth="1"/>
    <col min="2" max="2" width="60.7109375" style="21" customWidth="1"/>
    <col min="3" max="6" width="20.85546875" style="21" customWidth="1"/>
    <col min="7" max="7" width="6.7109375" style="21" customWidth="1"/>
    <col min="8" max="8" width="67.140625" style="21" customWidth="1"/>
    <col min="9" max="12" width="20.7109375" style="21" customWidth="1"/>
    <col min="13" max="16384" width="9.140625" style="21"/>
  </cols>
  <sheetData>
    <row r="1" spans="1:12" ht="40.5" customHeight="1" x14ac:dyDescent="0.25">
      <c r="A1" s="656"/>
      <c r="B1" s="77" t="s">
        <v>1117</v>
      </c>
      <c r="C1" s="656" t="s">
        <v>1101</v>
      </c>
      <c r="D1" s="656" t="s">
        <v>1106</v>
      </c>
      <c r="E1" s="657" t="s">
        <v>1110</v>
      </c>
      <c r="F1" s="656" t="s">
        <v>1102</v>
      </c>
      <c r="G1" s="656"/>
      <c r="H1" s="77" t="s">
        <v>1118</v>
      </c>
      <c r="I1" s="656" t="s">
        <v>1101</v>
      </c>
      <c r="J1" s="656" t="s">
        <v>1106</v>
      </c>
      <c r="K1" s="657" t="s">
        <v>1110</v>
      </c>
      <c r="L1" s="657" t="s">
        <v>1102</v>
      </c>
    </row>
    <row r="2" spans="1:12" ht="20.25" customHeight="1" x14ac:dyDescent="0.25">
      <c r="A2" s="689"/>
      <c r="B2" s="690" t="s">
        <v>180</v>
      </c>
      <c r="C2" s="691">
        <f>C3+C22+C24+C60</f>
        <v>0</v>
      </c>
      <c r="D2" s="691">
        <f t="shared" ref="D2:F2" si="0">D3+D22+D24+D60</f>
        <v>0</v>
      </c>
      <c r="E2" s="691">
        <f t="shared" ref="E2" si="1">E3+E22+E24+E60</f>
        <v>1792</v>
      </c>
      <c r="F2" s="691">
        <f t="shared" si="0"/>
        <v>1792</v>
      </c>
      <c r="G2" s="689"/>
      <c r="H2" s="690" t="s">
        <v>196</v>
      </c>
      <c r="I2" s="691">
        <f>I3+I18+I22+I67+I74</f>
        <v>0</v>
      </c>
      <c r="J2" s="691">
        <f t="shared" ref="J2" si="2">J3+J18+J22+J67+J74</f>
        <v>0</v>
      </c>
      <c r="K2" s="691">
        <f t="shared" ref="K2:L2" si="3">K3+K18+K22+K67+K74</f>
        <v>6857.4500000000007</v>
      </c>
      <c r="L2" s="691">
        <f t="shared" si="3"/>
        <v>6857.4500000000007</v>
      </c>
    </row>
    <row r="3" spans="1:12" ht="20.25" customHeight="1" x14ac:dyDescent="0.25">
      <c r="A3" s="421" t="s">
        <v>23</v>
      </c>
      <c r="B3" s="422" t="s">
        <v>405</v>
      </c>
      <c r="C3" s="423">
        <f>SUM(C4+C12+C13+C14+C15+C17)</f>
        <v>0</v>
      </c>
      <c r="D3" s="423">
        <f t="shared" ref="D3:F3" si="4">SUM(D4+D12+D13+D14+D15+D17)</f>
        <v>0</v>
      </c>
      <c r="E3" s="423">
        <f t="shared" ref="E3" si="5">SUM(E4+E12+E13+E14+E15+E17)</f>
        <v>0</v>
      </c>
      <c r="F3" s="423">
        <f t="shared" si="4"/>
        <v>0</v>
      </c>
      <c r="G3" s="421" t="s">
        <v>23</v>
      </c>
      <c r="H3" s="414" t="s">
        <v>313</v>
      </c>
      <c r="I3" s="415">
        <f>I12+I17</f>
        <v>0</v>
      </c>
      <c r="J3" s="415">
        <f t="shared" ref="J3" si="6">J12+J17</f>
        <v>0</v>
      </c>
      <c r="K3" s="415">
        <f t="shared" ref="K3:L3" si="7">K12+K17</f>
        <v>3738</v>
      </c>
      <c r="L3" s="415">
        <f t="shared" si="7"/>
        <v>3738</v>
      </c>
    </row>
    <row r="4" spans="1:12" ht="20.25" customHeight="1" x14ac:dyDescent="0.25">
      <c r="A4" s="70"/>
      <c r="B4" s="111" t="s">
        <v>446</v>
      </c>
      <c r="C4" s="109">
        <f>SUM(C5:C10)</f>
        <v>0</v>
      </c>
      <c r="D4" s="109"/>
      <c r="E4" s="109">
        <f t="shared" ref="E4" si="8">SUM(E5:E10)</f>
        <v>0</v>
      </c>
      <c r="F4" s="109">
        <f t="shared" ref="F4" si="9">SUM(F5:F10)</f>
        <v>0</v>
      </c>
      <c r="G4" s="80"/>
      <c r="H4" s="69" t="s">
        <v>1112</v>
      </c>
      <c r="I4" s="97"/>
      <c r="J4" s="97"/>
      <c r="K4" s="97">
        <v>3594</v>
      </c>
      <c r="L4" s="97">
        <f>I4+K4</f>
        <v>3594</v>
      </c>
    </row>
    <row r="5" spans="1:12" ht="24" customHeight="1" x14ac:dyDescent="0.25">
      <c r="A5" s="80"/>
      <c r="B5" s="84" t="s">
        <v>407</v>
      </c>
      <c r="C5" s="109"/>
      <c r="D5" s="109"/>
      <c r="E5" s="109"/>
      <c r="F5" s="109"/>
      <c r="G5" s="80"/>
      <c r="H5" s="69" t="s">
        <v>314</v>
      </c>
      <c r="I5" s="97"/>
      <c r="J5" s="97"/>
      <c r="K5" s="97"/>
      <c r="L5" s="97">
        <f t="shared" ref="L5:L17" si="10">I5+K5</f>
        <v>0</v>
      </c>
    </row>
    <row r="6" spans="1:12" ht="24" customHeight="1" x14ac:dyDescent="0.25">
      <c r="A6" s="80"/>
      <c r="B6" s="84" t="s">
        <v>408</v>
      </c>
      <c r="C6" s="109"/>
      <c r="D6" s="109"/>
      <c r="E6" s="109"/>
      <c r="F6" s="109"/>
      <c r="G6" s="80"/>
      <c r="H6" s="69" t="s">
        <v>315</v>
      </c>
      <c r="I6" s="97"/>
      <c r="J6" s="97"/>
      <c r="K6" s="97"/>
      <c r="L6" s="97">
        <f t="shared" si="10"/>
        <v>0</v>
      </c>
    </row>
    <row r="7" spans="1:12" ht="30" x14ac:dyDescent="0.25">
      <c r="A7" s="80"/>
      <c r="B7" s="84" t="s">
        <v>1044</v>
      </c>
      <c r="C7" s="109"/>
      <c r="D7" s="109"/>
      <c r="E7" s="109"/>
      <c r="F7" s="109"/>
      <c r="G7" s="80"/>
      <c r="H7" s="69" t="s">
        <v>316</v>
      </c>
      <c r="I7" s="97"/>
      <c r="J7" s="97"/>
      <c r="K7" s="97"/>
      <c r="L7" s="97">
        <f t="shared" si="10"/>
        <v>0</v>
      </c>
    </row>
    <row r="8" spans="1:12" ht="22.5" customHeight="1" x14ac:dyDescent="0.25">
      <c r="A8" s="80"/>
      <c r="B8" s="84" t="s">
        <v>409</v>
      </c>
      <c r="C8" s="109"/>
      <c r="D8" s="109"/>
      <c r="E8" s="109"/>
      <c r="F8" s="109"/>
      <c r="G8" s="80"/>
      <c r="H8" s="69" t="s">
        <v>317</v>
      </c>
      <c r="I8" s="315"/>
      <c r="J8" s="315"/>
      <c r="K8" s="315">
        <f>6*6*4</f>
        <v>144</v>
      </c>
      <c r="L8" s="315">
        <f t="shared" si="10"/>
        <v>144</v>
      </c>
    </row>
    <row r="9" spans="1:12" ht="24.75" customHeight="1" x14ac:dyDescent="0.25">
      <c r="A9" s="80"/>
      <c r="B9" s="84" t="s">
        <v>1045</v>
      </c>
      <c r="C9" s="82" t="s">
        <v>253</v>
      </c>
      <c r="D9" s="82"/>
      <c r="E9" s="82"/>
      <c r="F9" s="82"/>
      <c r="G9" s="80"/>
      <c r="H9" s="69" t="s">
        <v>318</v>
      </c>
      <c r="I9" s="97"/>
      <c r="J9" s="97"/>
      <c r="K9" s="97"/>
      <c r="L9" s="97">
        <f t="shared" si="10"/>
        <v>0</v>
      </c>
    </row>
    <row r="10" spans="1:12" ht="18" customHeight="1" x14ac:dyDescent="0.25">
      <c r="A10" s="80"/>
      <c r="B10" s="84" t="s">
        <v>1046</v>
      </c>
      <c r="C10" s="82" t="s">
        <v>253</v>
      </c>
      <c r="D10" s="82"/>
      <c r="E10" s="82"/>
      <c r="F10" s="82"/>
      <c r="G10" s="85"/>
      <c r="H10" s="69" t="s">
        <v>319</v>
      </c>
      <c r="I10" s="108"/>
      <c r="J10" s="108"/>
      <c r="K10" s="108"/>
      <c r="L10" s="108">
        <f t="shared" si="10"/>
        <v>0</v>
      </c>
    </row>
    <row r="11" spans="1:12" ht="20.25" customHeight="1" x14ac:dyDescent="0.25">
      <c r="A11" s="80"/>
      <c r="B11" s="115"/>
      <c r="C11" s="88"/>
      <c r="D11" s="88"/>
      <c r="E11" s="88"/>
      <c r="F11" s="88"/>
      <c r="G11" s="85"/>
      <c r="H11" s="69" t="s">
        <v>863</v>
      </c>
      <c r="I11" s="107"/>
      <c r="J11" s="107"/>
      <c r="K11" s="107"/>
      <c r="L11" s="107">
        <f t="shared" si="10"/>
        <v>0</v>
      </c>
    </row>
    <row r="12" spans="1:12" ht="20.25" customHeight="1" x14ac:dyDescent="0.25">
      <c r="A12" s="80"/>
      <c r="B12" s="84" t="s">
        <v>412</v>
      </c>
      <c r="C12" s="88"/>
      <c r="D12" s="88"/>
      <c r="E12" s="88"/>
      <c r="F12" s="88"/>
      <c r="G12" s="85"/>
      <c r="H12" s="70" t="s">
        <v>321</v>
      </c>
      <c r="I12" s="107">
        <f>I4+I5+I6+I7+I8+I9+I10+I11</f>
        <v>0</v>
      </c>
      <c r="J12" s="107">
        <f t="shared" ref="J12:K12" si="11">J4+J5+J6+J7+J8+J9+J10+J11</f>
        <v>0</v>
      </c>
      <c r="K12" s="107">
        <f t="shared" si="11"/>
        <v>3738</v>
      </c>
      <c r="L12" s="107">
        <f t="shared" si="10"/>
        <v>3738</v>
      </c>
    </row>
    <row r="13" spans="1:12" ht="30" x14ac:dyDescent="0.25">
      <c r="A13" s="70"/>
      <c r="B13" s="84" t="s">
        <v>413</v>
      </c>
      <c r="C13" s="109"/>
      <c r="D13" s="109"/>
      <c r="E13" s="109"/>
      <c r="F13" s="109"/>
      <c r="G13" s="85"/>
      <c r="H13" s="69" t="s">
        <v>322</v>
      </c>
      <c r="I13" s="99"/>
      <c r="J13" s="99"/>
      <c r="K13" s="99"/>
      <c r="L13" s="99">
        <f t="shared" si="10"/>
        <v>0</v>
      </c>
    </row>
    <row r="14" spans="1:12" ht="29.25" customHeight="1" x14ac:dyDescent="0.25">
      <c r="A14" s="70"/>
      <c r="B14" s="84" t="s">
        <v>414</v>
      </c>
      <c r="C14" s="109"/>
      <c r="D14" s="109"/>
      <c r="E14" s="109"/>
      <c r="F14" s="109"/>
      <c r="G14" s="85"/>
      <c r="H14" s="69" t="s">
        <v>323</v>
      </c>
      <c r="I14" s="99"/>
      <c r="J14" s="107"/>
      <c r="K14" s="107"/>
      <c r="L14" s="107">
        <f t="shared" si="10"/>
        <v>0</v>
      </c>
    </row>
    <row r="15" spans="1:12" ht="29.25" customHeight="1" x14ac:dyDescent="0.25">
      <c r="A15" s="70"/>
      <c r="B15" s="84" t="s">
        <v>415</v>
      </c>
      <c r="C15" s="109"/>
      <c r="D15" s="109"/>
      <c r="E15" s="109"/>
      <c r="F15" s="109"/>
      <c r="G15" s="85"/>
      <c r="H15" s="69" t="s">
        <v>324</v>
      </c>
      <c r="I15" s="107">
        <f>SUM(I16)</f>
        <v>0</v>
      </c>
      <c r="J15" s="107"/>
      <c r="K15" s="107"/>
      <c r="L15" s="107">
        <f t="shared" si="10"/>
        <v>0</v>
      </c>
    </row>
    <row r="16" spans="1:12" ht="29.25" customHeight="1" x14ac:dyDescent="0.25">
      <c r="A16" s="70"/>
      <c r="B16" s="84"/>
      <c r="C16" s="109"/>
      <c r="D16" s="109"/>
      <c r="E16" s="109"/>
      <c r="F16" s="109"/>
      <c r="G16" s="85"/>
      <c r="H16" s="69" t="s">
        <v>1056</v>
      </c>
      <c r="I16" s="315"/>
      <c r="J16" s="315"/>
      <c r="K16" s="315"/>
      <c r="L16" s="315">
        <f t="shared" si="10"/>
        <v>0</v>
      </c>
    </row>
    <row r="17" spans="1:12" ht="21" customHeight="1" x14ac:dyDescent="0.25">
      <c r="A17" s="70"/>
      <c r="B17" s="84" t="s">
        <v>416</v>
      </c>
      <c r="C17" s="316"/>
      <c r="D17" s="316"/>
      <c r="E17" s="316"/>
      <c r="F17" s="316">
        <f>C17+D17</f>
        <v>0</v>
      </c>
      <c r="G17" s="85"/>
      <c r="H17" s="70" t="s">
        <v>325</v>
      </c>
      <c r="I17" s="107">
        <f>I13+I14+I15</f>
        <v>0</v>
      </c>
      <c r="J17" s="107">
        <f t="shared" ref="J17:K17" si="12">J13+J14+J15</f>
        <v>0</v>
      </c>
      <c r="K17" s="107">
        <f t="shared" si="12"/>
        <v>0</v>
      </c>
      <c r="L17" s="107">
        <f t="shared" si="10"/>
        <v>0</v>
      </c>
    </row>
    <row r="18" spans="1:12" ht="18.75" customHeight="1" x14ac:dyDescent="0.25">
      <c r="A18" s="70"/>
      <c r="B18" s="84"/>
      <c r="C18" s="109"/>
      <c r="D18" s="109"/>
      <c r="E18" s="109"/>
      <c r="F18" s="109"/>
      <c r="G18" s="421" t="s">
        <v>45</v>
      </c>
      <c r="H18" s="414" t="s">
        <v>326</v>
      </c>
      <c r="I18" s="415">
        <f>SUM(I19:I21)</f>
        <v>0</v>
      </c>
      <c r="J18" s="415">
        <f t="shared" ref="J18" si="13">SUM(J19:J21)</f>
        <v>0</v>
      </c>
      <c r="K18" s="415">
        <f t="shared" ref="K18:L18" si="14">SUM(K19:K21)</f>
        <v>1020</v>
      </c>
      <c r="L18" s="415">
        <f t="shared" si="14"/>
        <v>1020</v>
      </c>
    </row>
    <row r="19" spans="1:12" ht="20.25" customHeight="1" x14ac:dyDescent="0.25">
      <c r="A19" s="70"/>
      <c r="B19" s="84"/>
      <c r="C19" s="109"/>
      <c r="D19" s="109"/>
      <c r="E19" s="109"/>
      <c r="F19" s="109"/>
      <c r="G19" s="71"/>
      <c r="H19" s="69" t="s">
        <v>864</v>
      </c>
      <c r="I19" s="107"/>
      <c r="J19" s="107"/>
      <c r="K19" s="107">
        <v>970</v>
      </c>
      <c r="L19" s="107">
        <f>I19+K19</f>
        <v>970</v>
      </c>
    </row>
    <row r="20" spans="1:12" ht="20.25" customHeight="1" x14ac:dyDescent="0.25">
      <c r="A20" s="70"/>
      <c r="B20" s="84"/>
      <c r="C20" s="109"/>
      <c r="D20" s="109"/>
      <c r="E20" s="109"/>
      <c r="F20" s="109"/>
      <c r="G20" s="71"/>
      <c r="H20" s="69" t="s">
        <v>865</v>
      </c>
      <c r="I20" s="107"/>
      <c r="J20" s="107"/>
      <c r="K20" s="107">
        <v>24</v>
      </c>
      <c r="L20" s="107">
        <f t="shared" ref="L20:L21" si="15">I20+K20</f>
        <v>24</v>
      </c>
    </row>
    <row r="21" spans="1:12" ht="20.25" customHeight="1" x14ac:dyDescent="0.25">
      <c r="A21" s="70"/>
      <c r="B21" s="84"/>
      <c r="C21" s="109"/>
      <c r="D21" s="109"/>
      <c r="E21" s="109"/>
      <c r="F21" s="109"/>
      <c r="G21" s="71"/>
      <c r="H21" s="69" t="s">
        <v>866</v>
      </c>
      <c r="I21" s="107"/>
      <c r="J21" s="107"/>
      <c r="K21" s="107">
        <v>26</v>
      </c>
      <c r="L21" s="107">
        <f t="shared" si="15"/>
        <v>26</v>
      </c>
    </row>
    <row r="22" spans="1:12" ht="20.25" customHeight="1" x14ac:dyDescent="0.25">
      <c r="A22" s="421" t="s">
        <v>45</v>
      </c>
      <c r="B22" s="422" t="s">
        <v>448</v>
      </c>
      <c r="C22" s="423">
        <f>0</f>
        <v>0</v>
      </c>
      <c r="D22" s="423">
        <f>0</f>
        <v>0</v>
      </c>
      <c r="E22" s="423">
        <f>0</f>
        <v>0</v>
      </c>
      <c r="F22" s="423">
        <f>0</f>
        <v>0</v>
      </c>
      <c r="G22" s="421" t="s">
        <v>56</v>
      </c>
      <c r="H22" s="414" t="s">
        <v>327</v>
      </c>
      <c r="I22" s="415">
        <f>I36+I39+I57+I60+I66</f>
        <v>0</v>
      </c>
      <c r="J22" s="415">
        <f t="shared" ref="J22:L22" si="16">J36+J39+J57+J60+J66</f>
        <v>0</v>
      </c>
      <c r="K22" s="415">
        <f t="shared" ref="K22" si="17">K36+K39+K57+K60+K66</f>
        <v>2099.4500000000003</v>
      </c>
      <c r="L22" s="415">
        <f t="shared" si="16"/>
        <v>2099.4500000000003</v>
      </c>
    </row>
    <row r="23" spans="1:12" ht="20.25" customHeight="1" x14ac:dyDescent="0.25">
      <c r="A23" s="86"/>
      <c r="B23" s="88"/>
      <c r="C23" s="97"/>
      <c r="D23" s="97"/>
      <c r="E23" s="97"/>
      <c r="F23" s="97"/>
      <c r="G23" s="71"/>
      <c r="H23" s="71" t="s">
        <v>328</v>
      </c>
      <c r="I23" s="107">
        <f>SUM(I24:I26)</f>
        <v>0</v>
      </c>
      <c r="J23" s="107">
        <f t="shared" ref="J23:K23" si="18">SUM(J24:J26)</f>
        <v>0</v>
      </c>
      <c r="K23" s="107">
        <f t="shared" si="18"/>
        <v>0</v>
      </c>
      <c r="L23" s="107">
        <f>I23+K23</f>
        <v>0</v>
      </c>
    </row>
    <row r="24" spans="1:12" ht="20.25" customHeight="1" x14ac:dyDescent="0.25">
      <c r="A24" s="421" t="s">
        <v>56</v>
      </c>
      <c r="B24" s="422" t="s">
        <v>447</v>
      </c>
      <c r="C24" s="423">
        <f>C25+C26+C32+C33+C34+C41+C42+C43+C44+C45</f>
        <v>0</v>
      </c>
      <c r="D24" s="423">
        <f t="shared" ref="D24:F24" si="19">D25+D26+D32+D33+D34+D41+D42+D43+D44+D45</f>
        <v>0</v>
      </c>
      <c r="E24" s="423">
        <f t="shared" ref="E24" si="20">E25+E26+E32+E33+E34+E41+E42+E43+E44+E45</f>
        <v>1792</v>
      </c>
      <c r="F24" s="423">
        <f t="shared" si="19"/>
        <v>1792</v>
      </c>
      <c r="G24" s="71"/>
      <c r="H24" s="71" t="s">
        <v>329</v>
      </c>
      <c r="I24" s="107"/>
      <c r="J24" s="107"/>
      <c r="K24" s="107"/>
      <c r="L24" s="107">
        <f t="shared" ref="L24:L87" si="21">I24+K24</f>
        <v>0</v>
      </c>
    </row>
    <row r="25" spans="1:12" ht="20.25" customHeight="1" x14ac:dyDescent="0.25">
      <c r="A25" s="86"/>
      <c r="B25" s="89" t="s">
        <v>449</v>
      </c>
      <c r="C25" s="103"/>
      <c r="D25" s="103"/>
      <c r="E25" s="103"/>
      <c r="F25" s="103"/>
      <c r="G25" s="71"/>
      <c r="H25" s="71" t="s">
        <v>330</v>
      </c>
      <c r="I25" s="107"/>
      <c r="J25" s="107"/>
      <c r="K25" s="107"/>
      <c r="L25" s="107">
        <f t="shared" si="21"/>
        <v>0</v>
      </c>
    </row>
    <row r="26" spans="1:12" ht="20.25" customHeight="1" x14ac:dyDescent="0.25">
      <c r="A26" s="86"/>
      <c r="B26" s="89" t="s">
        <v>450</v>
      </c>
      <c r="C26" s="103">
        <f>SUM(C27:C31)</f>
        <v>0</v>
      </c>
      <c r="D26" s="103">
        <f t="shared" ref="D26:F26" si="22">SUM(D27:D31)</f>
        <v>0</v>
      </c>
      <c r="E26" s="103">
        <f t="shared" ref="E26" si="23">SUM(E27:E31)</f>
        <v>0</v>
      </c>
      <c r="F26" s="103">
        <f t="shared" si="22"/>
        <v>0</v>
      </c>
      <c r="G26" s="71"/>
      <c r="H26" s="71" t="s">
        <v>331</v>
      </c>
      <c r="I26" s="107"/>
      <c r="J26" s="107"/>
      <c r="K26" s="107"/>
      <c r="L26" s="107">
        <f t="shared" si="21"/>
        <v>0</v>
      </c>
    </row>
    <row r="27" spans="1:12" ht="20.25" customHeight="1" x14ac:dyDescent="0.25">
      <c r="A27" s="86"/>
      <c r="B27" s="89" t="s">
        <v>469</v>
      </c>
      <c r="C27" s="103"/>
      <c r="D27" s="103"/>
      <c r="E27" s="103"/>
      <c r="F27" s="103"/>
      <c r="G27" s="71"/>
      <c r="H27" s="71" t="s">
        <v>338</v>
      </c>
      <c r="I27" s="107">
        <f>SUM(I28:I33)</f>
        <v>0</v>
      </c>
      <c r="J27" s="107">
        <f t="shared" ref="J27:K27" si="24">SUM(J28:J33)</f>
        <v>0</v>
      </c>
      <c r="K27" s="107">
        <f t="shared" si="24"/>
        <v>143</v>
      </c>
      <c r="L27" s="107">
        <f t="shared" si="21"/>
        <v>143</v>
      </c>
    </row>
    <row r="28" spans="1:12" ht="20.25" customHeight="1" x14ac:dyDescent="0.25">
      <c r="A28" s="86"/>
      <c r="B28" s="89" t="s">
        <v>467</v>
      </c>
      <c r="C28" s="103"/>
      <c r="D28" s="103"/>
      <c r="E28" s="103"/>
      <c r="F28" s="103"/>
      <c r="G28" s="71"/>
      <c r="H28" s="71" t="s">
        <v>332</v>
      </c>
      <c r="I28" s="107"/>
      <c r="J28" s="107"/>
      <c r="K28" s="107"/>
      <c r="L28" s="107">
        <f t="shared" si="21"/>
        <v>0</v>
      </c>
    </row>
    <row r="29" spans="1:12" ht="20.25" customHeight="1" x14ac:dyDescent="0.25">
      <c r="A29" s="86"/>
      <c r="B29" s="21" t="s">
        <v>468</v>
      </c>
      <c r="C29" s="103"/>
      <c r="D29" s="103"/>
      <c r="E29" s="103"/>
      <c r="F29" s="103"/>
      <c r="G29" s="71"/>
      <c r="H29" s="71" t="s">
        <v>333</v>
      </c>
      <c r="I29" s="107"/>
      <c r="J29" s="107"/>
      <c r="K29" s="107">
        <v>6</v>
      </c>
      <c r="L29" s="107">
        <f t="shared" si="21"/>
        <v>6</v>
      </c>
    </row>
    <row r="30" spans="1:12" ht="20.25" customHeight="1" x14ac:dyDescent="0.25">
      <c r="A30" s="86"/>
      <c r="B30" s="89" t="s">
        <v>494</v>
      </c>
      <c r="C30" s="103"/>
      <c r="D30" s="103"/>
      <c r="E30" s="103"/>
      <c r="F30" s="103"/>
      <c r="G30" s="71"/>
      <c r="H30" s="71" t="s">
        <v>334</v>
      </c>
      <c r="I30" s="107"/>
      <c r="J30" s="107"/>
      <c r="K30" s="107">
        <v>7</v>
      </c>
      <c r="L30" s="107">
        <f t="shared" si="21"/>
        <v>7</v>
      </c>
    </row>
    <row r="31" spans="1:12" ht="20.25" customHeight="1" x14ac:dyDescent="0.25">
      <c r="A31" s="86"/>
      <c r="B31" s="89" t="s">
        <v>495</v>
      </c>
      <c r="C31" s="103"/>
      <c r="D31" s="103"/>
      <c r="E31" s="103"/>
      <c r="F31" s="103"/>
      <c r="G31" s="71"/>
      <c r="H31" s="71" t="s">
        <v>335</v>
      </c>
      <c r="I31" s="107"/>
      <c r="J31" s="107"/>
      <c r="K31" s="107"/>
      <c r="L31" s="107">
        <f t="shared" si="21"/>
        <v>0</v>
      </c>
    </row>
    <row r="32" spans="1:12" ht="20.25" customHeight="1" x14ac:dyDescent="0.25">
      <c r="A32" s="86"/>
      <c r="B32" s="89" t="s">
        <v>451</v>
      </c>
      <c r="C32" s="103"/>
      <c r="D32" s="103"/>
      <c r="E32" s="103"/>
      <c r="F32" s="103"/>
      <c r="G32" s="71"/>
      <c r="H32" s="71" t="s">
        <v>336</v>
      </c>
      <c r="I32" s="107"/>
      <c r="J32" s="107"/>
      <c r="K32" s="107"/>
      <c r="L32" s="107">
        <f t="shared" si="21"/>
        <v>0</v>
      </c>
    </row>
    <row r="33" spans="1:12" ht="20.25" customHeight="1" x14ac:dyDescent="0.25">
      <c r="A33" s="86"/>
      <c r="B33" s="89" t="s">
        <v>452</v>
      </c>
      <c r="C33" s="103"/>
      <c r="D33" s="103"/>
      <c r="E33" s="103"/>
      <c r="F33" s="103"/>
      <c r="G33" s="71"/>
      <c r="H33" s="71" t="s">
        <v>1113</v>
      </c>
      <c r="I33" s="107"/>
      <c r="J33" s="107"/>
      <c r="K33" s="107">
        <v>130</v>
      </c>
      <c r="L33" s="107">
        <f t="shared" si="21"/>
        <v>130</v>
      </c>
    </row>
    <row r="34" spans="1:12" ht="20.25" customHeight="1" x14ac:dyDescent="0.25">
      <c r="A34" s="86"/>
      <c r="B34" s="89" t="s">
        <v>453</v>
      </c>
      <c r="C34" s="103">
        <f>SUM(C35:C40)</f>
        <v>0</v>
      </c>
      <c r="D34" s="103">
        <f t="shared" ref="D34:E34" si="25">SUM(D35:D40)</f>
        <v>0</v>
      </c>
      <c r="E34" s="103">
        <f t="shared" si="25"/>
        <v>1690</v>
      </c>
      <c r="F34" s="103">
        <f>C34+E34</f>
        <v>1690</v>
      </c>
      <c r="G34" s="71"/>
      <c r="H34" s="71" t="s">
        <v>339</v>
      </c>
      <c r="I34" s="107"/>
      <c r="J34" s="107"/>
      <c r="K34" s="107"/>
      <c r="L34" s="107">
        <f t="shared" si="21"/>
        <v>0</v>
      </c>
    </row>
    <row r="35" spans="1:12" ht="20.25" customHeight="1" x14ac:dyDescent="0.25">
      <c r="A35" s="86"/>
      <c r="B35" s="21" t="s">
        <v>1111</v>
      </c>
      <c r="C35" s="103"/>
      <c r="D35" s="103"/>
      <c r="E35" s="103">
        <v>378</v>
      </c>
      <c r="F35" s="103">
        <f>C35+E35</f>
        <v>378</v>
      </c>
      <c r="G35" s="71"/>
      <c r="H35" s="71"/>
      <c r="I35" s="107"/>
      <c r="J35" s="107"/>
      <c r="K35" s="107"/>
      <c r="L35" s="107">
        <f t="shared" si="21"/>
        <v>0</v>
      </c>
    </row>
    <row r="36" spans="1:12" ht="20.25" customHeight="1" x14ac:dyDescent="0.25">
      <c r="A36" s="86"/>
      <c r="B36" s="21" t="s">
        <v>497</v>
      </c>
      <c r="C36" s="103"/>
      <c r="D36" s="103"/>
      <c r="E36" s="103"/>
      <c r="F36" s="103"/>
      <c r="G36" s="71"/>
      <c r="H36" s="72" t="s">
        <v>340</v>
      </c>
      <c r="I36" s="107">
        <f>I23+I27+I34</f>
        <v>0</v>
      </c>
      <c r="J36" s="107">
        <f t="shared" ref="J36:K36" si="26">J23+J27+J34</f>
        <v>0</v>
      </c>
      <c r="K36" s="107">
        <f t="shared" si="26"/>
        <v>143</v>
      </c>
      <c r="L36" s="107">
        <f t="shared" si="21"/>
        <v>143</v>
      </c>
    </row>
    <row r="37" spans="1:12" ht="20.25" customHeight="1" x14ac:dyDescent="0.25">
      <c r="A37" s="86"/>
      <c r="B37" s="88" t="s">
        <v>498</v>
      </c>
      <c r="C37" s="103"/>
      <c r="D37" s="103"/>
      <c r="E37" s="103"/>
      <c r="F37" s="103"/>
      <c r="G37" s="71"/>
      <c r="H37" s="71" t="s">
        <v>909</v>
      </c>
      <c r="I37" s="107"/>
      <c r="J37" s="107"/>
      <c r="K37" s="107"/>
      <c r="L37" s="107">
        <f t="shared" si="21"/>
        <v>0</v>
      </c>
    </row>
    <row r="38" spans="1:12" ht="20.25" customHeight="1" x14ac:dyDescent="0.25">
      <c r="A38" s="86"/>
      <c r="B38" s="88" t="s">
        <v>496</v>
      </c>
      <c r="C38" s="103"/>
      <c r="D38" s="103"/>
      <c r="E38" s="103"/>
      <c r="F38" s="103"/>
      <c r="G38" s="71"/>
      <c r="H38" s="71" t="s">
        <v>492</v>
      </c>
      <c r="I38" s="107"/>
      <c r="J38" s="107"/>
      <c r="K38" s="107">
        <v>25</v>
      </c>
      <c r="L38" s="107">
        <f t="shared" si="21"/>
        <v>25</v>
      </c>
    </row>
    <row r="39" spans="1:12" ht="20.25" customHeight="1" x14ac:dyDescent="0.25">
      <c r="A39" s="86"/>
      <c r="B39" s="88" t="s">
        <v>454</v>
      </c>
      <c r="C39" s="103"/>
      <c r="D39" s="103"/>
      <c r="E39" s="103">
        <v>1312</v>
      </c>
      <c r="F39" s="103">
        <f t="shared" ref="F39:F41" si="27">C39+E39</f>
        <v>1312</v>
      </c>
      <c r="G39" s="71"/>
      <c r="H39" s="72" t="s">
        <v>341</v>
      </c>
      <c r="I39" s="107">
        <f>I37+I38</f>
        <v>0</v>
      </c>
      <c r="J39" s="107">
        <f t="shared" ref="J39:K39" si="28">J37+J38</f>
        <v>0</v>
      </c>
      <c r="K39" s="107">
        <f t="shared" si="28"/>
        <v>25</v>
      </c>
      <c r="L39" s="107">
        <f t="shared" si="21"/>
        <v>25</v>
      </c>
    </row>
    <row r="40" spans="1:12" ht="20.25" customHeight="1" x14ac:dyDescent="0.25">
      <c r="A40" s="86"/>
      <c r="B40" s="21" t="s">
        <v>911</v>
      </c>
      <c r="C40" s="103"/>
      <c r="D40" s="103"/>
      <c r="E40" s="103"/>
      <c r="F40" s="103"/>
      <c r="G40" s="71"/>
      <c r="H40" s="71" t="s">
        <v>345</v>
      </c>
      <c r="I40" s="107">
        <f>SUM(I41:I43)</f>
        <v>0</v>
      </c>
      <c r="J40" s="107">
        <f t="shared" ref="J40:K40" si="29">SUM(J41:J43)</f>
        <v>0</v>
      </c>
      <c r="K40" s="107">
        <f t="shared" si="29"/>
        <v>469</v>
      </c>
      <c r="L40" s="107">
        <f t="shared" si="21"/>
        <v>469</v>
      </c>
    </row>
    <row r="41" spans="1:12" ht="20.25" customHeight="1" x14ac:dyDescent="0.25">
      <c r="A41" s="86"/>
      <c r="B41" s="89" t="s">
        <v>455</v>
      </c>
      <c r="C41" s="103"/>
      <c r="D41" s="103"/>
      <c r="E41" s="103">
        <v>102</v>
      </c>
      <c r="F41" s="103">
        <f t="shared" si="27"/>
        <v>102</v>
      </c>
      <c r="G41" s="71"/>
      <c r="H41" s="71" t="s">
        <v>346</v>
      </c>
      <c r="I41" s="107"/>
      <c r="J41" s="107"/>
      <c r="K41" s="107">
        <v>47</v>
      </c>
      <c r="L41" s="107">
        <f t="shared" si="21"/>
        <v>47</v>
      </c>
    </row>
    <row r="42" spans="1:12" ht="20.25" customHeight="1" x14ac:dyDescent="0.25">
      <c r="A42" s="88"/>
      <c r="B42" s="89" t="s">
        <v>456</v>
      </c>
      <c r="C42" s="88"/>
      <c r="D42" s="88"/>
      <c r="E42" s="88"/>
      <c r="F42" s="88"/>
      <c r="G42" s="71"/>
      <c r="H42" s="71" t="s">
        <v>348</v>
      </c>
      <c r="I42" s="107"/>
      <c r="J42" s="107"/>
      <c r="K42" s="107">
        <v>327</v>
      </c>
      <c r="L42" s="107">
        <f t="shared" si="21"/>
        <v>327</v>
      </c>
    </row>
    <row r="43" spans="1:12" ht="20.25" customHeight="1" x14ac:dyDescent="0.25">
      <c r="A43" s="88"/>
      <c r="B43" s="89" t="s">
        <v>1048</v>
      </c>
      <c r="C43" s="88"/>
      <c r="D43" s="88"/>
      <c r="E43" s="88"/>
      <c r="F43" s="88"/>
      <c r="G43" s="71"/>
      <c r="H43" s="71" t="s">
        <v>347</v>
      </c>
      <c r="I43" s="107"/>
      <c r="J43" s="107"/>
      <c r="K43" s="107">
        <v>95</v>
      </c>
      <c r="L43" s="107">
        <f t="shared" si="21"/>
        <v>95</v>
      </c>
    </row>
    <row r="44" spans="1:12" ht="20.25" customHeight="1" x14ac:dyDescent="0.25">
      <c r="A44" s="88"/>
      <c r="B44" s="89" t="s">
        <v>458</v>
      </c>
      <c r="C44" s="88"/>
      <c r="D44" s="88"/>
      <c r="E44" s="88"/>
      <c r="F44" s="88"/>
      <c r="G44" s="71"/>
      <c r="H44" s="71" t="s">
        <v>349</v>
      </c>
      <c r="I44" s="315"/>
      <c r="J44" s="315"/>
      <c r="K44" s="315"/>
      <c r="L44" s="315">
        <f t="shared" si="21"/>
        <v>0</v>
      </c>
    </row>
    <row r="45" spans="1:12" ht="20.25" customHeight="1" x14ac:dyDescent="0.25">
      <c r="A45" s="88"/>
      <c r="B45" s="89" t="s">
        <v>459</v>
      </c>
      <c r="C45" s="88">
        <f>SUM(C46:C48)</f>
        <v>0</v>
      </c>
      <c r="D45" s="88">
        <f t="shared" ref="D45:F45" si="30">SUM(D46:D48)</f>
        <v>0</v>
      </c>
      <c r="E45" s="88">
        <f t="shared" ref="E45" si="31">SUM(E46:E48)</f>
        <v>0</v>
      </c>
      <c r="F45" s="88">
        <f t="shared" si="30"/>
        <v>0</v>
      </c>
      <c r="G45" s="71"/>
      <c r="H45" s="71" t="s">
        <v>350</v>
      </c>
      <c r="I45" s="99"/>
      <c r="J45" s="99"/>
      <c r="K45" s="99"/>
      <c r="L45" s="99">
        <f t="shared" si="21"/>
        <v>0</v>
      </c>
    </row>
    <row r="46" spans="1:12" ht="20.25" customHeight="1" x14ac:dyDescent="0.25">
      <c r="A46" s="88"/>
      <c r="B46" s="88" t="s">
        <v>460</v>
      </c>
      <c r="C46" s="88"/>
      <c r="D46" s="88"/>
      <c r="E46" s="88"/>
      <c r="F46" s="88"/>
      <c r="G46" s="71"/>
      <c r="H46" s="71" t="s">
        <v>351</v>
      </c>
      <c r="I46" s="99"/>
      <c r="J46" s="107"/>
      <c r="K46" s="107">
        <v>16</v>
      </c>
      <c r="L46" s="107">
        <f t="shared" si="21"/>
        <v>16</v>
      </c>
    </row>
    <row r="47" spans="1:12" ht="20.25" customHeight="1" x14ac:dyDescent="0.25">
      <c r="A47" s="88"/>
      <c r="B47" s="88" t="s">
        <v>461</v>
      </c>
      <c r="C47" s="88"/>
      <c r="D47" s="88"/>
      <c r="E47" s="88"/>
      <c r="F47" s="88"/>
      <c r="G47" s="71"/>
      <c r="H47" s="71" t="s">
        <v>352</v>
      </c>
      <c r="I47" s="99"/>
      <c r="J47" s="99"/>
      <c r="K47" s="99"/>
      <c r="L47" s="99">
        <f t="shared" si="21"/>
        <v>0</v>
      </c>
    </row>
    <row r="48" spans="1:12" ht="20.25" customHeight="1" x14ac:dyDescent="0.25">
      <c r="A48" s="86"/>
      <c r="B48" s="88" t="s">
        <v>462</v>
      </c>
      <c r="C48" s="103"/>
      <c r="D48" s="103"/>
      <c r="E48" s="103"/>
      <c r="F48" s="103"/>
      <c r="G48" s="71"/>
      <c r="H48" s="71" t="s">
        <v>869</v>
      </c>
      <c r="I48" s="107">
        <f>SUM(I49:I49)</f>
        <v>0</v>
      </c>
      <c r="J48" s="107">
        <f t="shared" ref="J48:K48" si="32">SUM(J49:J49)</f>
        <v>0</v>
      </c>
      <c r="K48" s="107">
        <f t="shared" si="32"/>
        <v>0</v>
      </c>
      <c r="L48" s="107">
        <f t="shared" si="21"/>
        <v>0</v>
      </c>
    </row>
    <row r="49" spans="1:12" ht="20.25" customHeight="1" x14ac:dyDescent="0.25">
      <c r="A49" s="86"/>
      <c r="B49" s="88"/>
      <c r="C49" s="103"/>
      <c r="D49" s="103"/>
      <c r="E49" s="103"/>
      <c r="F49" s="103"/>
      <c r="G49" s="71"/>
      <c r="H49" s="71" t="s">
        <v>1057</v>
      </c>
      <c r="I49" s="315"/>
      <c r="J49" s="315"/>
      <c r="K49" s="315"/>
      <c r="L49" s="315">
        <f t="shared" si="21"/>
        <v>0</v>
      </c>
    </row>
    <row r="50" spans="1:12" ht="20.25" customHeight="1" x14ac:dyDescent="0.25">
      <c r="A50" s="88"/>
      <c r="B50" s="89"/>
      <c r="C50" s="88"/>
      <c r="D50" s="88"/>
      <c r="E50" s="88"/>
      <c r="F50" s="88"/>
      <c r="G50" s="71"/>
      <c r="H50" s="71" t="s">
        <v>354</v>
      </c>
      <c r="I50" s="107">
        <f>SUM(I52:I56)</f>
        <v>0</v>
      </c>
      <c r="J50" s="107">
        <f t="shared" ref="J50" si="33">SUM(J52:J56)</f>
        <v>0</v>
      </c>
      <c r="K50" s="107">
        <f>SUM(K51:K56)</f>
        <v>1042.4173228346458</v>
      </c>
      <c r="L50" s="107">
        <f t="shared" si="21"/>
        <v>1042.4173228346458</v>
      </c>
    </row>
    <row r="51" spans="1:12" ht="20.25" customHeight="1" x14ac:dyDescent="0.25">
      <c r="A51" s="88"/>
      <c r="B51" s="89"/>
      <c r="C51" s="88"/>
      <c r="D51" s="88"/>
      <c r="E51" s="88"/>
      <c r="F51" s="88"/>
      <c r="G51" s="71"/>
      <c r="H51" s="71" t="s">
        <v>1114</v>
      </c>
      <c r="I51" s="107"/>
      <c r="J51" s="107"/>
      <c r="K51" s="107">
        <v>682</v>
      </c>
      <c r="L51" s="107">
        <f t="shared" si="21"/>
        <v>682</v>
      </c>
    </row>
    <row r="52" spans="1:12" ht="20.25" customHeight="1" x14ac:dyDescent="0.25">
      <c r="A52" s="88"/>
      <c r="B52" s="89"/>
      <c r="C52" s="88"/>
      <c r="D52" s="88"/>
      <c r="E52" s="88"/>
      <c r="F52" s="88"/>
      <c r="G52" s="71"/>
      <c r="H52" s="71" t="s">
        <v>355</v>
      </c>
      <c r="I52" s="107"/>
      <c r="J52" s="107"/>
      <c r="K52" s="107">
        <v>10</v>
      </c>
      <c r="L52" s="107">
        <f t="shared" si="21"/>
        <v>10</v>
      </c>
    </row>
    <row r="53" spans="1:12" ht="30.75" customHeight="1" x14ac:dyDescent="0.25">
      <c r="A53" s="88"/>
      <c r="B53" s="89"/>
      <c r="C53" s="88"/>
      <c r="D53" s="88"/>
      <c r="E53" s="88"/>
      <c r="F53" s="88"/>
      <c r="G53" s="71"/>
      <c r="H53" s="71" t="s">
        <v>1115</v>
      </c>
      <c r="I53" s="107"/>
      <c r="J53" s="107"/>
      <c r="K53" s="107">
        <v>120</v>
      </c>
      <c r="L53" s="107">
        <f t="shared" si="21"/>
        <v>120</v>
      </c>
    </row>
    <row r="54" spans="1:12" ht="20.25" customHeight="1" x14ac:dyDescent="0.25">
      <c r="A54" s="88"/>
      <c r="B54" s="88"/>
      <c r="C54" s="88"/>
      <c r="D54" s="88"/>
      <c r="E54" s="88"/>
      <c r="F54" s="88"/>
      <c r="G54" s="71"/>
      <c r="H54" s="116" t="s">
        <v>1116</v>
      </c>
      <c r="I54" s="107"/>
      <c r="J54" s="107"/>
      <c r="K54" s="107">
        <f>(29+60+40+10+16+50)/127%</f>
        <v>161.41732283464566</v>
      </c>
      <c r="L54" s="107">
        <f t="shared" si="21"/>
        <v>161.41732283464566</v>
      </c>
    </row>
    <row r="55" spans="1:12" ht="20.25" customHeight="1" x14ac:dyDescent="0.25">
      <c r="A55" s="88"/>
      <c r="B55" s="88"/>
      <c r="C55" s="88"/>
      <c r="D55" s="88"/>
      <c r="E55" s="88"/>
      <c r="F55" s="88"/>
      <c r="G55" s="71"/>
      <c r="H55" s="71" t="s">
        <v>1058</v>
      </c>
      <c r="I55" s="107"/>
      <c r="J55" s="107"/>
      <c r="K55" s="107">
        <f>10+29</f>
        <v>39</v>
      </c>
      <c r="L55" s="107">
        <f t="shared" si="21"/>
        <v>39</v>
      </c>
    </row>
    <row r="56" spans="1:12" ht="20.25" customHeight="1" x14ac:dyDescent="0.25">
      <c r="A56" s="88"/>
      <c r="B56" s="88"/>
      <c r="C56" s="88"/>
      <c r="D56" s="88"/>
      <c r="E56" s="88"/>
      <c r="F56" s="88"/>
      <c r="G56" s="71"/>
      <c r="H56" s="71" t="s">
        <v>868</v>
      </c>
      <c r="I56" s="107"/>
      <c r="J56" s="107"/>
      <c r="K56" s="107">
        <v>30</v>
      </c>
      <c r="L56" s="107">
        <f t="shared" si="21"/>
        <v>30</v>
      </c>
    </row>
    <row r="57" spans="1:12" ht="20.25" customHeight="1" x14ac:dyDescent="0.25">
      <c r="A57" s="88"/>
      <c r="B57" s="88"/>
      <c r="C57" s="88"/>
      <c r="D57" s="88"/>
      <c r="E57" s="88"/>
      <c r="F57" s="88"/>
      <c r="G57" s="71"/>
      <c r="H57" s="72" t="s">
        <v>344</v>
      </c>
      <c r="I57" s="107">
        <f>I40+I44+I45+I46+I47+I48+I50</f>
        <v>0</v>
      </c>
      <c r="J57" s="107">
        <f>J40+J44+J45+J46+J47+J48+J50</f>
        <v>0</v>
      </c>
      <c r="K57" s="107">
        <f>K40+K44+K45+K46+K47+K48+K50</f>
        <v>1527.4173228346458</v>
      </c>
      <c r="L57" s="107">
        <f t="shared" si="21"/>
        <v>1527.4173228346458</v>
      </c>
    </row>
    <row r="58" spans="1:12" ht="20.25" customHeight="1" x14ac:dyDescent="0.25">
      <c r="A58" s="88"/>
      <c r="B58" s="88"/>
      <c r="C58" s="88"/>
      <c r="D58" s="88"/>
      <c r="E58" s="88"/>
      <c r="F58" s="88"/>
      <c r="G58" s="71"/>
      <c r="H58" s="71" t="s">
        <v>357</v>
      </c>
      <c r="I58" s="107"/>
      <c r="J58" s="107"/>
      <c r="K58" s="107"/>
      <c r="L58" s="107">
        <f t="shared" si="21"/>
        <v>0</v>
      </c>
    </row>
    <row r="59" spans="1:12" ht="20.25" customHeight="1" x14ac:dyDescent="0.25">
      <c r="A59" s="88"/>
      <c r="B59" s="88"/>
      <c r="C59" s="88"/>
      <c r="D59" s="88"/>
      <c r="E59" s="88"/>
      <c r="F59" s="88"/>
      <c r="G59" s="71"/>
      <c r="H59" s="71" t="s">
        <v>358</v>
      </c>
      <c r="I59" s="99"/>
      <c r="J59" s="107"/>
      <c r="K59" s="107"/>
      <c r="L59" s="107">
        <f t="shared" si="21"/>
        <v>0</v>
      </c>
    </row>
    <row r="60" spans="1:12" ht="20.25" customHeight="1" x14ac:dyDescent="0.25">
      <c r="A60" s="421" t="s">
        <v>64</v>
      </c>
      <c r="B60" s="422" t="s">
        <v>463</v>
      </c>
      <c r="C60" s="423">
        <f>C61+C62+C63</f>
        <v>0</v>
      </c>
      <c r="D60" s="423">
        <f t="shared" ref="D60:F60" si="34">D61+D62+D63</f>
        <v>0</v>
      </c>
      <c r="E60" s="423">
        <f t="shared" ref="E60" si="35">E61+E62+E63</f>
        <v>0</v>
      </c>
      <c r="F60" s="423">
        <f t="shared" si="34"/>
        <v>0</v>
      </c>
      <c r="G60" s="71"/>
      <c r="H60" s="72" t="s">
        <v>359</v>
      </c>
      <c r="I60" s="107">
        <f>I58+I59</f>
        <v>0</v>
      </c>
      <c r="J60" s="107">
        <f t="shared" ref="J60:K60" si="36">J58+J59</f>
        <v>0</v>
      </c>
      <c r="K60" s="107">
        <f t="shared" si="36"/>
        <v>0</v>
      </c>
      <c r="L60" s="107">
        <f t="shared" si="21"/>
        <v>0</v>
      </c>
    </row>
    <row r="61" spans="1:12" ht="30" x14ac:dyDescent="0.25">
      <c r="A61" s="86"/>
      <c r="B61" s="89" t="s">
        <v>464</v>
      </c>
      <c r="C61" s="103"/>
      <c r="D61" s="103"/>
      <c r="E61" s="103"/>
      <c r="F61" s="103"/>
      <c r="G61" s="71"/>
      <c r="H61" s="71" t="s">
        <v>361</v>
      </c>
      <c r="I61" s="107">
        <f>(I36+I39+I57)*0.27</f>
        <v>0</v>
      </c>
      <c r="J61" s="107">
        <f t="shared" ref="J61" si="37">(J36+J39+J57)*0.27</f>
        <v>0</v>
      </c>
      <c r="K61" s="107">
        <f>(K36+K39+K57-K56-K55-K52-K53)*0.27</f>
        <v>404.03267716535441</v>
      </c>
      <c r="L61" s="107">
        <f t="shared" si="21"/>
        <v>404.03267716535441</v>
      </c>
    </row>
    <row r="62" spans="1:12" ht="28.5" customHeight="1" x14ac:dyDescent="0.25">
      <c r="A62" s="86"/>
      <c r="B62" s="84" t="s">
        <v>465</v>
      </c>
      <c r="C62" s="103"/>
      <c r="D62" s="103"/>
      <c r="E62" s="103"/>
      <c r="F62" s="103"/>
      <c r="G62" s="71"/>
      <c r="H62" s="71" t="s">
        <v>362</v>
      </c>
      <c r="I62" s="99"/>
      <c r="J62" s="99"/>
      <c r="K62" s="99"/>
      <c r="L62" s="99">
        <f t="shared" si="21"/>
        <v>0</v>
      </c>
    </row>
    <row r="63" spans="1:12" ht="19.5" customHeight="1" x14ac:dyDescent="0.25">
      <c r="A63" s="86"/>
      <c r="B63" s="89" t="s">
        <v>466</v>
      </c>
      <c r="C63" s="103"/>
      <c r="D63" s="103"/>
      <c r="E63" s="103"/>
      <c r="F63" s="103"/>
      <c r="G63" s="71"/>
      <c r="H63" s="71" t="s">
        <v>363</v>
      </c>
      <c r="I63" s="99"/>
      <c r="J63" s="99"/>
      <c r="K63" s="99"/>
      <c r="L63" s="99">
        <f t="shared" si="21"/>
        <v>0</v>
      </c>
    </row>
    <row r="64" spans="1:12" ht="19.5" customHeight="1" x14ac:dyDescent="0.25">
      <c r="A64" s="86"/>
      <c r="B64" s="89"/>
      <c r="C64" s="103"/>
      <c r="D64" s="103"/>
      <c r="E64" s="103"/>
      <c r="F64" s="103"/>
      <c r="G64" s="71"/>
      <c r="H64" s="71" t="s">
        <v>364</v>
      </c>
      <c r="I64" s="99"/>
      <c r="J64" s="99"/>
      <c r="K64" s="99"/>
      <c r="L64" s="99">
        <f t="shared" si="21"/>
        <v>0</v>
      </c>
    </row>
    <row r="65" spans="1:12" ht="25.5" customHeight="1" x14ac:dyDescent="0.25">
      <c r="A65" s="86"/>
      <c r="B65" s="89"/>
      <c r="C65" s="101"/>
      <c r="D65" s="101"/>
      <c r="E65" s="101"/>
      <c r="F65" s="101"/>
      <c r="G65" s="71"/>
      <c r="H65" s="116" t="s">
        <v>903</v>
      </c>
      <c r="I65" s="314"/>
      <c r="J65" s="314"/>
      <c r="K65" s="314"/>
      <c r="L65" s="314">
        <f t="shared" si="21"/>
        <v>0</v>
      </c>
    </row>
    <row r="66" spans="1:12" ht="19.5" customHeight="1" x14ac:dyDescent="0.25">
      <c r="A66" s="86"/>
      <c r="B66" s="89"/>
      <c r="C66" s="101"/>
      <c r="D66" s="101"/>
      <c r="E66" s="101"/>
      <c r="F66" s="101"/>
      <c r="G66" s="71"/>
      <c r="H66" s="72" t="s">
        <v>360</v>
      </c>
      <c r="I66" s="108">
        <f>I61+I62+I63+I64+I65</f>
        <v>0</v>
      </c>
      <c r="J66" s="108">
        <f t="shared" ref="J66:K66" si="38">J61+J62+J63+J64+J65</f>
        <v>0</v>
      </c>
      <c r="K66" s="108">
        <f t="shared" si="38"/>
        <v>404.03267716535441</v>
      </c>
      <c r="L66" s="108">
        <f t="shared" si="21"/>
        <v>404.03267716535441</v>
      </c>
    </row>
    <row r="67" spans="1:12" ht="19.5" customHeight="1" x14ac:dyDescent="0.25">
      <c r="A67" s="86"/>
      <c r="B67" s="89"/>
      <c r="C67" s="101"/>
      <c r="D67" s="101"/>
      <c r="E67" s="101"/>
      <c r="F67" s="101"/>
      <c r="G67" s="421" t="s">
        <v>64</v>
      </c>
      <c r="H67" s="414" t="s">
        <v>366</v>
      </c>
      <c r="I67" s="415">
        <f>SUM(I68:I73)</f>
        <v>0</v>
      </c>
      <c r="J67" s="415">
        <f t="shared" ref="J67" si="39">SUM(J68:J73)</f>
        <v>0</v>
      </c>
      <c r="K67" s="415">
        <f t="shared" ref="K67" si="40">SUM(K68:K73)</f>
        <v>0</v>
      </c>
      <c r="L67" s="415">
        <f t="shared" si="21"/>
        <v>0</v>
      </c>
    </row>
    <row r="68" spans="1:12" ht="19.5" customHeight="1" x14ac:dyDescent="0.25">
      <c r="A68" s="86"/>
      <c r="B68" s="89"/>
      <c r="C68" s="101"/>
      <c r="D68" s="101"/>
      <c r="E68" s="101"/>
      <c r="F68" s="101"/>
      <c r="G68" s="71"/>
      <c r="H68" s="71" t="s">
        <v>367</v>
      </c>
      <c r="I68" s="102"/>
      <c r="J68" s="102"/>
      <c r="K68" s="102"/>
      <c r="L68" s="102">
        <f t="shared" si="21"/>
        <v>0</v>
      </c>
    </row>
    <row r="69" spans="1:12" ht="19.5" customHeight="1" x14ac:dyDescent="0.25">
      <c r="A69" s="86"/>
      <c r="B69" s="89"/>
      <c r="C69" s="101"/>
      <c r="D69" s="101"/>
      <c r="E69" s="101"/>
      <c r="F69" s="101"/>
      <c r="G69" s="71"/>
      <c r="H69" s="88" t="s">
        <v>368</v>
      </c>
      <c r="I69" s="102"/>
      <c r="J69" s="102"/>
      <c r="K69" s="102"/>
      <c r="L69" s="102">
        <f t="shared" si="21"/>
        <v>0</v>
      </c>
    </row>
    <row r="70" spans="1:12" ht="19.5" customHeight="1" x14ac:dyDescent="0.25">
      <c r="A70" s="86"/>
      <c r="B70" s="89"/>
      <c r="C70" s="101"/>
      <c r="D70" s="101"/>
      <c r="E70" s="101"/>
      <c r="F70" s="101"/>
      <c r="G70" s="71"/>
      <c r="H70" s="71" t="s">
        <v>369</v>
      </c>
      <c r="I70" s="102"/>
      <c r="J70" s="102"/>
      <c r="K70" s="102"/>
      <c r="L70" s="102">
        <f t="shared" si="21"/>
        <v>0</v>
      </c>
    </row>
    <row r="71" spans="1:12" ht="19.5" customHeight="1" x14ac:dyDescent="0.25">
      <c r="A71" s="86"/>
      <c r="B71" s="89"/>
      <c r="C71" s="101"/>
      <c r="D71" s="101"/>
      <c r="E71" s="101"/>
      <c r="F71" s="101"/>
      <c r="G71" s="71"/>
      <c r="H71" s="71" t="s">
        <v>370</v>
      </c>
      <c r="I71" s="102"/>
      <c r="J71" s="102"/>
      <c r="K71" s="102"/>
      <c r="L71" s="102">
        <f t="shared" si="21"/>
        <v>0</v>
      </c>
    </row>
    <row r="72" spans="1:12" ht="19.5" customHeight="1" x14ac:dyDescent="0.25">
      <c r="A72" s="86"/>
      <c r="B72" s="89"/>
      <c r="C72" s="101"/>
      <c r="D72" s="101"/>
      <c r="E72" s="101"/>
      <c r="F72" s="101"/>
      <c r="G72" s="71"/>
      <c r="H72" s="71" t="s">
        <v>371</v>
      </c>
      <c r="I72" s="102"/>
      <c r="J72" s="102"/>
      <c r="K72" s="102"/>
      <c r="L72" s="102">
        <f t="shared" si="21"/>
        <v>0</v>
      </c>
    </row>
    <row r="73" spans="1:12" ht="19.5" customHeight="1" x14ac:dyDescent="0.25">
      <c r="A73" s="86"/>
      <c r="B73" s="89"/>
      <c r="C73" s="101"/>
      <c r="D73" s="101"/>
      <c r="E73" s="101"/>
      <c r="F73" s="101"/>
      <c r="G73" s="71"/>
      <c r="H73" s="71" t="s">
        <v>372</v>
      </c>
      <c r="I73" s="102"/>
      <c r="J73" s="102"/>
      <c r="K73" s="102"/>
      <c r="L73" s="102">
        <f t="shared" si="21"/>
        <v>0</v>
      </c>
    </row>
    <row r="74" spans="1:12" ht="19.5" customHeight="1" x14ac:dyDescent="0.25">
      <c r="A74" s="86"/>
      <c r="B74" s="87"/>
      <c r="C74" s="101"/>
      <c r="D74" s="101"/>
      <c r="E74" s="101"/>
      <c r="F74" s="101"/>
      <c r="G74" s="421" t="s">
        <v>100</v>
      </c>
      <c r="H74" s="414" t="s">
        <v>502</v>
      </c>
      <c r="I74" s="415">
        <f>SUM(I75:I80)</f>
        <v>0</v>
      </c>
      <c r="J74" s="415">
        <f t="shared" ref="J74" si="41">SUM(J75:J80)</f>
        <v>0</v>
      </c>
      <c r="K74" s="415">
        <f t="shared" ref="K74" si="42">SUM(K75:K80)</f>
        <v>0</v>
      </c>
      <c r="L74" s="415">
        <f t="shared" si="21"/>
        <v>0</v>
      </c>
    </row>
    <row r="75" spans="1:12" ht="21.75" customHeight="1" x14ac:dyDescent="0.25">
      <c r="A75" s="86"/>
      <c r="B75" s="89"/>
      <c r="C75" s="101"/>
      <c r="D75" s="101"/>
      <c r="E75" s="101"/>
      <c r="F75" s="101"/>
      <c r="G75" s="71"/>
      <c r="H75" s="71" t="s">
        <v>373</v>
      </c>
      <c r="I75" s="108" t="s">
        <v>253</v>
      </c>
      <c r="J75" s="108"/>
      <c r="K75" s="108"/>
      <c r="L75" s="108"/>
    </row>
    <row r="76" spans="1:12" ht="21.75" customHeight="1" x14ac:dyDescent="0.25">
      <c r="A76" s="86"/>
      <c r="B76" s="84"/>
      <c r="C76" s="101"/>
      <c r="D76" s="101"/>
      <c r="E76" s="101"/>
      <c r="F76" s="101"/>
      <c r="G76" s="71"/>
      <c r="H76" s="71" t="s">
        <v>374</v>
      </c>
      <c r="I76" s="102"/>
      <c r="J76" s="102"/>
      <c r="K76" s="102"/>
      <c r="L76" s="102">
        <f t="shared" si="21"/>
        <v>0</v>
      </c>
    </row>
    <row r="77" spans="1:12" ht="19.5" customHeight="1" x14ac:dyDescent="0.25">
      <c r="A77" s="86"/>
      <c r="B77" s="89"/>
      <c r="C77" s="101"/>
      <c r="D77" s="101"/>
      <c r="E77" s="101"/>
      <c r="F77" s="101"/>
      <c r="G77" s="71"/>
      <c r="H77" s="71" t="s">
        <v>375</v>
      </c>
      <c r="I77" s="102"/>
      <c r="J77" s="102"/>
      <c r="K77" s="102"/>
      <c r="L77" s="102">
        <f t="shared" si="21"/>
        <v>0</v>
      </c>
    </row>
    <row r="78" spans="1:12" ht="19.5" customHeight="1" x14ac:dyDescent="0.25">
      <c r="A78" s="86"/>
      <c r="B78" s="89"/>
      <c r="C78" s="101"/>
      <c r="D78" s="101"/>
      <c r="E78" s="101"/>
      <c r="F78" s="101"/>
      <c r="G78" s="71"/>
      <c r="H78" s="71" t="s">
        <v>376</v>
      </c>
      <c r="I78" s="102"/>
      <c r="J78" s="102"/>
      <c r="K78" s="102"/>
      <c r="L78" s="102">
        <f t="shared" si="21"/>
        <v>0</v>
      </c>
    </row>
    <row r="79" spans="1:12" ht="19.5" customHeight="1" x14ac:dyDescent="0.25">
      <c r="A79" s="86"/>
      <c r="B79" s="89"/>
      <c r="C79" s="101"/>
      <c r="D79" s="101"/>
      <c r="E79" s="101"/>
      <c r="F79" s="101"/>
      <c r="G79" s="71"/>
      <c r="H79" s="71" t="s">
        <v>1043</v>
      </c>
      <c r="I79" s="102"/>
      <c r="J79" s="102"/>
      <c r="K79" s="102"/>
      <c r="L79" s="102">
        <f t="shared" si="21"/>
        <v>0</v>
      </c>
    </row>
    <row r="80" spans="1:12" ht="20.25" customHeight="1" x14ac:dyDescent="0.25">
      <c r="A80" s="86"/>
      <c r="B80" s="89"/>
      <c r="C80" s="101"/>
      <c r="D80" s="101"/>
      <c r="E80" s="101"/>
      <c r="F80" s="101"/>
      <c r="G80" s="71"/>
      <c r="H80" s="71" t="s">
        <v>1053</v>
      </c>
      <c r="I80" s="102"/>
      <c r="J80" s="102"/>
      <c r="K80" s="102"/>
      <c r="L80" s="102">
        <f t="shared" si="21"/>
        <v>0</v>
      </c>
    </row>
    <row r="81" spans="1:12" ht="20.25" customHeight="1" x14ac:dyDescent="0.25">
      <c r="A81" s="689"/>
      <c r="B81" s="690" t="s">
        <v>192</v>
      </c>
      <c r="C81" s="691">
        <f>C82+C88+C94</f>
        <v>0</v>
      </c>
      <c r="D81" s="691">
        <f t="shared" ref="D81:F81" si="43">D82+D88+D94</f>
        <v>0</v>
      </c>
      <c r="E81" s="691">
        <f t="shared" ref="E81" si="44">E82+E88+E94</f>
        <v>0</v>
      </c>
      <c r="F81" s="691">
        <f t="shared" si="43"/>
        <v>0</v>
      </c>
      <c r="G81" s="689"/>
      <c r="H81" s="690" t="s">
        <v>200</v>
      </c>
      <c r="I81" s="691">
        <f>I82+I90+I95</f>
        <v>0</v>
      </c>
      <c r="J81" s="691">
        <f t="shared" ref="J81" si="45">J82+J90+J95</f>
        <v>0</v>
      </c>
      <c r="K81" s="691">
        <f t="shared" ref="K81" si="46">K82+K90+K95</f>
        <v>0</v>
      </c>
      <c r="L81" s="691">
        <f t="shared" si="21"/>
        <v>0</v>
      </c>
    </row>
    <row r="82" spans="1:12" ht="20.25" customHeight="1" x14ac:dyDescent="0.25">
      <c r="A82" s="421" t="s">
        <v>100</v>
      </c>
      <c r="B82" s="422" t="s">
        <v>417</v>
      </c>
      <c r="C82" s="423">
        <f>SUM(C83:C87)</f>
        <v>0</v>
      </c>
      <c r="D82" s="423">
        <f t="shared" ref="D82:F82" si="47">SUM(D83:D87)</f>
        <v>0</v>
      </c>
      <c r="E82" s="423">
        <f t="shared" ref="E82" si="48">SUM(E83:E87)</f>
        <v>0</v>
      </c>
      <c r="F82" s="423">
        <f t="shared" si="47"/>
        <v>0</v>
      </c>
      <c r="G82" s="421" t="s">
        <v>181</v>
      </c>
      <c r="H82" s="414" t="s">
        <v>380</v>
      </c>
      <c r="I82" s="415">
        <f>SUM(I83:I89)</f>
        <v>0</v>
      </c>
      <c r="J82" s="415">
        <f t="shared" ref="J82" si="49">SUM(J83:J89)</f>
        <v>0</v>
      </c>
      <c r="K82" s="415">
        <f t="shared" ref="K82" si="50">SUM(K83:K89)</f>
        <v>0</v>
      </c>
      <c r="L82" s="415">
        <f t="shared" si="21"/>
        <v>0</v>
      </c>
    </row>
    <row r="83" spans="1:12" ht="20.25" customHeight="1" x14ac:dyDescent="0.25">
      <c r="A83" s="86"/>
      <c r="B83" s="84" t="s">
        <v>418</v>
      </c>
      <c r="C83" s="103" t="s">
        <v>253</v>
      </c>
      <c r="D83" s="103"/>
      <c r="E83" s="103"/>
      <c r="F83" s="103"/>
      <c r="G83" s="86"/>
      <c r="H83" s="92" t="s">
        <v>378</v>
      </c>
      <c r="I83" s="97"/>
      <c r="J83" s="97"/>
      <c r="K83" s="97"/>
      <c r="L83" s="97">
        <f t="shared" si="21"/>
        <v>0</v>
      </c>
    </row>
    <row r="84" spans="1:12" ht="29.25" customHeight="1" x14ac:dyDescent="0.25">
      <c r="A84" s="86"/>
      <c r="B84" s="84" t="s">
        <v>419</v>
      </c>
      <c r="C84" s="103"/>
      <c r="D84" s="103"/>
      <c r="E84" s="103"/>
      <c r="F84" s="103"/>
      <c r="G84" s="86"/>
      <c r="H84" s="92" t="s">
        <v>379</v>
      </c>
      <c r="I84" s="97"/>
      <c r="J84" s="97"/>
      <c r="K84" s="97"/>
      <c r="L84" s="97">
        <f t="shared" si="21"/>
        <v>0</v>
      </c>
    </row>
    <row r="85" spans="1:12" ht="29.25" customHeight="1" x14ac:dyDescent="0.25">
      <c r="A85" s="86"/>
      <c r="B85" s="84" t="s">
        <v>420</v>
      </c>
      <c r="C85" s="103"/>
      <c r="D85" s="103"/>
      <c r="E85" s="103"/>
      <c r="F85" s="103"/>
      <c r="G85" s="71"/>
      <c r="H85" s="71" t="s">
        <v>381</v>
      </c>
      <c r="I85" s="100"/>
      <c r="J85" s="100"/>
      <c r="K85" s="100"/>
      <c r="L85" s="100">
        <f t="shared" si="21"/>
        <v>0</v>
      </c>
    </row>
    <row r="86" spans="1:12" ht="29.25" customHeight="1" x14ac:dyDescent="0.25">
      <c r="A86" s="86"/>
      <c r="B86" s="84" t="s">
        <v>421</v>
      </c>
      <c r="C86" s="103"/>
      <c r="D86" s="103"/>
      <c r="E86" s="103"/>
      <c r="F86" s="103"/>
      <c r="G86" s="71"/>
      <c r="H86" s="71" t="s">
        <v>870</v>
      </c>
      <c r="I86" s="100"/>
      <c r="J86" s="100"/>
      <c r="K86" s="100"/>
      <c r="L86" s="100">
        <f t="shared" si="21"/>
        <v>0</v>
      </c>
    </row>
    <row r="87" spans="1:12" ht="21" customHeight="1" x14ac:dyDescent="0.25">
      <c r="A87" s="86"/>
      <c r="B87" s="84" t="s">
        <v>422</v>
      </c>
      <c r="C87" s="103"/>
      <c r="D87" s="103"/>
      <c r="E87" s="103"/>
      <c r="F87" s="103"/>
      <c r="G87" s="71"/>
      <c r="H87" s="71" t="s">
        <v>383</v>
      </c>
      <c r="I87" s="100"/>
      <c r="J87" s="100"/>
      <c r="K87" s="100"/>
      <c r="L87" s="100">
        <f t="shared" si="21"/>
        <v>0</v>
      </c>
    </row>
    <row r="88" spans="1:12" ht="20.25" customHeight="1" x14ac:dyDescent="0.25">
      <c r="A88" s="421" t="s">
        <v>181</v>
      </c>
      <c r="B88" s="422" t="s">
        <v>423</v>
      </c>
      <c r="C88" s="423">
        <f>SUM(C89:C93)</f>
        <v>0</v>
      </c>
      <c r="D88" s="423">
        <f t="shared" ref="D88:F88" si="51">SUM(D89:D93)</f>
        <v>0</v>
      </c>
      <c r="E88" s="423">
        <f t="shared" ref="E88" si="52">SUM(E89:E93)</f>
        <v>0</v>
      </c>
      <c r="F88" s="423">
        <f t="shared" si="51"/>
        <v>0</v>
      </c>
      <c r="G88" s="71"/>
      <c r="H88" s="71" t="s">
        <v>384</v>
      </c>
      <c r="I88" s="100"/>
      <c r="J88" s="100"/>
      <c r="K88" s="100"/>
      <c r="L88" s="100">
        <f t="shared" ref="L88:L119" si="53">I88+K88</f>
        <v>0</v>
      </c>
    </row>
    <row r="89" spans="1:12" ht="20.25" customHeight="1" x14ac:dyDescent="0.25">
      <c r="A89" s="86"/>
      <c r="B89" s="89" t="s">
        <v>424</v>
      </c>
      <c r="C89" s="103"/>
      <c r="D89" s="103"/>
      <c r="E89" s="103"/>
      <c r="F89" s="103"/>
      <c r="G89" s="71"/>
      <c r="H89" s="71" t="s">
        <v>385</v>
      </c>
      <c r="I89" s="100">
        <f>+I86*27%</f>
        <v>0</v>
      </c>
      <c r="J89" s="100"/>
      <c r="K89" s="100"/>
      <c r="L89" s="100">
        <f t="shared" si="53"/>
        <v>0</v>
      </c>
    </row>
    <row r="90" spans="1:12" ht="20.25" customHeight="1" x14ac:dyDescent="0.25">
      <c r="A90" s="86"/>
      <c r="B90" s="89" t="s">
        <v>425</v>
      </c>
      <c r="C90" s="103"/>
      <c r="D90" s="103"/>
      <c r="E90" s="103"/>
      <c r="F90" s="103"/>
      <c r="G90" s="421" t="s">
        <v>191</v>
      </c>
      <c r="H90" s="414" t="s">
        <v>386</v>
      </c>
      <c r="I90" s="415">
        <f>SUM(I91:I94)</f>
        <v>0</v>
      </c>
      <c r="J90" s="415">
        <f t="shared" ref="J90" si="54">SUM(J91:J94)</f>
        <v>0</v>
      </c>
      <c r="K90" s="415">
        <f t="shared" ref="K90" si="55">SUM(K91:K94)</f>
        <v>0</v>
      </c>
      <c r="L90" s="415">
        <f t="shared" si="53"/>
        <v>0</v>
      </c>
    </row>
    <row r="91" spans="1:12" ht="20.25" customHeight="1" x14ac:dyDescent="0.25">
      <c r="A91" s="86"/>
      <c r="B91" s="89" t="s">
        <v>426</v>
      </c>
      <c r="C91" s="103"/>
      <c r="D91" s="103"/>
      <c r="E91" s="103"/>
      <c r="F91" s="103"/>
      <c r="G91" s="71"/>
      <c r="H91" s="71" t="s">
        <v>387</v>
      </c>
      <c r="I91" s="100"/>
      <c r="J91" s="100"/>
      <c r="K91" s="100"/>
      <c r="L91" s="100">
        <f t="shared" si="53"/>
        <v>0</v>
      </c>
    </row>
    <row r="92" spans="1:12" ht="20.25" customHeight="1" x14ac:dyDescent="0.25">
      <c r="A92" s="86"/>
      <c r="B92" s="89" t="s">
        <v>427</v>
      </c>
      <c r="C92" s="103"/>
      <c r="D92" s="103"/>
      <c r="E92" s="103"/>
      <c r="F92" s="103"/>
      <c r="G92" s="71"/>
      <c r="H92" s="71" t="s">
        <v>388</v>
      </c>
      <c r="I92" s="100"/>
      <c r="J92" s="100"/>
      <c r="K92" s="100"/>
      <c r="L92" s="100">
        <f t="shared" si="53"/>
        <v>0</v>
      </c>
    </row>
    <row r="93" spans="1:12" ht="20.25" customHeight="1" x14ac:dyDescent="0.25">
      <c r="A93" s="86"/>
      <c r="B93" s="89" t="s">
        <v>428</v>
      </c>
      <c r="C93" s="103"/>
      <c r="D93" s="103"/>
      <c r="E93" s="103"/>
      <c r="F93" s="103"/>
      <c r="G93" s="71"/>
      <c r="H93" s="71" t="s">
        <v>389</v>
      </c>
      <c r="I93" s="100"/>
      <c r="J93" s="100"/>
      <c r="K93" s="100"/>
      <c r="L93" s="100">
        <f t="shared" si="53"/>
        <v>0</v>
      </c>
    </row>
    <row r="94" spans="1:12" ht="20.25" customHeight="1" x14ac:dyDescent="0.25">
      <c r="A94" s="421" t="s">
        <v>191</v>
      </c>
      <c r="B94" s="422" t="s">
        <v>429</v>
      </c>
      <c r="C94" s="423">
        <f>C95+C96+C97</f>
        <v>0</v>
      </c>
      <c r="D94" s="423">
        <f t="shared" ref="D94:F94" si="56">D95+D96+D97</f>
        <v>0</v>
      </c>
      <c r="E94" s="423">
        <f t="shared" ref="E94" si="57">E95+E96+E97</f>
        <v>0</v>
      </c>
      <c r="F94" s="423">
        <f t="shared" si="56"/>
        <v>0</v>
      </c>
      <c r="G94" s="71"/>
      <c r="H94" s="71" t="s">
        <v>390</v>
      </c>
      <c r="I94" s="100"/>
      <c r="J94" s="100"/>
      <c r="K94" s="100"/>
      <c r="L94" s="100">
        <f t="shared" si="53"/>
        <v>0</v>
      </c>
    </row>
    <row r="95" spans="1:12" ht="29.25" customHeight="1" x14ac:dyDescent="0.25">
      <c r="A95" s="86"/>
      <c r="B95" s="89" t="s">
        <v>430</v>
      </c>
      <c r="C95" s="103"/>
      <c r="D95" s="103"/>
      <c r="E95" s="103"/>
      <c r="F95" s="103"/>
      <c r="G95" s="421" t="s">
        <v>199</v>
      </c>
      <c r="H95" s="414" t="s">
        <v>391</v>
      </c>
      <c r="I95" s="415">
        <f>I96+I97</f>
        <v>0</v>
      </c>
      <c r="J95" s="415">
        <f t="shared" ref="J95" si="58">J96+J97</f>
        <v>0</v>
      </c>
      <c r="K95" s="415">
        <f t="shared" ref="K95" si="59">K96+K97</f>
        <v>0</v>
      </c>
      <c r="L95" s="415">
        <f t="shared" si="53"/>
        <v>0</v>
      </c>
    </row>
    <row r="96" spans="1:12" ht="29.25" customHeight="1" x14ac:dyDescent="0.25">
      <c r="A96" s="86"/>
      <c r="B96" s="84" t="s">
        <v>1050</v>
      </c>
      <c r="C96" s="103"/>
      <c r="D96" s="103"/>
      <c r="E96" s="103"/>
      <c r="F96" s="103"/>
      <c r="G96" s="71"/>
      <c r="H96" s="71" t="s">
        <v>393</v>
      </c>
      <c r="I96" s="100"/>
      <c r="J96" s="100"/>
      <c r="K96" s="100"/>
      <c r="L96" s="100">
        <f t="shared" si="53"/>
        <v>0</v>
      </c>
    </row>
    <row r="97" spans="1:12" ht="21" customHeight="1" x14ac:dyDescent="0.25">
      <c r="A97" s="86"/>
      <c r="B97" s="89"/>
      <c r="C97" s="103"/>
      <c r="D97" s="103"/>
      <c r="E97" s="103"/>
      <c r="F97" s="103"/>
      <c r="G97" s="71"/>
      <c r="H97" s="71" t="s">
        <v>392</v>
      </c>
      <c r="I97" s="100"/>
      <c r="J97" s="100"/>
      <c r="K97" s="100"/>
      <c r="L97" s="100">
        <f t="shared" si="53"/>
        <v>0</v>
      </c>
    </row>
    <row r="98" spans="1:12" ht="20.25" customHeight="1" x14ac:dyDescent="0.25">
      <c r="A98" s="689"/>
      <c r="B98" s="696" t="s">
        <v>433</v>
      </c>
      <c r="C98" s="691">
        <f>C108+C119</f>
        <v>0</v>
      </c>
      <c r="D98" s="691">
        <f t="shared" ref="D98:F98" si="60">D108+D119</f>
        <v>0</v>
      </c>
      <c r="E98" s="691">
        <f t="shared" ref="E98" si="61">E108+E119</f>
        <v>5065</v>
      </c>
      <c r="F98" s="691">
        <f t="shared" si="60"/>
        <v>5065</v>
      </c>
      <c r="G98" s="689"/>
      <c r="H98" s="690" t="s">
        <v>397</v>
      </c>
      <c r="I98" s="691">
        <f>I107+I118</f>
        <v>0</v>
      </c>
      <c r="J98" s="691">
        <f t="shared" ref="J98" si="62">J107+J118</f>
        <v>0</v>
      </c>
      <c r="K98" s="691">
        <f t="shared" ref="K98" si="63">K107+K118</f>
        <v>0</v>
      </c>
      <c r="L98" s="691">
        <f t="shared" si="53"/>
        <v>0</v>
      </c>
    </row>
    <row r="99" spans="1:12" ht="21" customHeight="1" x14ac:dyDescent="0.25">
      <c r="A99" s="75"/>
      <c r="B99" s="94" t="s">
        <v>434</v>
      </c>
      <c r="C99" s="103"/>
      <c r="D99" s="103"/>
      <c r="E99" s="103"/>
      <c r="F99" s="103"/>
      <c r="G99" s="75"/>
      <c r="H99" s="94" t="s">
        <v>394</v>
      </c>
      <c r="I99" s="103"/>
      <c r="J99" s="103"/>
      <c r="K99" s="103"/>
      <c r="L99" s="103">
        <f t="shared" si="53"/>
        <v>0</v>
      </c>
    </row>
    <row r="100" spans="1:12" ht="20.25" customHeight="1" x14ac:dyDescent="0.25">
      <c r="A100" s="75"/>
      <c r="B100" s="94" t="s">
        <v>435</v>
      </c>
      <c r="C100" s="103"/>
      <c r="D100" s="103"/>
      <c r="E100" s="103"/>
      <c r="F100" s="103"/>
      <c r="G100" s="75"/>
      <c r="H100" s="94" t="s">
        <v>395</v>
      </c>
      <c r="I100" s="103"/>
      <c r="J100" s="103"/>
      <c r="K100" s="103"/>
      <c r="L100" s="103">
        <f t="shared" si="53"/>
        <v>0</v>
      </c>
    </row>
    <row r="101" spans="1:12" ht="20.25" customHeight="1" x14ac:dyDescent="0.25">
      <c r="A101" s="75"/>
      <c r="B101" s="94" t="s">
        <v>436</v>
      </c>
      <c r="C101" s="103"/>
      <c r="D101" s="103"/>
      <c r="E101" s="103"/>
      <c r="F101" s="103"/>
      <c r="G101" s="75"/>
      <c r="H101" s="94" t="s">
        <v>396</v>
      </c>
      <c r="I101" s="103"/>
      <c r="J101" s="103"/>
      <c r="K101" s="103"/>
      <c r="L101" s="103">
        <f t="shared" si="53"/>
        <v>0</v>
      </c>
    </row>
    <row r="102" spans="1:12" ht="20.25" customHeight="1" x14ac:dyDescent="0.25">
      <c r="A102" s="75"/>
      <c r="B102" s="95" t="s">
        <v>437</v>
      </c>
      <c r="C102" s="103">
        <f>C99+C100+C101</f>
        <v>0</v>
      </c>
      <c r="D102" s="103">
        <f t="shared" ref="D102:F102" si="64">D99+D100+D101</f>
        <v>0</v>
      </c>
      <c r="E102" s="103">
        <f t="shared" ref="E102" si="65">E99+E100+E101</f>
        <v>0</v>
      </c>
      <c r="F102" s="103">
        <f t="shared" si="64"/>
        <v>0</v>
      </c>
      <c r="G102" s="75"/>
      <c r="H102" s="95" t="s">
        <v>398</v>
      </c>
      <c r="I102" s="103">
        <f>I99+I100+I101</f>
        <v>0</v>
      </c>
      <c r="J102" s="103">
        <f t="shared" ref="J102:K102" si="66">J99+J100+J101</f>
        <v>0</v>
      </c>
      <c r="K102" s="103">
        <f t="shared" si="66"/>
        <v>0</v>
      </c>
      <c r="L102" s="103">
        <f t="shared" si="53"/>
        <v>0</v>
      </c>
    </row>
    <row r="103" spans="1:12" ht="20.25" customHeight="1" x14ac:dyDescent="0.25">
      <c r="A103" s="75"/>
      <c r="B103" s="69" t="s">
        <v>438</v>
      </c>
      <c r="C103" s="103"/>
      <c r="D103" s="103"/>
      <c r="E103" s="103"/>
      <c r="F103" s="103"/>
      <c r="G103" s="75"/>
      <c r="H103" s="94" t="s">
        <v>399</v>
      </c>
      <c r="I103" s="103"/>
      <c r="J103" s="103"/>
      <c r="K103" s="103"/>
      <c r="L103" s="103">
        <f t="shared" si="53"/>
        <v>0</v>
      </c>
    </row>
    <row r="104" spans="1:12" ht="20.25" customHeight="1" x14ac:dyDescent="0.25">
      <c r="A104" s="75"/>
      <c r="B104" s="69" t="s">
        <v>439</v>
      </c>
      <c r="C104" s="103"/>
      <c r="D104" s="103"/>
      <c r="E104" s="103"/>
      <c r="F104" s="103"/>
      <c r="G104" s="75"/>
      <c r="H104" s="94" t="s">
        <v>400</v>
      </c>
      <c r="I104" s="103"/>
      <c r="J104" s="103"/>
      <c r="K104" s="103"/>
      <c r="L104" s="103">
        <f t="shared" si="53"/>
        <v>0</v>
      </c>
    </row>
    <row r="105" spans="1:12" ht="20.25" customHeight="1" x14ac:dyDescent="0.25">
      <c r="A105" s="75"/>
      <c r="B105" s="70" t="s">
        <v>440</v>
      </c>
      <c r="C105" s="103">
        <f>C103+C104</f>
        <v>0</v>
      </c>
      <c r="D105" s="103">
        <f t="shared" ref="D105" si="67">D103+D104</f>
        <v>0</v>
      </c>
      <c r="E105" s="103">
        <f t="shared" ref="E105" si="68">E103+E104</f>
        <v>0</v>
      </c>
      <c r="F105" s="103">
        <f>F103+F104</f>
        <v>0</v>
      </c>
      <c r="G105" s="75"/>
      <c r="H105" s="95" t="s">
        <v>401</v>
      </c>
      <c r="I105" s="103">
        <f>I103+I104</f>
        <v>0</v>
      </c>
      <c r="J105" s="103">
        <f t="shared" ref="J105:K105" si="69">J103+J104</f>
        <v>0</v>
      </c>
      <c r="K105" s="103">
        <f t="shared" si="69"/>
        <v>0</v>
      </c>
      <c r="L105" s="103">
        <f t="shared" si="53"/>
        <v>0</v>
      </c>
    </row>
    <row r="106" spans="1:12" ht="20.25" customHeight="1" x14ac:dyDescent="0.25">
      <c r="A106" s="75"/>
      <c r="B106" s="70" t="s">
        <v>441</v>
      </c>
      <c r="C106" s="103"/>
      <c r="D106" s="103"/>
      <c r="E106" s="103"/>
      <c r="F106" s="316">
        <f>C106+D106</f>
        <v>0</v>
      </c>
      <c r="G106" s="75"/>
      <c r="H106" s="95" t="s">
        <v>402</v>
      </c>
      <c r="I106" s="103"/>
      <c r="J106" s="103"/>
      <c r="K106" s="103"/>
      <c r="L106" s="103">
        <f t="shared" si="53"/>
        <v>0</v>
      </c>
    </row>
    <row r="107" spans="1:12" ht="20.25" customHeight="1" x14ac:dyDescent="0.25">
      <c r="A107" s="75"/>
      <c r="B107" s="70" t="s">
        <v>442</v>
      </c>
      <c r="C107" s="103"/>
      <c r="D107" s="103"/>
      <c r="E107" s="103">
        <f>2598+2467</f>
        <v>5065</v>
      </c>
      <c r="F107" s="316">
        <f>C107+D107+E107</f>
        <v>5065</v>
      </c>
      <c r="G107" s="75"/>
      <c r="H107" s="75" t="s">
        <v>403</v>
      </c>
      <c r="I107" s="113">
        <f>I102+I105+I106</f>
        <v>0</v>
      </c>
      <c r="J107" s="113">
        <f t="shared" ref="J107:K107" si="70">J102+J105+J106</f>
        <v>0</v>
      </c>
      <c r="K107" s="113">
        <f t="shared" si="70"/>
        <v>0</v>
      </c>
      <c r="L107" s="113">
        <f t="shared" si="53"/>
        <v>0</v>
      </c>
    </row>
    <row r="108" spans="1:12" ht="20.25" customHeight="1" x14ac:dyDescent="0.25">
      <c r="A108" s="75"/>
      <c r="B108" s="80" t="s">
        <v>443</v>
      </c>
      <c r="C108" s="113">
        <f>C102+C105+C106+C107</f>
        <v>0</v>
      </c>
      <c r="D108" s="113">
        <f t="shared" ref="D108:F108" si="71">D102+D105+D106+D107</f>
        <v>0</v>
      </c>
      <c r="E108" s="113">
        <f t="shared" ref="E108" si="72">E102+E105+E106+E107</f>
        <v>5065</v>
      </c>
      <c r="F108" s="113">
        <f t="shared" si="71"/>
        <v>5065</v>
      </c>
      <c r="G108" s="75"/>
      <c r="H108" s="95"/>
      <c r="I108" s="103"/>
      <c r="J108" s="103"/>
      <c r="K108" s="103"/>
      <c r="L108" s="103">
        <f t="shared" si="53"/>
        <v>0</v>
      </c>
    </row>
    <row r="109" spans="1:12" ht="20.25" customHeight="1" x14ac:dyDescent="0.25">
      <c r="A109" s="90"/>
      <c r="B109" s="79"/>
      <c r="C109" s="104"/>
      <c r="D109" s="104"/>
      <c r="E109" s="104"/>
      <c r="F109" s="104"/>
      <c r="G109" s="90"/>
      <c r="H109" s="90"/>
      <c r="I109" s="104"/>
      <c r="J109" s="104"/>
      <c r="K109" s="104"/>
      <c r="L109" s="104">
        <f t="shared" si="53"/>
        <v>0</v>
      </c>
    </row>
    <row r="110" spans="1:12" ht="20.25" customHeight="1" x14ac:dyDescent="0.25">
      <c r="A110" s="75"/>
      <c r="B110" s="94" t="s">
        <v>434</v>
      </c>
      <c r="C110" s="103"/>
      <c r="D110" s="103"/>
      <c r="E110" s="103"/>
      <c r="F110" s="103"/>
      <c r="G110" s="75"/>
      <c r="H110" s="94" t="s">
        <v>394</v>
      </c>
      <c r="I110" s="103"/>
      <c r="J110" s="103"/>
      <c r="K110" s="103"/>
      <c r="L110" s="103">
        <f t="shared" si="53"/>
        <v>0</v>
      </c>
    </row>
    <row r="111" spans="1:12" ht="20.25" customHeight="1" x14ac:dyDescent="0.25">
      <c r="A111" s="75"/>
      <c r="B111" s="94" t="s">
        <v>435</v>
      </c>
      <c r="C111" s="103"/>
      <c r="D111" s="103"/>
      <c r="E111" s="103"/>
      <c r="F111" s="103"/>
      <c r="G111" s="75"/>
      <c r="H111" s="94" t="s">
        <v>395</v>
      </c>
      <c r="I111" s="103"/>
      <c r="J111" s="103"/>
      <c r="K111" s="103"/>
      <c r="L111" s="103">
        <f t="shared" si="53"/>
        <v>0</v>
      </c>
    </row>
    <row r="112" spans="1:12" ht="20.25" customHeight="1" x14ac:dyDescent="0.25">
      <c r="A112" s="75"/>
      <c r="B112" s="94" t="s">
        <v>436</v>
      </c>
      <c r="C112" s="103"/>
      <c r="D112" s="103"/>
      <c r="E112" s="103"/>
      <c r="F112" s="103"/>
      <c r="G112" s="75"/>
      <c r="H112" s="94" t="s">
        <v>396</v>
      </c>
      <c r="I112" s="103"/>
      <c r="J112" s="103"/>
      <c r="K112" s="103"/>
      <c r="L112" s="103">
        <f t="shared" si="53"/>
        <v>0</v>
      </c>
    </row>
    <row r="113" spans="1:13" ht="20.25" customHeight="1" x14ac:dyDescent="0.25">
      <c r="A113" s="75"/>
      <c r="B113" s="95" t="s">
        <v>437</v>
      </c>
      <c r="C113" s="103">
        <f>C110+C111+C112</f>
        <v>0</v>
      </c>
      <c r="D113" s="103">
        <f t="shared" ref="D113:F113" si="73">D110+D111+D112</f>
        <v>0</v>
      </c>
      <c r="E113" s="103">
        <f t="shared" ref="E113" si="74">E110+E111+E112</f>
        <v>0</v>
      </c>
      <c r="F113" s="103">
        <f t="shared" si="73"/>
        <v>0</v>
      </c>
      <c r="G113" s="75"/>
      <c r="H113" s="95" t="s">
        <v>398</v>
      </c>
      <c r="I113" s="103">
        <f>I110+I111+I112</f>
        <v>0</v>
      </c>
      <c r="J113" s="103">
        <f t="shared" ref="J113:K113" si="75">J110+J111+J112</f>
        <v>0</v>
      </c>
      <c r="K113" s="103">
        <f t="shared" si="75"/>
        <v>0</v>
      </c>
      <c r="L113" s="103">
        <f t="shared" si="53"/>
        <v>0</v>
      </c>
    </row>
    <row r="114" spans="1:13" ht="20.25" customHeight="1" x14ac:dyDescent="0.25">
      <c r="A114" s="75"/>
      <c r="B114" s="69" t="s">
        <v>438</v>
      </c>
      <c r="C114" s="103"/>
      <c r="D114" s="103"/>
      <c r="E114" s="103"/>
      <c r="F114" s="103"/>
      <c r="G114" s="75"/>
      <c r="H114" s="94" t="s">
        <v>399</v>
      </c>
      <c r="I114" s="103"/>
      <c r="J114" s="103"/>
      <c r="K114" s="103"/>
      <c r="L114" s="103">
        <f t="shared" si="53"/>
        <v>0</v>
      </c>
    </row>
    <row r="115" spans="1:13" ht="20.25" customHeight="1" x14ac:dyDescent="0.25">
      <c r="A115" s="75"/>
      <c r="B115" s="69" t="s">
        <v>439</v>
      </c>
      <c r="C115" s="103"/>
      <c r="D115" s="103"/>
      <c r="E115" s="103"/>
      <c r="F115" s="103"/>
      <c r="G115" s="75"/>
      <c r="H115" s="94" t="s">
        <v>400</v>
      </c>
      <c r="I115" s="103"/>
      <c r="J115" s="103"/>
      <c r="K115" s="103"/>
      <c r="L115" s="103">
        <f t="shared" si="53"/>
        <v>0</v>
      </c>
    </row>
    <row r="116" spans="1:13" ht="20.25" customHeight="1" x14ac:dyDescent="0.25">
      <c r="A116" s="75"/>
      <c r="B116" s="70" t="s">
        <v>440</v>
      </c>
      <c r="C116" s="103">
        <f>C114+C115</f>
        <v>0</v>
      </c>
      <c r="D116" s="103">
        <f t="shared" ref="D116:F116" si="76">D114+D115</f>
        <v>0</v>
      </c>
      <c r="E116" s="103">
        <f t="shared" ref="E116" si="77">E114+E115</f>
        <v>0</v>
      </c>
      <c r="F116" s="103">
        <f t="shared" si="76"/>
        <v>0</v>
      </c>
      <c r="G116" s="75"/>
      <c r="H116" s="95" t="s">
        <v>401</v>
      </c>
      <c r="I116" s="103">
        <f>I114+I115</f>
        <v>0</v>
      </c>
      <c r="J116" s="103">
        <f t="shared" ref="J116:K116" si="78">J114+J115</f>
        <v>0</v>
      </c>
      <c r="K116" s="103">
        <f t="shared" si="78"/>
        <v>0</v>
      </c>
      <c r="L116" s="103">
        <f t="shared" si="53"/>
        <v>0</v>
      </c>
    </row>
    <row r="117" spans="1:13" ht="20.25" customHeight="1" x14ac:dyDescent="0.25">
      <c r="A117" s="75"/>
      <c r="B117" s="70" t="s">
        <v>444</v>
      </c>
      <c r="C117" s="103"/>
      <c r="D117" s="103"/>
      <c r="E117" s="103"/>
      <c r="F117" s="103"/>
      <c r="G117" s="75"/>
      <c r="H117" s="95" t="s">
        <v>402</v>
      </c>
      <c r="I117" s="103"/>
      <c r="J117" s="103"/>
      <c r="K117" s="103"/>
      <c r="L117" s="103">
        <f t="shared" si="53"/>
        <v>0</v>
      </c>
    </row>
    <row r="118" spans="1:13" ht="20.25" customHeight="1" x14ac:dyDescent="0.25">
      <c r="A118" s="75"/>
      <c r="B118" s="70" t="s">
        <v>442</v>
      </c>
      <c r="C118" s="103"/>
      <c r="D118" s="103"/>
      <c r="E118" s="103"/>
      <c r="F118" s="316">
        <f>C118+D118</f>
        <v>0</v>
      </c>
      <c r="G118" s="75"/>
      <c r="H118" s="75" t="s">
        <v>404</v>
      </c>
      <c r="I118" s="113">
        <f>I113+I116+I117</f>
        <v>0</v>
      </c>
      <c r="J118" s="113">
        <f t="shared" ref="J118:K118" si="79">J113+J116+J117</f>
        <v>0</v>
      </c>
      <c r="K118" s="113">
        <f t="shared" si="79"/>
        <v>0</v>
      </c>
      <c r="L118" s="113">
        <f t="shared" si="53"/>
        <v>0</v>
      </c>
    </row>
    <row r="119" spans="1:13" ht="20.25" customHeight="1" x14ac:dyDescent="0.25">
      <c r="A119" s="110"/>
      <c r="B119" s="80" t="s">
        <v>445</v>
      </c>
      <c r="C119" s="113">
        <f>C113+C116+C117+C118</f>
        <v>0</v>
      </c>
      <c r="D119" s="113">
        <f t="shared" ref="D119:E119" si="80">D113+D116+D117+D118</f>
        <v>0</v>
      </c>
      <c r="E119" s="113">
        <f t="shared" si="80"/>
        <v>0</v>
      </c>
      <c r="F119" s="316">
        <f>C119+D119</f>
        <v>0</v>
      </c>
      <c r="G119" s="110"/>
      <c r="H119" s="95"/>
      <c r="I119" s="103"/>
      <c r="J119" s="103"/>
      <c r="K119" s="103"/>
      <c r="L119" s="103">
        <f t="shared" si="53"/>
        <v>0</v>
      </c>
    </row>
    <row r="120" spans="1:13" ht="20.25" customHeight="1" x14ac:dyDescent="0.25">
      <c r="A120" s="740" t="s">
        <v>143</v>
      </c>
      <c r="B120" s="741"/>
      <c r="C120" s="428">
        <f>C2+C81+C98</f>
        <v>0</v>
      </c>
      <c r="D120" s="428">
        <f t="shared" ref="D120:F120" si="81">D2+D81+D98</f>
        <v>0</v>
      </c>
      <c r="E120" s="428">
        <f t="shared" ref="E120" si="82">E2+E81+E98</f>
        <v>6857</v>
      </c>
      <c r="F120" s="428">
        <f t="shared" si="81"/>
        <v>6857</v>
      </c>
      <c r="G120" s="740" t="s">
        <v>144</v>
      </c>
      <c r="H120" s="741"/>
      <c r="I120" s="428">
        <f>I2+I81+I98</f>
        <v>0</v>
      </c>
      <c r="J120" s="428">
        <f t="shared" ref="J120:K120" si="83">J2+J81+J98</f>
        <v>0</v>
      </c>
      <c r="K120" s="428">
        <f t="shared" si="83"/>
        <v>6857.4500000000007</v>
      </c>
      <c r="L120" s="428">
        <f>L2+L81+L98</f>
        <v>6857.4500000000007</v>
      </c>
    </row>
    <row r="122" spans="1:13" x14ac:dyDescent="0.25">
      <c r="I122" s="117">
        <f>+C120-I120</f>
        <v>0</v>
      </c>
      <c r="J122" s="117">
        <f>+D120-J120</f>
        <v>0</v>
      </c>
      <c r="K122" s="117">
        <f>+E120-K120</f>
        <v>-0.4500000000007276</v>
      </c>
      <c r="L122" s="117">
        <f t="shared" ref="L122" si="84">+F120-L120</f>
        <v>-0.4500000000007276</v>
      </c>
      <c r="M122" s="117"/>
    </row>
    <row r="124" spans="1:13" x14ac:dyDescent="0.25">
      <c r="C124" s="117"/>
      <c r="D124" s="117"/>
      <c r="E124" s="117"/>
      <c r="F124" s="117"/>
      <c r="I124" s="429"/>
      <c r="J124" s="429"/>
    </row>
    <row r="125" spans="1:13" x14ac:dyDescent="0.25">
      <c r="I125" s="429"/>
      <c r="J125" s="429"/>
    </row>
    <row r="126" spans="1:13" x14ac:dyDescent="0.25">
      <c r="I126" s="429"/>
      <c r="J126" s="429"/>
      <c r="K126" s="429"/>
      <c r="L126" s="429"/>
    </row>
    <row r="127" spans="1:13" x14ac:dyDescent="0.25">
      <c r="I127" s="429"/>
      <c r="J127" s="429"/>
      <c r="K127" s="429"/>
      <c r="L127" s="429"/>
    </row>
    <row r="128" spans="1:13" x14ac:dyDescent="0.25">
      <c r="I128" s="429"/>
      <c r="J128" s="429"/>
      <c r="K128" s="429"/>
      <c r="L128" s="429"/>
    </row>
  </sheetData>
  <mergeCells count="2">
    <mergeCell ref="A120:B120"/>
    <mergeCell ref="G120:H1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>&amp;CTaksony Nagyközség Önkormányzat 2016. évi költségvetés 
2. sz. módosítás&amp;R19.a.sz. melléklet</oddHeader>
    <oddFooter xml:space="preserve">&amp;LKészült: &amp;D
&amp;R/:Kreisz László://:Dr.Micheller Anita:/       </oddFooter>
  </headerFooter>
  <rowBreaks count="1" manualBreakCount="1">
    <brk id="73" max="9" man="1"/>
  </rowBreaks>
  <colBreaks count="1" manualBreakCount="1">
    <brk id="6" max="117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O122"/>
  <sheetViews>
    <sheetView view="pageBreakPreview" zoomScale="85" zoomScaleNormal="100" zoomScaleSheetLayoutView="85" workbookViewId="0">
      <pane ySplit="1" topLeftCell="A32" activePane="bottomLeft" state="frozen"/>
      <selection activeCell="G32" sqref="G32"/>
      <selection pane="bottomLeft" activeCell="C102" sqref="C102"/>
    </sheetView>
  </sheetViews>
  <sheetFormatPr defaultRowHeight="15" x14ac:dyDescent="0.25"/>
  <cols>
    <col min="1" max="1" width="110.140625" style="411" customWidth="1"/>
    <col min="2" max="2" width="13.85546875" style="381" customWidth="1"/>
    <col min="3" max="3" width="13" style="382" customWidth="1"/>
    <col min="4" max="4" width="13" style="381" customWidth="1"/>
    <col min="5" max="5" width="19.5703125" style="381" customWidth="1"/>
    <col min="6" max="6" width="13.5703125" style="381" bestFit="1" customWidth="1"/>
    <col min="7" max="7" width="9.85546875" style="381" bestFit="1" customWidth="1"/>
    <col min="8" max="15" width="9.140625" style="381"/>
    <col min="16" max="16384" width="9.140625" style="382"/>
  </cols>
  <sheetData>
    <row r="1" spans="1:15" s="380" customFormat="1" ht="42.75" customHeight="1" x14ac:dyDescent="0.25">
      <c r="A1" s="413" t="s">
        <v>573</v>
      </c>
      <c r="B1" s="743" t="s">
        <v>832</v>
      </c>
      <c r="C1" s="745" t="s">
        <v>574</v>
      </c>
      <c r="D1" s="747" t="s">
        <v>833</v>
      </c>
      <c r="E1" s="747" t="s">
        <v>1102</v>
      </c>
      <c r="F1" s="379"/>
      <c r="G1" s="379"/>
      <c r="H1" s="379"/>
      <c r="I1" s="379"/>
      <c r="J1" s="379"/>
      <c r="K1" s="379"/>
      <c r="L1" s="379"/>
      <c r="M1" s="379"/>
      <c r="N1" s="379"/>
      <c r="O1" s="379"/>
    </row>
    <row r="2" spans="1:15" s="380" customFormat="1" ht="15" customHeight="1" thickBot="1" x14ac:dyDescent="0.3">
      <c r="A2" s="412" t="s">
        <v>834</v>
      </c>
      <c r="B2" s="744"/>
      <c r="C2" s="746"/>
      <c r="D2" s="748"/>
      <c r="E2" s="748"/>
      <c r="F2" s="379"/>
      <c r="G2" s="379"/>
      <c r="H2" s="379"/>
      <c r="I2" s="379"/>
      <c r="J2" s="379"/>
      <c r="K2" s="379"/>
      <c r="L2" s="379"/>
      <c r="M2" s="379"/>
      <c r="N2" s="379"/>
      <c r="O2" s="379"/>
    </row>
    <row r="3" spans="1:15" x14ac:dyDescent="0.25">
      <c r="A3" s="383" t="s">
        <v>575</v>
      </c>
      <c r="B3" s="384"/>
      <c r="C3" s="385"/>
      <c r="D3" s="384"/>
      <c r="E3" s="386"/>
    </row>
    <row r="4" spans="1:15" x14ac:dyDescent="0.25">
      <c r="A4" s="383" t="s">
        <v>576</v>
      </c>
      <c r="B4" s="387">
        <f>(14+(6299-5001)/(11000-5001)*(23-14))+2</f>
        <v>17.947324554092347</v>
      </c>
      <c r="C4" s="388" t="s">
        <v>577</v>
      </c>
      <c r="D4" s="384">
        <v>4580000</v>
      </c>
      <c r="E4" s="386">
        <f>17.95*4580000</f>
        <v>82211000</v>
      </c>
      <c r="G4" s="389"/>
    </row>
    <row r="5" spans="1:15" ht="26.25" x14ac:dyDescent="0.25">
      <c r="A5" s="390" t="s">
        <v>578</v>
      </c>
      <c r="B5" s="391"/>
      <c r="C5" s="392"/>
      <c r="D5" s="391"/>
      <c r="E5" s="393">
        <f>E4-[1]infó!B17</f>
        <v>81898881</v>
      </c>
    </row>
    <row r="6" spans="1:15" x14ac:dyDescent="0.25">
      <c r="A6" s="383" t="s">
        <v>579</v>
      </c>
      <c r="B6" s="384"/>
      <c r="C6" s="385"/>
      <c r="D6" s="384"/>
      <c r="E6" s="386">
        <f>E8+E10+E12+E14</f>
        <v>29985550</v>
      </c>
    </row>
    <row r="7" spans="1:15" s="380" customFormat="1" x14ac:dyDescent="0.25">
      <c r="A7" s="390" t="s">
        <v>580</v>
      </c>
      <c r="B7" s="391"/>
      <c r="C7" s="392"/>
      <c r="D7" s="391"/>
      <c r="E7" s="393">
        <f>E9+E11+E13+E15</f>
        <v>0</v>
      </c>
      <c r="F7" s="379"/>
      <c r="G7" s="379"/>
      <c r="H7" s="379"/>
      <c r="I7" s="379"/>
      <c r="J7" s="379"/>
      <c r="K7" s="379"/>
      <c r="L7" s="379"/>
      <c r="M7" s="379"/>
      <c r="N7" s="379"/>
      <c r="O7" s="379"/>
    </row>
    <row r="8" spans="1:15" x14ac:dyDescent="0.25">
      <c r="A8" s="383" t="s">
        <v>581</v>
      </c>
      <c r="B8" s="384">
        <v>301</v>
      </c>
      <c r="C8" s="385" t="s">
        <v>835</v>
      </c>
      <c r="D8" s="384">
        <v>22300</v>
      </c>
      <c r="E8" s="394">
        <v>6721220</v>
      </c>
    </row>
    <row r="9" spans="1:15" x14ac:dyDescent="0.25">
      <c r="A9" s="383" t="s">
        <v>582</v>
      </c>
      <c r="B9" s="384"/>
      <c r="C9" s="385"/>
      <c r="D9" s="384"/>
      <c r="E9" s="394">
        <f>E8-[1]infó!B12</f>
        <v>0</v>
      </c>
    </row>
    <row r="10" spans="1:15" x14ac:dyDescent="0.25">
      <c r="A10" s="383" t="s">
        <v>583</v>
      </c>
      <c r="B10" s="384"/>
      <c r="C10" s="385" t="s">
        <v>836</v>
      </c>
      <c r="D10" s="384">
        <v>320000</v>
      </c>
      <c r="E10" s="394">
        <v>15040000</v>
      </c>
    </row>
    <row r="11" spans="1:15" ht="26.25" x14ac:dyDescent="0.25">
      <c r="A11" s="383" t="s">
        <v>584</v>
      </c>
      <c r="B11" s="384"/>
      <c r="C11" s="385"/>
      <c r="D11" s="384"/>
      <c r="E11" s="394">
        <f>E10-[1]infó!B13</f>
        <v>0</v>
      </c>
    </row>
    <row r="12" spans="1:15" x14ac:dyDescent="0.25">
      <c r="A12" s="383" t="s">
        <v>585</v>
      </c>
      <c r="B12" s="384"/>
      <c r="C12" s="385"/>
      <c r="D12" s="384"/>
      <c r="E12" s="394">
        <f>'[1]2015'!D18</f>
        <v>100000</v>
      </c>
    </row>
    <row r="13" spans="1:15" x14ac:dyDescent="0.25">
      <c r="A13" s="383" t="s">
        <v>586</v>
      </c>
      <c r="B13" s="384"/>
      <c r="C13" s="385"/>
      <c r="D13" s="384"/>
      <c r="E13" s="394">
        <f>E12-[1]infó!B14</f>
        <v>0</v>
      </c>
    </row>
    <row r="14" spans="1:15" x14ac:dyDescent="0.25">
      <c r="A14" s="383" t="s">
        <v>587</v>
      </c>
      <c r="B14" s="384"/>
      <c r="C14" s="385" t="s">
        <v>836</v>
      </c>
      <c r="D14" s="384">
        <v>227000</v>
      </c>
      <c r="E14" s="394">
        <v>8124330</v>
      </c>
    </row>
    <row r="15" spans="1:15" x14ac:dyDescent="0.25">
      <c r="A15" s="383" t="s">
        <v>588</v>
      </c>
      <c r="B15" s="384"/>
      <c r="C15" s="385"/>
      <c r="D15" s="384"/>
      <c r="E15" s="394">
        <f>E14-[1]infó!B15</f>
        <v>0</v>
      </c>
    </row>
    <row r="16" spans="1:15" x14ac:dyDescent="0.25">
      <c r="A16" s="395" t="s">
        <v>589</v>
      </c>
      <c r="B16" s="384">
        <v>6299</v>
      </c>
      <c r="C16" s="385" t="s">
        <v>577</v>
      </c>
      <c r="D16" s="384">
        <v>2700</v>
      </c>
      <c r="E16" s="386">
        <f>6299*2700</f>
        <v>17007300</v>
      </c>
    </row>
    <row r="17" spans="1:15" s="380" customFormat="1" ht="30" x14ac:dyDescent="0.25">
      <c r="A17" s="396" t="s">
        <v>590</v>
      </c>
      <c r="B17" s="391"/>
      <c r="C17" s="392"/>
      <c r="D17" s="391"/>
      <c r="E17" s="393">
        <f>E16-[1]infó!B10</f>
        <v>0</v>
      </c>
      <c r="F17" s="379"/>
      <c r="G17" s="379"/>
      <c r="H17" s="379"/>
      <c r="I17" s="379"/>
      <c r="J17" s="379"/>
      <c r="K17" s="379"/>
      <c r="L17" s="379"/>
      <c r="M17" s="379"/>
      <c r="N17" s="379"/>
      <c r="O17" s="379"/>
    </row>
    <row r="18" spans="1:15" x14ac:dyDescent="0.25">
      <c r="A18" s="395" t="s">
        <v>837</v>
      </c>
      <c r="B18" s="384"/>
      <c r="C18" s="385"/>
      <c r="D18" s="384"/>
      <c r="E18" s="386"/>
    </row>
    <row r="19" spans="1:15" s="380" customFormat="1" x14ac:dyDescent="0.25">
      <c r="A19" s="396" t="s">
        <v>838</v>
      </c>
      <c r="B19" s="393"/>
      <c r="C19" s="397"/>
      <c r="D19" s="393"/>
      <c r="E19" s="393">
        <f>E18-[1]infó!B11</f>
        <v>0</v>
      </c>
      <c r="F19" s="379"/>
      <c r="G19" s="379"/>
      <c r="H19" s="379"/>
      <c r="I19" s="379"/>
      <c r="J19" s="379"/>
      <c r="K19" s="379"/>
      <c r="L19" s="379"/>
      <c r="M19" s="379"/>
      <c r="N19" s="379"/>
      <c r="O19" s="379"/>
    </row>
    <row r="20" spans="1:15" x14ac:dyDescent="0.25">
      <c r="A20" s="395" t="s">
        <v>839</v>
      </c>
      <c r="B20" s="386"/>
      <c r="C20" s="398"/>
      <c r="D20" s="386"/>
      <c r="E20" s="386"/>
    </row>
    <row r="21" spans="1:15" s="380" customFormat="1" x14ac:dyDescent="0.25">
      <c r="A21" s="396" t="s">
        <v>840</v>
      </c>
      <c r="B21" s="393"/>
      <c r="C21" s="397"/>
      <c r="D21" s="393"/>
      <c r="E21" s="393">
        <f>E20-[1]infó!B16</f>
        <v>0</v>
      </c>
      <c r="F21" s="379"/>
      <c r="G21" s="379"/>
      <c r="H21" s="379"/>
      <c r="I21" s="379"/>
      <c r="J21" s="379"/>
      <c r="K21" s="379"/>
      <c r="L21" s="379"/>
      <c r="M21" s="379"/>
      <c r="N21" s="379"/>
      <c r="O21" s="379"/>
    </row>
    <row r="22" spans="1:15" x14ac:dyDescent="0.25">
      <c r="A22" s="395" t="s">
        <v>592</v>
      </c>
      <c r="B22" s="386"/>
      <c r="C22" s="398"/>
      <c r="D22" s="386"/>
      <c r="E22" s="386">
        <f>[1]infó!B9</f>
        <v>47304969.250000007</v>
      </c>
    </row>
    <row r="23" spans="1:15" x14ac:dyDescent="0.25">
      <c r="A23" s="395" t="s">
        <v>841</v>
      </c>
      <c r="B23" s="386"/>
      <c r="C23" s="398"/>
      <c r="D23" s="386"/>
      <c r="E23" s="386"/>
    </row>
    <row r="24" spans="1:15" x14ac:dyDescent="0.25">
      <c r="A24" s="395" t="s">
        <v>842</v>
      </c>
      <c r="B24" s="399"/>
      <c r="C24" s="398"/>
      <c r="D24" s="386"/>
      <c r="E24" s="399">
        <f>E5+E7+E9+E11+E13+E15+E17+E19+E21</f>
        <v>81898881</v>
      </c>
    </row>
    <row r="25" spans="1:15" ht="30" x14ac:dyDescent="0.25">
      <c r="A25" s="395" t="s">
        <v>591</v>
      </c>
      <c r="B25" s="386"/>
      <c r="C25" s="398"/>
      <c r="D25" s="386"/>
      <c r="E25" s="386"/>
    </row>
    <row r="26" spans="1:15" x14ac:dyDescent="0.25">
      <c r="A26" s="395" t="s">
        <v>843</v>
      </c>
      <c r="B26" s="386"/>
      <c r="C26" s="398"/>
      <c r="D26" s="386"/>
      <c r="E26" s="386"/>
    </row>
    <row r="27" spans="1:15" x14ac:dyDescent="0.25">
      <c r="A27" s="390" t="s">
        <v>897</v>
      </c>
      <c r="B27" s="391"/>
      <c r="C27" s="392"/>
      <c r="D27" s="391"/>
      <c r="E27" s="393">
        <v>156591</v>
      </c>
    </row>
    <row r="28" spans="1:15" x14ac:dyDescent="0.25">
      <c r="A28" s="395"/>
      <c r="B28" s="386"/>
      <c r="C28" s="398"/>
      <c r="D28" s="386"/>
      <c r="E28" s="386"/>
    </row>
    <row r="29" spans="1:15" x14ac:dyDescent="0.25">
      <c r="A29" s="438" t="s">
        <v>898</v>
      </c>
      <c r="B29" s="439"/>
      <c r="C29" s="440"/>
      <c r="D29" s="439"/>
      <c r="E29" s="439">
        <f>E27+E5</f>
        <v>82055472</v>
      </c>
    </row>
    <row r="30" spans="1:15" x14ac:dyDescent="0.25">
      <c r="A30" s="395"/>
      <c r="B30" s="386"/>
      <c r="C30" s="398"/>
      <c r="D30" s="386"/>
      <c r="E30" s="386"/>
    </row>
    <row r="31" spans="1:15" ht="30" x14ac:dyDescent="0.25">
      <c r="A31" s="400" t="s">
        <v>844</v>
      </c>
      <c r="B31" s="401"/>
      <c r="C31" s="402"/>
      <c r="D31" s="401"/>
      <c r="E31" s="401">
        <f>SUM(E32:E35)</f>
        <v>28205371</v>
      </c>
    </row>
    <row r="32" spans="1:15" x14ac:dyDescent="0.25">
      <c r="A32" s="396" t="s">
        <v>1124</v>
      </c>
      <c r="B32" s="393"/>
      <c r="C32" s="397"/>
      <c r="D32" s="393"/>
      <c r="E32" s="403">
        <v>1183421</v>
      </c>
    </row>
    <row r="33" spans="1:15" x14ac:dyDescent="0.25">
      <c r="A33" s="396" t="s">
        <v>1123</v>
      </c>
      <c r="B33" s="393"/>
      <c r="C33" s="397"/>
      <c r="D33" s="393"/>
      <c r="E33" s="403">
        <v>37710</v>
      </c>
    </row>
    <row r="34" spans="1:15" s="380" customFormat="1" x14ac:dyDescent="0.25">
      <c r="A34" s="396" t="s">
        <v>845</v>
      </c>
      <c r="B34" s="393"/>
      <c r="C34" s="397"/>
      <c r="D34" s="393"/>
      <c r="E34" s="403">
        <v>18162795</v>
      </c>
      <c r="F34" s="379"/>
      <c r="G34" s="379"/>
      <c r="H34" s="379"/>
      <c r="I34" s="379"/>
      <c r="J34" s="379"/>
      <c r="K34" s="379"/>
      <c r="L34" s="379"/>
      <c r="M34" s="379"/>
      <c r="N34" s="379"/>
      <c r="O34" s="379"/>
    </row>
    <row r="35" spans="1:15" x14ac:dyDescent="0.25">
      <c r="A35" s="396" t="s">
        <v>593</v>
      </c>
      <c r="B35" s="393"/>
      <c r="C35" s="397"/>
      <c r="D35" s="393"/>
      <c r="E35" s="393">
        <f>E36+E40+E42+E77+E112+E113+E114</f>
        <v>8821445</v>
      </c>
    </row>
    <row r="36" spans="1:15" x14ac:dyDescent="0.25">
      <c r="A36" s="395" t="s">
        <v>594</v>
      </c>
      <c r="B36" s="404">
        <f>[1]infó!B2/5000</f>
        <v>1.2598</v>
      </c>
      <c r="C36" s="398" t="s">
        <v>577</v>
      </c>
      <c r="D36" s="386">
        <v>3000000</v>
      </c>
      <c r="E36" s="386">
        <v>3900000</v>
      </c>
    </row>
    <row r="37" spans="1:15" x14ac:dyDescent="0.25">
      <c r="A37" s="395" t="s">
        <v>595</v>
      </c>
      <c r="B37" s="386"/>
      <c r="C37" s="398"/>
      <c r="D37" s="386"/>
      <c r="E37" s="386"/>
    </row>
    <row r="38" spans="1:15" x14ac:dyDescent="0.25">
      <c r="A38" s="395" t="s">
        <v>596</v>
      </c>
      <c r="B38" s="386"/>
      <c r="C38" s="398"/>
      <c r="D38" s="386"/>
      <c r="E38" s="386"/>
    </row>
    <row r="39" spans="1:15" x14ac:dyDescent="0.25">
      <c r="A39" s="395" t="s">
        <v>597</v>
      </c>
      <c r="B39" s="386"/>
      <c r="C39" s="398"/>
      <c r="D39" s="386"/>
      <c r="E39" s="386"/>
    </row>
    <row r="40" spans="1:15" x14ac:dyDescent="0.25">
      <c r="A40" s="395" t="s">
        <v>598</v>
      </c>
      <c r="B40" s="394">
        <v>23</v>
      </c>
      <c r="C40" s="398" t="s">
        <v>577</v>
      </c>
      <c r="D40" s="386">
        <v>55360</v>
      </c>
      <c r="E40" s="386">
        <f>B40*55360</f>
        <v>1273280</v>
      </c>
    </row>
    <row r="41" spans="1:15" x14ac:dyDescent="0.25">
      <c r="A41" s="395" t="s">
        <v>599</v>
      </c>
      <c r="B41" s="394"/>
      <c r="C41" s="398"/>
      <c r="D41" s="386"/>
      <c r="E41" s="386"/>
    </row>
    <row r="42" spans="1:15" x14ac:dyDescent="0.25">
      <c r="A42" s="395" t="s">
        <v>600</v>
      </c>
      <c r="B42" s="394">
        <v>8</v>
      </c>
      <c r="C42" s="398" t="s">
        <v>577</v>
      </c>
      <c r="D42" s="386">
        <v>145000</v>
      </c>
      <c r="E42" s="386">
        <f>B42*145000</f>
        <v>1160000</v>
      </c>
    </row>
    <row r="43" spans="1:15" x14ac:dyDescent="0.25">
      <c r="A43" s="395" t="s">
        <v>601</v>
      </c>
      <c r="B43" s="386"/>
      <c r="C43" s="398"/>
      <c r="D43" s="386"/>
      <c r="E43" s="386"/>
    </row>
    <row r="44" spans="1:15" x14ac:dyDescent="0.25">
      <c r="A44" s="395" t="s">
        <v>602</v>
      </c>
      <c r="B44" s="386"/>
      <c r="C44" s="398"/>
      <c r="D44" s="386"/>
      <c r="E44" s="386"/>
    </row>
    <row r="45" spans="1:15" x14ac:dyDescent="0.25">
      <c r="A45" s="395" t="s">
        <v>603</v>
      </c>
      <c r="B45" s="386"/>
      <c r="C45" s="398"/>
      <c r="D45" s="386"/>
      <c r="E45" s="386"/>
    </row>
    <row r="46" spans="1:15" x14ac:dyDescent="0.25">
      <c r="A46" s="395" t="s">
        <v>604</v>
      </c>
      <c r="B46" s="386"/>
      <c r="C46" s="398"/>
      <c r="D46" s="386"/>
      <c r="E46" s="386"/>
    </row>
    <row r="47" spans="1:15" x14ac:dyDescent="0.25">
      <c r="A47" s="395" t="s">
        <v>605</v>
      </c>
      <c r="B47" s="386"/>
      <c r="C47" s="398"/>
      <c r="D47" s="386"/>
      <c r="E47" s="386"/>
    </row>
    <row r="48" spans="1:15" x14ac:dyDescent="0.25">
      <c r="A48" s="395" t="s">
        <v>606</v>
      </c>
      <c r="B48" s="405"/>
      <c r="C48" s="398"/>
      <c r="D48" s="386"/>
      <c r="E48" s="386">
        <f>B48*109000</f>
        <v>0</v>
      </c>
    </row>
    <row r="49" spans="1:5" x14ac:dyDescent="0.25">
      <c r="A49" s="395" t="s">
        <v>607</v>
      </c>
      <c r="B49" s="386"/>
      <c r="C49" s="398"/>
      <c r="D49" s="386"/>
      <c r="E49" s="386"/>
    </row>
    <row r="50" spans="1:5" x14ac:dyDescent="0.25">
      <c r="A50" s="395" t="s">
        <v>608</v>
      </c>
      <c r="B50" s="386"/>
      <c r="C50" s="398"/>
      <c r="D50" s="386"/>
      <c r="E50" s="386"/>
    </row>
    <row r="51" spans="1:5" ht="30" x14ac:dyDescent="0.25">
      <c r="A51" s="395" t="s">
        <v>609</v>
      </c>
      <c r="B51" s="386"/>
      <c r="C51" s="398"/>
      <c r="D51" s="386"/>
      <c r="E51" s="386"/>
    </row>
    <row r="52" spans="1:5" x14ac:dyDescent="0.25">
      <c r="A52" s="395" t="s">
        <v>610</v>
      </c>
      <c r="B52" s="386"/>
      <c r="C52" s="398"/>
      <c r="D52" s="386"/>
      <c r="E52" s="386"/>
    </row>
    <row r="53" spans="1:5" x14ac:dyDescent="0.25">
      <c r="A53" s="395" t="s">
        <v>611</v>
      </c>
      <c r="B53" s="386"/>
      <c r="C53" s="398"/>
      <c r="D53" s="386"/>
      <c r="E53" s="386"/>
    </row>
    <row r="54" spans="1:5" x14ac:dyDescent="0.25">
      <c r="A54" s="395" t="s">
        <v>612</v>
      </c>
      <c r="B54" s="386"/>
      <c r="C54" s="398"/>
      <c r="D54" s="386"/>
      <c r="E54" s="386"/>
    </row>
    <row r="55" spans="1:5" x14ac:dyDescent="0.25">
      <c r="A55" s="395" t="s">
        <v>613</v>
      </c>
      <c r="B55" s="386"/>
      <c r="C55" s="398"/>
      <c r="D55" s="386"/>
      <c r="E55" s="386"/>
    </row>
    <row r="56" spans="1:5" ht="30" x14ac:dyDescent="0.25">
      <c r="A56" s="395" t="s">
        <v>614</v>
      </c>
      <c r="B56" s="386"/>
      <c r="C56" s="398"/>
      <c r="D56" s="386"/>
      <c r="E56" s="386"/>
    </row>
    <row r="57" spans="1:5" x14ac:dyDescent="0.25">
      <c r="A57" s="395" t="s">
        <v>615</v>
      </c>
      <c r="B57" s="386"/>
      <c r="C57" s="398"/>
      <c r="D57" s="386"/>
      <c r="E57" s="386"/>
    </row>
    <row r="58" spans="1:5" x14ac:dyDescent="0.25">
      <c r="A58" s="395" t="s">
        <v>616</v>
      </c>
      <c r="B58" s="386"/>
      <c r="C58" s="398"/>
      <c r="D58" s="386"/>
      <c r="E58" s="386"/>
    </row>
    <row r="59" spans="1:5" x14ac:dyDescent="0.25">
      <c r="A59" s="395" t="s">
        <v>617</v>
      </c>
      <c r="B59" s="386"/>
      <c r="C59" s="398"/>
      <c r="D59" s="386"/>
      <c r="E59" s="386"/>
    </row>
    <row r="60" spans="1:5" ht="30" x14ac:dyDescent="0.25">
      <c r="A60" s="395" t="s">
        <v>618</v>
      </c>
      <c r="B60" s="386"/>
      <c r="C60" s="398"/>
      <c r="D60" s="386"/>
      <c r="E60" s="386"/>
    </row>
    <row r="61" spans="1:5" x14ac:dyDescent="0.25">
      <c r="A61" s="395" t="s">
        <v>619</v>
      </c>
      <c r="B61" s="386"/>
      <c r="C61" s="398"/>
      <c r="D61" s="386"/>
      <c r="E61" s="386"/>
    </row>
    <row r="62" spans="1:5" x14ac:dyDescent="0.25">
      <c r="A62" s="395" t="s">
        <v>620</v>
      </c>
      <c r="B62" s="386"/>
      <c r="C62" s="398"/>
      <c r="D62" s="386"/>
      <c r="E62" s="386"/>
    </row>
    <row r="63" spans="1:5" x14ac:dyDescent="0.25">
      <c r="A63" s="395" t="s">
        <v>621</v>
      </c>
      <c r="B63" s="386"/>
      <c r="C63" s="398"/>
      <c r="D63" s="386"/>
      <c r="E63" s="386"/>
    </row>
    <row r="64" spans="1:5" x14ac:dyDescent="0.25">
      <c r="A64" s="395" t="s">
        <v>622</v>
      </c>
      <c r="B64" s="386"/>
      <c r="C64" s="398"/>
      <c r="D64" s="386"/>
      <c r="E64" s="386"/>
    </row>
    <row r="65" spans="1:6" ht="30" x14ac:dyDescent="0.25">
      <c r="A65" s="395" t="s">
        <v>623</v>
      </c>
      <c r="B65" s="386"/>
      <c r="C65" s="398"/>
      <c r="D65" s="386"/>
      <c r="E65" s="386"/>
    </row>
    <row r="66" spans="1:6" x14ac:dyDescent="0.25">
      <c r="A66" s="395" t="s">
        <v>624</v>
      </c>
      <c r="B66" s="386"/>
      <c r="C66" s="398"/>
      <c r="D66" s="386"/>
      <c r="E66" s="386"/>
    </row>
    <row r="67" spans="1:6" x14ac:dyDescent="0.25">
      <c r="A67" s="395" t="s">
        <v>625</v>
      </c>
      <c r="B67" s="386"/>
      <c r="C67" s="398"/>
      <c r="D67" s="386"/>
      <c r="E67" s="386"/>
    </row>
    <row r="68" spans="1:6" x14ac:dyDescent="0.25">
      <c r="A68" s="395" t="s">
        <v>626</v>
      </c>
      <c r="B68" s="386"/>
      <c r="C68" s="398"/>
      <c r="D68" s="386"/>
      <c r="E68" s="386"/>
    </row>
    <row r="69" spans="1:6" ht="30" x14ac:dyDescent="0.25">
      <c r="A69" s="395" t="s">
        <v>627</v>
      </c>
      <c r="B69" s="386"/>
      <c r="C69" s="398"/>
      <c r="D69" s="386"/>
      <c r="E69" s="386"/>
    </row>
    <row r="70" spans="1:6" x14ac:dyDescent="0.25">
      <c r="A70" s="395" t="s">
        <v>628</v>
      </c>
      <c r="B70" s="386"/>
      <c r="C70" s="398"/>
      <c r="D70" s="386"/>
      <c r="E70" s="386"/>
    </row>
    <row r="71" spans="1:6" x14ac:dyDescent="0.25">
      <c r="A71" s="395" t="s">
        <v>629</v>
      </c>
      <c r="B71" s="386"/>
      <c r="C71" s="398"/>
      <c r="D71" s="386"/>
      <c r="E71" s="386"/>
    </row>
    <row r="72" spans="1:6" x14ac:dyDescent="0.25">
      <c r="A72" s="395" t="s">
        <v>630</v>
      </c>
      <c r="B72" s="386"/>
      <c r="C72" s="398"/>
      <c r="D72" s="386"/>
      <c r="E72" s="386"/>
    </row>
    <row r="73" spans="1:6" x14ac:dyDescent="0.25">
      <c r="A73" s="395" t="s">
        <v>631</v>
      </c>
      <c r="B73" s="386"/>
      <c r="C73" s="398"/>
      <c r="D73" s="386"/>
      <c r="E73" s="386"/>
    </row>
    <row r="74" spans="1:6" ht="30" x14ac:dyDescent="0.25">
      <c r="A74" s="395" t="s">
        <v>632</v>
      </c>
      <c r="B74" s="386"/>
      <c r="C74" s="398"/>
      <c r="D74" s="386"/>
      <c r="E74" s="386"/>
    </row>
    <row r="75" spans="1:6" x14ac:dyDescent="0.25">
      <c r="A75" s="395" t="s">
        <v>633</v>
      </c>
      <c r="B75" s="386"/>
      <c r="C75" s="398"/>
      <c r="D75" s="386"/>
      <c r="E75" s="386"/>
    </row>
    <row r="76" spans="1:6" x14ac:dyDescent="0.25">
      <c r="A76" s="395" t="s">
        <v>634</v>
      </c>
      <c r="B76" s="386"/>
      <c r="C76" s="398"/>
      <c r="D76" s="386"/>
      <c r="E76" s="386"/>
    </row>
    <row r="77" spans="1:6" x14ac:dyDescent="0.25">
      <c r="A77" s="395" t="s">
        <v>635</v>
      </c>
      <c r="B77" s="659">
        <v>3</v>
      </c>
      <c r="C77" s="398" t="s">
        <v>577</v>
      </c>
      <c r="D77" s="386">
        <v>494100</v>
      </c>
      <c r="E77" s="386">
        <f>B77*D77</f>
        <v>1482300</v>
      </c>
      <c r="F77" s="389"/>
    </row>
    <row r="78" spans="1:6" x14ac:dyDescent="0.25">
      <c r="A78" s="395" t="s">
        <v>636</v>
      </c>
      <c r="B78" s="386"/>
      <c r="C78" s="398"/>
      <c r="D78" s="386"/>
      <c r="E78" s="386"/>
    </row>
    <row r="79" spans="1:6" x14ac:dyDescent="0.25">
      <c r="A79" s="395" t="s">
        <v>637</v>
      </c>
      <c r="B79" s="386"/>
      <c r="C79" s="398"/>
      <c r="D79" s="386"/>
      <c r="E79" s="386"/>
    </row>
    <row r="80" spans="1:6" x14ac:dyDescent="0.25">
      <c r="A80" s="395" t="s">
        <v>638</v>
      </c>
      <c r="B80" s="386"/>
      <c r="C80" s="398"/>
      <c r="D80" s="386"/>
      <c r="E80" s="386"/>
    </row>
    <row r="81" spans="1:5" x14ac:dyDescent="0.25">
      <c r="A81" s="395" t="s">
        <v>639</v>
      </c>
      <c r="B81" s="386"/>
      <c r="C81" s="398"/>
      <c r="D81" s="386"/>
      <c r="E81" s="386"/>
    </row>
    <row r="82" spans="1:5" ht="30" x14ac:dyDescent="0.25">
      <c r="A82" s="395" t="s">
        <v>640</v>
      </c>
      <c r="B82" s="386"/>
      <c r="C82" s="398"/>
      <c r="D82" s="386"/>
      <c r="E82" s="386"/>
    </row>
    <row r="83" spans="1:5" ht="30" x14ac:dyDescent="0.25">
      <c r="A83" s="395" t="s">
        <v>641</v>
      </c>
      <c r="B83" s="386"/>
      <c r="C83" s="398"/>
      <c r="D83" s="386"/>
      <c r="E83" s="386"/>
    </row>
    <row r="84" spans="1:5" ht="30" x14ac:dyDescent="0.25">
      <c r="A84" s="395" t="s">
        <v>642</v>
      </c>
      <c r="B84" s="386"/>
      <c r="C84" s="398"/>
      <c r="D84" s="386"/>
      <c r="E84" s="386"/>
    </row>
    <row r="85" spans="1:5" ht="30" x14ac:dyDescent="0.25">
      <c r="A85" s="395" t="s">
        <v>643</v>
      </c>
      <c r="B85" s="386"/>
      <c r="C85" s="398"/>
      <c r="D85" s="386"/>
      <c r="E85" s="386"/>
    </row>
    <row r="86" spans="1:5" x14ac:dyDescent="0.25">
      <c r="A86" s="395" t="s">
        <v>644</v>
      </c>
      <c r="B86" s="386"/>
      <c r="C86" s="398"/>
      <c r="D86" s="386"/>
      <c r="E86" s="386"/>
    </row>
    <row r="87" spans="1:5" ht="30" x14ac:dyDescent="0.25">
      <c r="A87" s="395" t="s">
        <v>645</v>
      </c>
      <c r="B87" s="386"/>
      <c r="C87" s="398"/>
      <c r="D87" s="386"/>
      <c r="E87" s="386"/>
    </row>
    <row r="88" spans="1:5" ht="30" x14ac:dyDescent="0.25">
      <c r="A88" s="395" t="s">
        <v>646</v>
      </c>
      <c r="B88" s="386"/>
      <c r="C88" s="398"/>
      <c r="D88" s="386"/>
      <c r="E88" s="386"/>
    </row>
    <row r="89" spans="1:5" ht="30" x14ac:dyDescent="0.25">
      <c r="A89" s="395" t="s">
        <v>647</v>
      </c>
      <c r="B89" s="386"/>
      <c r="C89" s="398"/>
      <c r="D89" s="386"/>
      <c r="E89" s="386"/>
    </row>
    <row r="90" spans="1:5" ht="30" x14ac:dyDescent="0.25">
      <c r="A90" s="395" t="s">
        <v>648</v>
      </c>
      <c r="B90" s="386"/>
      <c r="C90" s="398"/>
      <c r="D90" s="386"/>
      <c r="E90" s="386"/>
    </row>
    <row r="91" spans="1:5" x14ac:dyDescent="0.25">
      <c r="A91" s="395" t="s">
        <v>649</v>
      </c>
      <c r="B91" s="386"/>
      <c r="C91" s="398"/>
      <c r="D91" s="386"/>
      <c r="E91" s="386"/>
    </row>
    <row r="92" spans="1:5" x14ac:dyDescent="0.25">
      <c r="A92" s="395" t="s">
        <v>650</v>
      </c>
      <c r="B92" s="386"/>
      <c r="C92" s="398"/>
      <c r="D92" s="386"/>
      <c r="E92" s="386"/>
    </row>
    <row r="93" spans="1:5" x14ac:dyDescent="0.25">
      <c r="A93" s="395" t="s">
        <v>651</v>
      </c>
      <c r="B93" s="386"/>
      <c r="C93" s="398"/>
      <c r="D93" s="386"/>
      <c r="E93" s="386"/>
    </row>
    <row r="94" spans="1:5" x14ac:dyDescent="0.25">
      <c r="A94" s="395" t="s">
        <v>652</v>
      </c>
      <c r="B94" s="386"/>
      <c r="C94" s="398"/>
      <c r="D94" s="386"/>
      <c r="E94" s="386"/>
    </row>
    <row r="95" spans="1:5" x14ac:dyDescent="0.25">
      <c r="A95" s="395" t="s">
        <v>653</v>
      </c>
      <c r="B95" s="386"/>
      <c r="C95" s="398"/>
      <c r="D95" s="386"/>
      <c r="E95" s="386"/>
    </row>
    <row r="96" spans="1:5" x14ac:dyDescent="0.25">
      <c r="A96" s="395" t="s">
        <v>654</v>
      </c>
      <c r="B96" s="386"/>
      <c r="C96" s="398"/>
      <c r="D96" s="386"/>
      <c r="E96" s="386"/>
    </row>
    <row r="97" spans="1:5" ht="30" x14ac:dyDescent="0.25">
      <c r="A97" s="395" t="s">
        <v>846</v>
      </c>
      <c r="B97" s="386"/>
      <c r="C97" s="398"/>
      <c r="D97" s="386"/>
      <c r="E97" s="386"/>
    </row>
    <row r="98" spans="1:5" x14ac:dyDescent="0.25">
      <c r="A98" s="395" t="s">
        <v>655</v>
      </c>
      <c r="B98" s="386"/>
      <c r="C98" s="398"/>
      <c r="D98" s="386"/>
      <c r="E98" s="386"/>
    </row>
    <row r="99" spans="1:5" x14ac:dyDescent="0.25">
      <c r="A99" s="395" t="s">
        <v>847</v>
      </c>
      <c r="B99" s="386"/>
      <c r="C99" s="398"/>
      <c r="D99" s="386"/>
      <c r="E99" s="386"/>
    </row>
    <row r="100" spans="1:5" ht="30" x14ac:dyDescent="0.25">
      <c r="A100" s="395" t="s">
        <v>848</v>
      </c>
      <c r="B100" s="386"/>
      <c r="C100" s="398"/>
      <c r="D100" s="386"/>
      <c r="E100" s="386"/>
    </row>
    <row r="101" spans="1:5" x14ac:dyDescent="0.25">
      <c r="A101" s="395" t="s">
        <v>656</v>
      </c>
      <c r="B101" s="386"/>
      <c r="C101" s="398"/>
      <c r="D101" s="386"/>
      <c r="E101" s="386"/>
    </row>
    <row r="102" spans="1:5" ht="30" x14ac:dyDescent="0.25">
      <c r="A102" s="395" t="s">
        <v>657</v>
      </c>
      <c r="B102" s="386"/>
      <c r="C102" s="398"/>
      <c r="D102" s="386"/>
      <c r="E102" s="386"/>
    </row>
    <row r="103" spans="1:5" x14ac:dyDescent="0.25">
      <c r="A103" s="395" t="s">
        <v>658</v>
      </c>
      <c r="B103" s="386"/>
      <c r="C103" s="398"/>
      <c r="D103" s="386"/>
      <c r="E103" s="386"/>
    </row>
    <row r="104" spans="1:5" ht="30" x14ac:dyDescent="0.25">
      <c r="A104" s="395" t="s">
        <v>659</v>
      </c>
      <c r="B104" s="386"/>
      <c r="C104" s="398"/>
      <c r="D104" s="386"/>
      <c r="E104" s="386"/>
    </row>
    <row r="105" spans="1:5" x14ac:dyDescent="0.25">
      <c r="A105" s="395" t="s">
        <v>660</v>
      </c>
      <c r="B105" s="386"/>
      <c r="C105" s="398"/>
      <c r="D105" s="386"/>
      <c r="E105" s="386"/>
    </row>
    <row r="106" spans="1:5" x14ac:dyDescent="0.25">
      <c r="A106" s="395" t="s">
        <v>661</v>
      </c>
      <c r="B106" s="386"/>
      <c r="C106" s="398"/>
      <c r="D106" s="386"/>
      <c r="E106" s="386"/>
    </row>
    <row r="107" spans="1:5" x14ac:dyDescent="0.25">
      <c r="A107" s="395" t="s">
        <v>849</v>
      </c>
      <c r="B107" s="386"/>
      <c r="C107" s="398"/>
      <c r="D107" s="386"/>
      <c r="E107" s="386"/>
    </row>
    <row r="108" spans="1:5" x14ac:dyDescent="0.25">
      <c r="A108" s="395" t="s">
        <v>850</v>
      </c>
      <c r="B108" s="386"/>
      <c r="C108" s="398"/>
      <c r="D108" s="386"/>
      <c r="E108" s="386"/>
    </row>
    <row r="109" spans="1:5" x14ac:dyDescent="0.25">
      <c r="A109" s="395" t="s">
        <v>851</v>
      </c>
      <c r="B109" s="386"/>
      <c r="C109" s="398"/>
      <c r="D109" s="386"/>
      <c r="E109" s="386"/>
    </row>
    <row r="110" spans="1:5" x14ac:dyDescent="0.25">
      <c r="A110" s="395" t="s">
        <v>662</v>
      </c>
      <c r="B110" s="386"/>
      <c r="C110" s="398"/>
      <c r="D110" s="386"/>
      <c r="E110" s="386"/>
    </row>
    <row r="111" spans="1:5" x14ac:dyDescent="0.25">
      <c r="A111" s="395" t="s">
        <v>663</v>
      </c>
      <c r="B111" s="659"/>
      <c r="C111" s="398"/>
      <c r="D111" s="386"/>
      <c r="E111" s="386"/>
    </row>
    <row r="112" spans="1:5" x14ac:dyDescent="0.25">
      <c r="A112" s="395" t="s">
        <v>664</v>
      </c>
      <c r="B112" s="659">
        <f>E112/D112</f>
        <v>0.12</v>
      </c>
      <c r="C112" s="398" t="s">
        <v>577</v>
      </c>
      <c r="D112" s="386">
        <v>1632000</v>
      </c>
      <c r="E112" s="386">
        <v>195840</v>
      </c>
    </row>
    <row r="113" spans="1:5" x14ac:dyDescent="0.25">
      <c r="A113" s="395" t="s">
        <v>665</v>
      </c>
      <c r="B113" s="386"/>
      <c r="C113" s="398"/>
      <c r="D113" s="386"/>
      <c r="E113" s="386">
        <v>137322</v>
      </c>
    </row>
    <row r="114" spans="1:5" x14ac:dyDescent="0.25">
      <c r="A114" s="395" t="s">
        <v>1122</v>
      </c>
      <c r="B114" s="386"/>
      <c r="C114" s="398"/>
      <c r="D114" s="386"/>
      <c r="E114" s="386">
        <v>672703</v>
      </c>
    </row>
    <row r="115" spans="1:5" x14ac:dyDescent="0.25">
      <c r="A115" s="400" t="s">
        <v>1126</v>
      </c>
      <c r="B115" s="660"/>
      <c r="C115" s="661"/>
      <c r="D115" s="660"/>
      <c r="E115" s="439">
        <f>SUM(E116:E117)</f>
        <v>7423394</v>
      </c>
    </row>
    <row r="116" spans="1:5" x14ac:dyDescent="0.25">
      <c r="A116" s="662" t="s">
        <v>852</v>
      </c>
      <c r="B116" s="399">
        <f>[1]infó!B2</f>
        <v>6299</v>
      </c>
      <c r="C116" s="663" t="s">
        <v>577</v>
      </c>
      <c r="D116" s="399">
        <v>1140</v>
      </c>
      <c r="E116" s="399">
        <f>B116*1140</f>
        <v>7180860</v>
      </c>
    </row>
    <row r="117" spans="1:5" x14ac:dyDescent="0.25">
      <c r="A117" s="662" t="s">
        <v>1125</v>
      </c>
      <c r="B117" s="386"/>
      <c r="C117" s="398"/>
      <c r="D117" s="386"/>
      <c r="E117" s="386">
        <v>242534</v>
      </c>
    </row>
    <row r="118" spans="1:5" x14ac:dyDescent="0.25">
      <c r="A118" s="664" t="s">
        <v>1109</v>
      </c>
      <c r="B118" s="439"/>
      <c r="C118" s="440"/>
      <c r="D118" s="439"/>
      <c r="E118" s="439">
        <v>1045986</v>
      </c>
    </row>
    <row r="119" spans="1:5" x14ac:dyDescent="0.25">
      <c r="A119" s="395"/>
      <c r="B119" s="386"/>
      <c r="C119" s="398"/>
      <c r="D119" s="386"/>
      <c r="E119" s="386"/>
    </row>
    <row r="120" spans="1:5" ht="15.75" thickBot="1" x14ac:dyDescent="0.3">
      <c r="A120" s="406"/>
      <c r="B120" s="407"/>
      <c r="C120" s="408"/>
      <c r="D120" s="407"/>
      <c r="E120" s="407"/>
    </row>
    <row r="121" spans="1:5" ht="16.5" thickTop="1" thickBot="1" x14ac:dyDescent="0.3">
      <c r="A121" s="749" t="s">
        <v>853</v>
      </c>
      <c r="B121" s="750"/>
      <c r="C121" s="751"/>
      <c r="D121" s="409"/>
      <c r="E121" s="410">
        <f>E115+E31+E29+E118</f>
        <v>118730223</v>
      </c>
    </row>
    <row r="122" spans="1:5" ht="15.75" thickTop="1" x14ac:dyDescent="0.25"/>
  </sheetData>
  <mergeCells count="5">
    <mergeCell ref="B1:B2"/>
    <mergeCell ref="C1:C2"/>
    <mergeCell ref="E1:E2"/>
    <mergeCell ref="A121:C121"/>
    <mergeCell ref="D1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&amp;CTaksony Nagyközség Önkormányzat 2016. évi költségvetés 
2. sz. módosítás&amp;R7.sz. melléklet</oddHeader>
    <oddFooter xml:space="preserve">&amp;LKészült: &amp;D
&amp;R/:Kreisz László://:Dr.Micheller Anita:/       </oddFooter>
  </headerFooter>
  <rowBreaks count="2" manualBreakCount="2">
    <brk id="62" max="16383" man="1"/>
    <brk id="15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2:G54"/>
  <sheetViews>
    <sheetView workbookViewId="0">
      <selection activeCell="E54" sqref="E54"/>
    </sheetView>
  </sheetViews>
  <sheetFormatPr defaultRowHeight="12.75" x14ac:dyDescent="0.2"/>
  <cols>
    <col min="1" max="1" width="2.7109375" style="120" customWidth="1"/>
    <col min="2" max="2" width="5.28515625" style="120" customWidth="1"/>
    <col min="3" max="3" width="44.42578125" style="120" bestFit="1" customWidth="1"/>
    <col min="4" max="16384" width="9.140625" style="120"/>
  </cols>
  <sheetData>
    <row r="2" spans="1:7" ht="14.25" x14ac:dyDescent="0.2">
      <c r="A2" s="752" t="s">
        <v>541</v>
      </c>
      <c r="B2" s="752"/>
      <c r="C2" s="752"/>
      <c r="D2" s="752"/>
      <c r="E2" s="752"/>
      <c r="F2" s="752"/>
    </row>
    <row r="3" spans="1:7" ht="13.5" thickBot="1" x14ac:dyDescent="0.25"/>
    <row r="4" spans="1:7" x14ac:dyDescent="0.2">
      <c r="A4" s="753" t="s">
        <v>522</v>
      </c>
      <c r="B4" s="754"/>
      <c r="C4" s="121" t="s">
        <v>523</v>
      </c>
      <c r="D4" s="121" t="s">
        <v>524</v>
      </c>
      <c r="E4" s="121" t="s">
        <v>525</v>
      </c>
      <c r="F4" s="122" t="s">
        <v>526</v>
      </c>
    </row>
    <row r="5" spans="1:7" x14ac:dyDescent="0.2">
      <c r="A5" s="127" t="s">
        <v>105</v>
      </c>
      <c r="B5" s="136"/>
      <c r="C5" s="124" t="s">
        <v>527</v>
      </c>
      <c r="D5" s="125">
        <f>SUM(D6:D19)</f>
        <v>92900</v>
      </c>
      <c r="E5" s="125">
        <f>SUM(E6:E19)</f>
        <v>18693.990000000002</v>
      </c>
      <c r="F5" s="125">
        <f t="shared" ref="F5" si="0">SUM(F6:F19)</f>
        <v>111593.99</v>
      </c>
      <c r="G5" s="185"/>
    </row>
    <row r="6" spans="1:7" x14ac:dyDescent="0.2">
      <c r="A6" s="127"/>
      <c r="B6" s="137" t="s">
        <v>528</v>
      </c>
      <c r="C6" s="138" t="s">
        <v>966</v>
      </c>
      <c r="D6" s="142">
        <v>6450</v>
      </c>
      <c r="E6" s="128">
        <f>F6-D6</f>
        <v>1741.5</v>
      </c>
      <c r="F6" s="129">
        <f>D6*1.27</f>
        <v>8191.5</v>
      </c>
    </row>
    <row r="7" spans="1:7" x14ac:dyDescent="0.2">
      <c r="A7" s="127"/>
      <c r="B7" s="137" t="s">
        <v>529</v>
      </c>
      <c r="C7" s="138" t="s">
        <v>967</v>
      </c>
      <c r="D7" s="142">
        <v>400</v>
      </c>
      <c r="E7" s="128">
        <f>F7-D7</f>
        <v>108</v>
      </c>
      <c r="F7" s="129">
        <f>D7*1.27</f>
        <v>508</v>
      </c>
    </row>
    <row r="8" spans="1:7" x14ac:dyDescent="0.2">
      <c r="A8" s="127"/>
      <c r="B8" s="137" t="s">
        <v>777</v>
      </c>
      <c r="C8" s="138" t="s">
        <v>968</v>
      </c>
      <c r="D8" s="128">
        <v>25663</v>
      </c>
      <c r="E8" s="128"/>
      <c r="F8" s="129">
        <f>SUM(D8:E8)</f>
        <v>25663</v>
      </c>
    </row>
    <row r="9" spans="1:7" x14ac:dyDescent="0.2">
      <c r="A9" s="127"/>
      <c r="B9" s="137" t="s">
        <v>778</v>
      </c>
      <c r="C9" s="138" t="s">
        <v>969</v>
      </c>
      <c r="D9" s="128">
        <v>35000</v>
      </c>
      <c r="E9" s="128">
        <v>9990</v>
      </c>
      <c r="F9" s="129">
        <f>SUM(D9:E9)</f>
        <v>44990</v>
      </c>
    </row>
    <row r="10" spans="1:7" x14ac:dyDescent="0.2">
      <c r="A10" s="127"/>
      <c r="B10" s="137" t="s">
        <v>780</v>
      </c>
      <c r="C10" s="138" t="s">
        <v>1041</v>
      </c>
      <c r="D10" s="128">
        <v>3000</v>
      </c>
      <c r="E10" s="128">
        <f>D10*27%</f>
        <v>810</v>
      </c>
      <c r="F10" s="129">
        <f t="shared" ref="F10:F13" si="1">D10*1.27</f>
        <v>3810</v>
      </c>
    </row>
    <row r="11" spans="1:7" x14ac:dyDescent="0.2">
      <c r="A11" s="127"/>
      <c r="B11" s="137" t="s">
        <v>781</v>
      </c>
      <c r="C11" s="138" t="s">
        <v>1042</v>
      </c>
      <c r="D11" s="142">
        <v>2500</v>
      </c>
      <c r="E11" s="128">
        <f>D11*27%</f>
        <v>675</v>
      </c>
      <c r="F11" s="129">
        <f t="shared" si="1"/>
        <v>3175</v>
      </c>
    </row>
    <row r="12" spans="1:7" s="325" customFormat="1" x14ac:dyDescent="0.2">
      <c r="A12" s="127"/>
      <c r="B12" s="137" t="s">
        <v>785</v>
      </c>
      <c r="C12" s="138" t="s">
        <v>1155</v>
      </c>
      <c r="D12" s="142">
        <v>6777</v>
      </c>
      <c r="E12" s="128">
        <f>D12*27%</f>
        <v>1829.7900000000002</v>
      </c>
      <c r="F12" s="129">
        <f t="shared" si="1"/>
        <v>8606.7900000000009</v>
      </c>
    </row>
    <row r="13" spans="1:7" s="325" customFormat="1" x14ac:dyDescent="0.2">
      <c r="A13" s="127"/>
      <c r="B13" s="137" t="s">
        <v>975</v>
      </c>
      <c r="C13" s="138" t="s">
        <v>779</v>
      </c>
      <c r="D13" s="128">
        <v>9000</v>
      </c>
      <c r="E13" s="128">
        <f>F13-D13</f>
        <v>2430</v>
      </c>
      <c r="F13" s="129">
        <f t="shared" si="1"/>
        <v>11430</v>
      </c>
    </row>
    <row r="14" spans="1:7" x14ac:dyDescent="0.2">
      <c r="A14" s="127"/>
      <c r="B14" s="137" t="s">
        <v>976</v>
      </c>
      <c r="C14" s="138" t="s">
        <v>970</v>
      </c>
      <c r="D14" s="142">
        <v>500</v>
      </c>
      <c r="E14" s="128">
        <f t="shared" ref="E14:E16" si="2">F14-D14</f>
        <v>135</v>
      </c>
      <c r="F14" s="129">
        <f t="shared" ref="F14:F16" si="3">D14*1.27</f>
        <v>635</v>
      </c>
    </row>
    <row r="15" spans="1:7" s="325" customFormat="1" x14ac:dyDescent="0.2">
      <c r="A15" s="127"/>
      <c r="B15" s="137" t="s">
        <v>977</v>
      </c>
      <c r="C15" s="138" t="s">
        <v>971</v>
      </c>
      <c r="D15" s="128">
        <v>210</v>
      </c>
      <c r="E15" s="128">
        <f t="shared" si="2"/>
        <v>56.699999999999989</v>
      </c>
      <c r="F15" s="129">
        <f t="shared" si="3"/>
        <v>266.7</v>
      </c>
    </row>
    <row r="16" spans="1:7" s="325" customFormat="1" x14ac:dyDescent="0.2">
      <c r="A16" s="127"/>
      <c r="B16" s="137" t="s">
        <v>978</v>
      </c>
      <c r="C16" s="138" t="s">
        <v>972</v>
      </c>
      <c r="D16" s="128">
        <v>2000</v>
      </c>
      <c r="E16" s="128">
        <f t="shared" si="2"/>
        <v>540</v>
      </c>
      <c r="F16" s="129">
        <f t="shared" si="3"/>
        <v>2540</v>
      </c>
    </row>
    <row r="17" spans="1:6" s="325" customFormat="1" x14ac:dyDescent="0.2">
      <c r="A17" s="127"/>
      <c r="B17" s="137" t="s">
        <v>1054</v>
      </c>
      <c r="C17" s="138" t="s">
        <v>973</v>
      </c>
      <c r="D17" s="128">
        <v>600</v>
      </c>
      <c r="E17" s="128">
        <f t="shared" ref="E17:E18" si="4">F17-D17</f>
        <v>162</v>
      </c>
      <c r="F17" s="129">
        <f t="shared" ref="F17:F18" si="5">D17*1.27</f>
        <v>762</v>
      </c>
    </row>
    <row r="18" spans="1:6" s="325" customFormat="1" x14ac:dyDescent="0.2">
      <c r="A18" s="127"/>
      <c r="B18" s="137" t="s">
        <v>1154</v>
      </c>
      <c r="C18" s="138" t="s">
        <v>974</v>
      </c>
      <c r="D18" s="128">
        <v>800</v>
      </c>
      <c r="E18" s="128">
        <f t="shared" si="4"/>
        <v>216</v>
      </c>
      <c r="F18" s="129">
        <f t="shared" si="5"/>
        <v>1016</v>
      </c>
    </row>
    <row r="19" spans="1:6" s="325" customFormat="1" x14ac:dyDescent="0.2">
      <c r="A19" s="127"/>
      <c r="B19" s="137"/>
      <c r="C19" s="138"/>
      <c r="D19" s="128"/>
      <c r="E19" s="128"/>
      <c r="F19" s="129"/>
    </row>
    <row r="20" spans="1:6" s="325" customFormat="1" x14ac:dyDescent="0.2">
      <c r="A20" s="493"/>
      <c r="B20" s="487"/>
      <c r="C20" s="488"/>
      <c r="D20" s="489"/>
      <c r="E20" s="489"/>
      <c r="F20" s="490"/>
    </row>
    <row r="21" spans="1:6" s="325" customFormat="1" x14ac:dyDescent="0.2">
      <c r="A21" s="127"/>
      <c r="B21" s="139"/>
      <c r="C21" s="373"/>
      <c r="D21" s="128"/>
      <c r="E21" s="128"/>
      <c r="F21" s="129"/>
    </row>
    <row r="22" spans="1:6" x14ac:dyDescent="0.2">
      <c r="A22" s="123" t="s">
        <v>106</v>
      </c>
      <c r="B22" s="140"/>
      <c r="C22" s="326" t="s">
        <v>540</v>
      </c>
      <c r="D22" s="125">
        <f>SUM(D23:D26)</f>
        <v>1280</v>
      </c>
      <c r="E22" s="125">
        <f t="shared" ref="E22:F22" si="6">SUM(E23:E26)</f>
        <v>345.59999999999997</v>
      </c>
      <c r="F22" s="126">
        <f t="shared" si="6"/>
        <v>1625.6</v>
      </c>
    </row>
    <row r="23" spans="1:6" x14ac:dyDescent="0.2">
      <c r="A23" s="131"/>
      <c r="B23" s="141" t="s">
        <v>530</v>
      </c>
      <c r="C23" s="329" t="s">
        <v>983</v>
      </c>
      <c r="D23" s="142">
        <f>300+115</f>
        <v>415</v>
      </c>
      <c r="E23" s="128">
        <f>F23-D23</f>
        <v>112.04999999999995</v>
      </c>
      <c r="F23" s="129">
        <f>D23*1.27</f>
        <v>527.04999999999995</v>
      </c>
    </row>
    <row r="24" spans="1:6" x14ac:dyDescent="0.2">
      <c r="A24" s="131"/>
      <c r="B24" s="141" t="s">
        <v>531</v>
      </c>
      <c r="C24" s="329" t="s">
        <v>980</v>
      </c>
      <c r="D24" s="128">
        <v>300</v>
      </c>
      <c r="E24" s="128">
        <f>F24-D24</f>
        <v>81</v>
      </c>
      <c r="F24" s="129">
        <f>D24*1.27</f>
        <v>381</v>
      </c>
    </row>
    <row r="25" spans="1:6" x14ac:dyDescent="0.2">
      <c r="A25" s="131"/>
      <c r="B25" s="141" t="s">
        <v>991</v>
      </c>
      <c r="C25" s="329" t="s">
        <v>981</v>
      </c>
      <c r="D25" s="128">
        <v>65</v>
      </c>
      <c r="E25" s="128">
        <f t="shared" ref="E25:E26" si="7">F25-D25</f>
        <v>17.549999999999997</v>
      </c>
      <c r="F25" s="129">
        <f t="shared" ref="F25:F26" si="8">D25*1.27</f>
        <v>82.55</v>
      </c>
    </row>
    <row r="26" spans="1:6" s="325" customFormat="1" x14ac:dyDescent="0.2">
      <c r="A26" s="131"/>
      <c r="B26" s="141" t="s">
        <v>992</v>
      </c>
      <c r="C26" s="329" t="s">
        <v>982</v>
      </c>
      <c r="D26" s="128">
        <v>500</v>
      </c>
      <c r="E26" s="128">
        <f t="shared" si="7"/>
        <v>135</v>
      </c>
      <c r="F26" s="129">
        <f t="shared" si="8"/>
        <v>635</v>
      </c>
    </row>
    <row r="27" spans="1:6" s="325" customFormat="1" x14ac:dyDescent="0.2">
      <c r="A27" s="494"/>
      <c r="B27" s="491"/>
      <c r="C27" s="492"/>
      <c r="D27" s="489"/>
      <c r="E27" s="489"/>
      <c r="F27" s="490"/>
    </row>
    <row r="28" spans="1:6" s="325" customFormat="1" x14ac:dyDescent="0.2">
      <c r="A28" s="131"/>
      <c r="B28" s="141"/>
      <c r="C28" s="329"/>
      <c r="D28" s="128"/>
      <c r="E28" s="128"/>
      <c r="F28" s="129"/>
    </row>
    <row r="29" spans="1:6" x14ac:dyDescent="0.2">
      <c r="A29" s="133" t="s">
        <v>107</v>
      </c>
      <c r="B29" s="144"/>
      <c r="C29" s="326" t="s">
        <v>537</v>
      </c>
      <c r="D29" s="125">
        <f>SUM(D30:D32)</f>
        <v>292</v>
      </c>
      <c r="E29" s="125">
        <f t="shared" ref="E29:F29" si="9">SUM(E30:E32)</f>
        <v>78.84</v>
      </c>
      <c r="F29" s="126">
        <f t="shared" si="9"/>
        <v>370.84000000000003</v>
      </c>
    </row>
    <row r="30" spans="1:6" x14ac:dyDescent="0.2">
      <c r="A30" s="131"/>
      <c r="B30" s="141" t="s">
        <v>532</v>
      </c>
      <c r="C30" s="329" t="s">
        <v>979</v>
      </c>
      <c r="D30" s="128">
        <v>150</v>
      </c>
      <c r="E30" s="128">
        <f>F30-D30</f>
        <v>40.5</v>
      </c>
      <c r="F30" s="129">
        <f>D30*1.27</f>
        <v>190.5</v>
      </c>
    </row>
    <row r="31" spans="1:6" x14ac:dyDescent="0.2">
      <c r="A31" s="131"/>
      <c r="B31" s="141" t="s">
        <v>533</v>
      </c>
      <c r="C31" s="329" t="s">
        <v>984</v>
      </c>
      <c r="D31" s="128">
        <v>47</v>
      </c>
      <c r="E31" s="128">
        <f t="shared" ref="E31:E32" si="10">F31-D31</f>
        <v>12.689999999999998</v>
      </c>
      <c r="F31" s="129">
        <f t="shared" ref="F31:F32" si="11">D31*1.27</f>
        <v>59.69</v>
      </c>
    </row>
    <row r="32" spans="1:6" x14ac:dyDescent="0.2">
      <c r="A32" s="131"/>
      <c r="B32" s="141" t="s">
        <v>990</v>
      </c>
      <c r="C32" s="329" t="s">
        <v>981</v>
      </c>
      <c r="D32" s="128">
        <v>95</v>
      </c>
      <c r="E32" s="128">
        <f t="shared" si="10"/>
        <v>25.650000000000006</v>
      </c>
      <c r="F32" s="129">
        <f t="shared" si="11"/>
        <v>120.65</v>
      </c>
    </row>
    <row r="33" spans="1:6" s="325" customFormat="1" x14ac:dyDescent="0.2">
      <c r="A33" s="494"/>
      <c r="B33" s="491"/>
      <c r="C33" s="492"/>
      <c r="D33" s="489"/>
      <c r="E33" s="489"/>
      <c r="F33" s="490"/>
    </row>
    <row r="34" spans="1:6" s="325" customFormat="1" x14ac:dyDescent="0.2">
      <c r="A34" s="131"/>
      <c r="B34" s="141"/>
      <c r="C34" s="329"/>
      <c r="D34" s="128"/>
      <c r="E34" s="128"/>
      <c r="F34" s="129"/>
    </row>
    <row r="35" spans="1:6" x14ac:dyDescent="0.2">
      <c r="A35" s="133" t="s">
        <v>108</v>
      </c>
      <c r="B35" s="144"/>
      <c r="C35" s="326" t="s">
        <v>534</v>
      </c>
      <c r="D35" s="125">
        <f>SUM(D36:D47)</f>
        <v>5743</v>
      </c>
      <c r="E35" s="125">
        <f t="shared" ref="E35:F35" si="12">SUM(E36:E47)</f>
        <v>1550.6100000000004</v>
      </c>
      <c r="F35" s="126">
        <f t="shared" si="12"/>
        <v>7293.61</v>
      </c>
    </row>
    <row r="36" spans="1:6" x14ac:dyDescent="0.2">
      <c r="A36" s="131"/>
      <c r="B36" s="141" t="s">
        <v>535</v>
      </c>
      <c r="C36" s="329" t="s">
        <v>985</v>
      </c>
      <c r="D36" s="128">
        <v>50</v>
      </c>
      <c r="E36" s="128">
        <f>D36*27%</f>
        <v>13.5</v>
      </c>
      <c r="F36" s="129">
        <f>D36+E36</f>
        <v>63.5</v>
      </c>
    </row>
    <row r="37" spans="1:6" x14ac:dyDescent="0.2">
      <c r="A37" s="131"/>
      <c r="B37" s="141" t="s">
        <v>536</v>
      </c>
      <c r="C37" s="329" t="s">
        <v>986</v>
      </c>
      <c r="D37" s="128">
        <v>598</v>
      </c>
      <c r="E37" s="128">
        <f t="shared" ref="E37:E41" si="13">D37*27%</f>
        <v>161.46</v>
      </c>
      <c r="F37" s="129">
        <f t="shared" ref="F37:F47" si="14">D37+E37</f>
        <v>759.46</v>
      </c>
    </row>
    <row r="38" spans="1:6" x14ac:dyDescent="0.2">
      <c r="A38" s="131"/>
      <c r="B38" s="141" t="s">
        <v>993</v>
      </c>
      <c r="C38" s="329" t="s">
        <v>987</v>
      </c>
      <c r="D38" s="128">
        <v>790</v>
      </c>
      <c r="E38" s="128">
        <f t="shared" si="13"/>
        <v>213.3</v>
      </c>
      <c r="F38" s="129">
        <f t="shared" si="14"/>
        <v>1003.3</v>
      </c>
    </row>
    <row r="39" spans="1:6" s="325" customFormat="1" x14ac:dyDescent="0.2">
      <c r="A39" s="131"/>
      <c r="B39" s="141" t="s">
        <v>994</v>
      </c>
      <c r="C39" s="329" t="s">
        <v>988</v>
      </c>
      <c r="D39" s="128">
        <v>598</v>
      </c>
      <c r="E39" s="128">
        <f t="shared" si="13"/>
        <v>161.46</v>
      </c>
      <c r="F39" s="129">
        <f t="shared" si="14"/>
        <v>759.46</v>
      </c>
    </row>
    <row r="40" spans="1:6" s="325" customFormat="1" x14ac:dyDescent="0.2">
      <c r="A40" s="131"/>
      <c r="B40" s="141" t="s">
        <v>995</v>
      </c>
      <c r="C40" s="329" t="s">
        <v>989</v>
      </c>
      <c r="D40" s="128">
        <v>239</v>
      </c>
      <c r="E40" s="128">
        <f t="shared" si="13"/>
        <v>64.53</v>
      </c>
      <c r="F40" s="129">
        <f t="shared" si="14"/>
        <v>303.52999999999997</v>
      </c>
    </row>
    <row r="41" spans="1:6" s="325" customFormat="1" x14ac:dyDescent="0.2">
      <c r="A41" s="131"/>
      <c r="B41" s="141" t="s">
        <v>996</v>
      </c>
      <c r="C41" s="329" t="s">
        <v>979</v>
      </c>
      <c r="D41" s="128">
        <v>250</v>
      </c>
      <c r="E41" s="128">
        <f t="shared" si="13"/>
        <v>67.5</v>
      </c>
      <c r="F41" s="129">
        <f t="shared" si="14"/>
        <v>317.5</v>
      </c>
    </row>
    <row r="42" spans="1:6" s="325" customFormat="1" x14ac:dyDescent="0.2">
      <c r="A42" s="131"/>
      <c r="B42" s="141" t="s">
        <v>997</v>
      </c>
      <c r="C42" s="329" t="s">
        <v>916</v>
      </c>
      <c r="D42" s="128">
        <v>397</v>
      </c>
      <c r="E42" s="128">
        <f>D42*27%</f>
        <v>107.19000000000001</v>
      </c>
      <c r="F42" s="129">
        <f t="shared" si="14"/>
        <v>504.19</v>
      </c>
    </row>
    <row r="43" spans="1:6" s="325" customFormat="1" x14ac:dyDescent="0.2">
      <c r="A43" s="131"/>
      <c r="B43" s="141" t="s">
        <v>998</v>
      </c>
      <c r="C43" s="329" t="s">
        <v>918</v>
      </c>
      <c r="D43" s="128">
        <v>154</v>
      </c>
      <c r="E43" s="128">
        <f t="shared" ref="E43:E47" si="15">D43*27%</f>
        <v>41.580000000000005</v>
      </c>
      <c r="F43" s="129">
        <f t="shared" si="14"/>
        <v>195.58</v>
      </c>
    </row>
    <row r="44" spans="1:6" s="325" customFormat="1" x14ac:dyDescent="0.2">
      <c r="A44" s="131"/>
      <c r="B44" s="141" t="s">
        <v>999</v>
      </c>
      <c r="C44" s="329" t="s">
        <v>917</v>
      </c>
      <c r="D44" s="128">
        <v>1426</v>
      </c>
      <c r="E44" s="128">
        <f t="shared" si="15"/>
        <v>385.02000000000004</v>
      </c>
      <c r="F44" s="129">
        <f t="shared" si="14"/>
        <v>1811.02</v>
      </c>
    </row>
    <row r="45" spans="1:6" s="325" customFormat="1" x14ac:dyDescent="0.2">
      <c r="A45" s="131"/>
      <c r="B45" s="141" t="s">
        <v>1000</v>
      </c>
      <c r="C45" s="329" t="s">
        <v>919</v>
      </c>
      <c r="D45" s="128">
        <v>298</v>
      </c>
      <c r="E45" s="128">
        <f t="shared" si="15"/>
        <v>80.460000000000008</v>
      </c>
      <c r="F45" s="129">
        <f t="shared" si="14"/>
        <v>378.46000000000004</v>
      </c>
    </row>
    <row r="46" spans="1:6" s="325" customFormat="1" x14ac:dyDescent="0.2">
      <c r="A46" s="131"/>
      <c r="B46" s="141" t="s">
        <v>1001</v>
      </c>
      <c r="C46" s="329" t="s">
        <v>921</v>
      </c>
      <c r="D46" s="128">
        <v>598</v>
      </c>
      <c r="E46" s="128">
        <f t="shared" si="15"/>
        <v>161.46</v>
      </c>
      <c r="F46" s="129">
        <f t="shared" si="14"/>
        <v>759.46</v>
      </c>
    </row>
    <row r="47" spans="1:6" s="325" customFormat="1" x14ac:dyDescent="0.2">
      <c r="A47" s="131"/>
      <c r="B47" s="141" t="s">
        <v>1002</v>
      </c>
      <c r="C47" s="329" t="s">
        <v>920</v>
      </c>
      <c r="D47" s="128">
        <v>345</v>
      </c>
      <c r="E47" s="128">
        <f t="shared" si="15"/>
        <v>93.15</v>
      </c>
      <c r="F47" s="129">
        <f t="shared" si="14"/>
        <v>438.15</v>
      </c>
    </row>
    <row r="48" spans="1:6" s="325" customFormat="1" x14ac:dyDescent="0.2">
      <c r="A48" s="494"/>
      <c r="B48" s="491"/>
      <c r="C48" s="492"/>
      <c r="D48" s="489"/>
      <c r="E48" s="489"/>
      <c r="F48" s="490"/>
    </row>
    <row r="49" spans="1:6" s="325" customFormat="1" x14ac:dyDescent="0.2">
      <c r="A49" s="131"/>
      <c r="B49" s="141"/>
      <c r="C49" s="329"/>
      <c r="D49" s="128"/>
      <c r="E49" s="128"/>
      <c r="F49" s="129"/>
    </row>
    <row r="50" spans="1:6" ht="13.5" customHeight="1" x14ac:dyDescent="0.2">
      <c r="A50" s="133" t="s">
        <v>109</v>
      </c>
      <c r="B50" s="141"/>
      <c r="C50" s="329" t="s">
        <v>542</v>
      </c>
      <c r="D50" s="125">
        <f>SUM(D51:D52)</f>
        <v>853</v>
      </c>
      <c r="E50" s="125">
        <f t="shared" ref="E50" si="16">SUM(E51:E52)</f>
        <v>229.76000000000002</v>
      </c>
      <c r="F50" s="125">
        <f>SUM(F51:F52)</f>
        <v>1082.76</v>
      </c>
    </row>
    <row r="51" spans="1:6" x14ac:dyDescent="0.2">
      <c r="A51" s="131"/>
      <c r="B51" s="141" t="s">
        <v>538</v>
      </c>
      <c r="C51" s="329" t="s">
        <v>1003</v>
      </c>
      <c r="D51" s="128">
        <v>488</v>
      </c>
      <c r="E51" s="128">
        <f>D51*27%</f>
        <v>131.76000000000002</v>
      </c>
      <c r="F51" s="129">
        <f t="shared" ref="F51:F52" si="17">D51+E51</f>
        <v>619.76</v>
      </c>
    </row>
    <row r="52" spans="1:6" x14ac:dyDescent="0.2">
      <c r="A52" s="131"/>
      <c r="B52" s="141" t="s">
        <v>539</v>
      </c>
      <c r="C52" s="329" t="s">
        <v>979</v>
      </c>
      <c r="D52" s="128">
        <v>365</v>
      </c>
      <c r="E52" s="128">
        <v>98</v>
      </c>
      <c r="F52" s="129">
        <f t="shared" si="17"/>
        <v>463</v>
      </c>
    </row>
    <row r="53" spans="1:6" x14ac:dyDescent="0.2">
      <c r="A53" s="131"/>
      <c r="B53" s="141"/>
      <c r="C53" s="329"/>
      <c r="D53" s="128"/>
      <c r="E53" s="128"/>
      <c r="F53" s="129"/>
    </row>
    <row r="54" spans="1:6" ht="13.5" thickBot="1" x14ac:dyDescent="0.25">
      <c r="A54" s="498"/>
      <c r="B54" s="495"/>
      <c r="C54" s="496" t="s">
        <v>554</v>
      </c>
      <c r="D54" s="497">
        <f>SUM(D5,D22,D29,D35,D50)</f>
        <v>101068</v>
      </c>
      <c r="E54" s="497">
        <f t="shared" ref="E54:F54" si="18">SUM(E5,E22,E29,E35,E50)</f>
        <v>20898.8</v>
      </c>
      <c r="F54" s="499">
        <f t="shared" si="18"/>
        <v>121966.8</v>
      </c>
    </row>
  </sheetData>
  <mergeCells count="2">
    <mergeCell ref="A2:F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&amp;CTaksony Nagyközség Önkormányzat 2016. évi költségvetés 
2. sz. módosítás&amp;R8.sz. melléklet</oddHeader>
    <oddFooter xml:space="preserve">&amp;LKészült: &amp;D
&amp;R/:Kreisz László://:Dr.Micheller Anita:/       </oddFooter>
  </headerFooter>
  <colBreaks count="1" manualBreakCount="1">
    <brk id="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2:F28"/>
  <sheetViews>
    <sheetView workbookViewId="0">
      <selection activeCell="G32" sqref="G32"/>
    </sheetView>
  </sheetViews>
  <sheetFormatPr defaultRowHeight="12.75" x14ac:dyDescent="0.2"/>
  <cols>
    <col min="1" max="1" width="4.5703125" style="120" customWidth="1"/>
    <col min="2" max="2" width="4.140625" style="120" bestFit="1" customWidth="1"/>
    <col min="3" max="3" width="51.42578125" style="120" bestFit="1" customWidth="1"/>
    <col min="4" max="16384" width="9.140625" style="120"/>
  </cols>
  <sheetData>
    <row r="2" spans="1:6" ht="14.25" x14ac:dyDescent="0.2">
      <c r="A2" s="752" t="s">
        <v>521</v>
      </c>
      <c r="B2" s="752"/>
      <c r="C2" s="752"/>
      <c r="D2" s="752"/>
      <c r="E2" s="752"/>
      <c r="F2" s="752"/>
    </row>
    <row r="3" spans="1:6" ht="13.5" thickBot="1" x14ac:dyDescent="0.25"/>
    <row r="4" spans="1:6" x14ac:dyDescent="0.2">
      <c r="A4" s="753" t="s">
        <v>522</v>
      </c>
      <c r="B4" s="754"/>
      <c r="C4" s="121" t="s">
        <v>523</v>
      </c>
      <c r="D4" s="121" t="s">
        <v>524</v>
      </c>
      <c r="E4" s="121" t="s">
        <v>525</v>
      </c>
      <c r="F4" s="122" t="s">
        <v>526</v>
      </c>
    </row>
    <row r="5" spans="1:6" x14ac:dyDescent="0.2">
      <c r="A5" s="127" t="s">
        <v>105</v>
      </c>
      <c r="B5" s="136"/>
      <c r="C5" s="124" t="s">
        <v>527</v>
      </c>
      <c r="D5" s="125">
        <f>SUM(D6:D10)</f>
        <v>46982</v>
      </c>
      <c r="E5" s="125">
        <f t="shared" ref="E5:F5" si="0">SUM(E6:E10)</f>
        <v>9018</v>
      </c>
      <c r="F5" s="125">
        <f t="shared" si="0"/>
        <v>56000</v>
      </c>
    </row>
    <row r="6" spans="1:6" x14ac:dyDescent="0.2">
      <c r="A6" s="127"/>
      <c r="B6" s="137" t="s">
        <v>528</v>
      </c>
      <c r="C6" s="138" t="s">
        <v>1004</v>
      </c>
      <c r="D6" s="128">
        <v>19080</v>
      </c>
      <c r="E6" s="128">
        <f>D6*27%</f>
        <v>5151.6000000000004</v>
      </c>
      <c r="F6" s="129">
        <f>SUM(D6:E6)</f>
        <v>24231.599999999999</v>
      </c>
    </row>
    <row r="7" spans="1:6" x14ac:dyDescent="0.2">
      <c r="A7" s="127"/>
      <c r="B7" s="137" t="s">
        <v>529</v>
      </c>
      <c r="C7" s="138" t="s">
        <v>1005</v>
      </c>
      <c r="D7" s="128">
        <v>2013</v>
      </c>
      <c r="E7" s="128">
        <f t="shared" ref="E7:E9" si="1">D7*27%</f>
        <v>543.51</v>
      </c>
      <c r="F7" s="129">
        <f t="shared" ref="F7:F10" si="2">SUM(D7:E7)</f>
        <v>2556.5100000000002</v>
      </c>
    </row>
    <row r="8" spans="1:6" s="325" customFormat="1" x14ac:dyDescent="0.2">
      <c r="A8" s="127"/>
      <c r="B8" s="137" t="s">
        <v>777</v>
      </c>
      <c r="C8" s="138" t="s">
        <v>1006</v>
      </c>
      <c r="D8" s="128">
        <v>1300</v>
      </c>
      <c r="E8" s="128">
        <f t="shared" si="1"/>
        <v>351</v>
      </c>
      <c r="F8" s="129">
        <f t="shared" si="2"/>
        <v>1651</v>
      </c>
    </row>
    <row r="9" spans="1:6" s="325" customFormat="1" x14ac:dyDescent="0.2">
      <c r="A9" s="127"/>
      <c r="B9" s="137" t="s">
        <v>778</v>
      </c>
      <c r="C9" s="138" t="s">
        <v>1007</v>
      </c>
      <c r="D9" s="128">
        <v>11007</v>
      </c>
      <c r="E9" s="128">
        <f t="shared" si="1"/>
        <v>2971.8900000000003</v>
      </c>
      <c r="F9" s="129">
        <f t="shared" si="2"/>
        <v>13978.89</v>
      </c>
    </row>
    <row r="10" spans="1:6" x14ac:dyDescent="0.2">
      <c r="A10" s="127"/>
      <c r="B10" s="139" t="s">
        <v>780</v>
      </c>
      <c r="C10" s="138" t="s">
        <v>782</v>
      </c>
      <c r="D10" s="128">
        <v>13582</v>
      </c>
      <c r="E10" s="128"/>
      <c r="F10" s="129">
        <f t="shared" si="2"/>
        <v>13582</v>
      </c>
    </row>
    <row r="11" spans="1:6" s="325" customFormat="1" x14ac:dyDescent="0.2">
      <c r="A11" s="493"/>
      <c r="B11" s="487"/>
      <c r="C11" s="488"/>
      <c r="D11" s="489"/>
      <c r="E11" s="489"/>
      <c r="F11" s="490"/>
    </row>
    <row r="12" spans="1:6" x14ac:dyDescent="0.2">
      <c r="A12" s="123" t="s">
        <v>106</v>
      </c>
      <c r="B12" s="140"/>
      <c r="C12" s="130" t="s">
        <v>540</v>
      </c>
      <c r="D12" s="125">
        <f>SUM(D13:D14)</f>
        <v>0</v>
      </c>
      <c r="E12" s="125">
        <f>SUM(E13:E14)</f>
        <v>0</v>
      </c>
      <c r="F12" s="126">
        <f>SUM(F13:F14)</f>
        <v>0</v>
      </c>
    </row>
    <row r="13" spans="1:6" x14ac:dyDescent="0.2">
      <c r="A13" s="131"/>
      <c r="B13" s="141" t="s">
        <v>530</v>
      </c>
      <c r="C13" s="132"/>
      <c r="D13" s="142"/>
      <c r="E13" s="142"/>
      <c r="F13" s="143"/>
    </row>
    <row r="14" spans="1:6" x14ac:dyDescent="0.2">
      <c r="A14" s="131"/>
      <c r="B14" s="141" t="s">
        <v>531</v>
      </c>
      <c r="C14" s="132"/>
      <c r="D14" s="128"/>
      <c r="E14" s="128"/>
      <c r="F14" s="129"/>
    </row>
    <row r="15" spans="1:6" x14ac:dyDescent="0.2">
      <c r="A15" s="131"/>
      <c r="B15" s="141"/>
      <c r="C15" s="132"/>
      <c r="D15" s="128"/>
      <c r="E15" s="128"/>
      <c r="F15" s="129"/>
    </row>
    <row r="16" spans="1:6" x14ac:dyDescent="0.2">
      <c r="A16" s="133" t="s">
        <v>107</v>
      </c>
      <c r="B16" s="144"/>
      <c r="C16" s="130" t="s">
        <v>537</v>
      </c>
      <c r="D16" s="125">
        <f>SUM(D17:D18)</f>
        <v>0</v>
      </c>
      <c r="E16" s="125">
        <f>SUM(E17:E18)</f>
        <v>0</v>
      </c>
      <c r="F16" s="126">
        <f>SUM(F17:F18)</f>
        <v>0</v>
      </c>
    </row>
    <row r="17" spans="1:6" x14ac:dyDescent="0.2">
      <c r="A17" s="131"/>
      <c r="B17" s="141" t="s">
        <v>532</v>
      </c>
      <c r="C17" s="132"/>
      <c r="D17" s="128"/>
      <c r="E17" s="128"/>
      <c r="F17" s="129"/>
    </row>
    <row r="18" spans="1:6" x14ac:dyDescent="0.2">
      <c r="A18" s="131"/>
      <c r="B18" s="141" t="s">
        <v>533</v>
      </c>
      <c r="C18" s="132"/>
      <c r="D18" s="128"/>
      <c r="E18" s="128"/>
      <c r="F18" s="129"/>
    </row>
    <row r="19" spans="1:6" x14ac:dyDescent="0.2">
      <c r="A19" s="131"/>
      <c r="B19" s="141"/>
      <c r="C19" s="132"/>
      <c r="D19" s="128"/>
      <c r="E19" s="128"/>
      <c r="F19" s="129"/>
    </row>
    <row r="20" spans="1:6" x14ac:dyDescent="0.2">
      <c r="A20" s="133" t="s">
        <v>108</v>
      </c>
      <c r="B20" s="144"/>
      <c r="C20" s="130" t="s">
        <v>534</v>
      </c>
      <c r="D20" s="125">
        <f>SUM(D21:D22)</f>
        <v>0</v>
      </c>
      <c r="E20" s="125">
        <f>SUM(E21:E22)</f>
        <v>0</v>
      </c>
      <c r="F20" s="126">
        <f>SUM(F21:F22)</f>
        <v>0</v>
      </c>
    </row>
    <row r="21" spans="1:6" x14ac:dyDescent="0.2">
      <c r="A21" s="131"/>
      <c r="B21" s="141" t="s">
        <v>535</v>
      </c>
      <c r="C21" s="132"/>
      <c r="D21" s="128"/>
      <c r="E21" s="128"/>
      <c r="F21" s="129"/>
    </row>
    <row r="22" spans="1:6" x14ac:dyDescent="0.2">
      <c r="A22" s="131"/>
      <c r="B22" s="141" t="s">
        <v>536</v>
      </c>
      <c r="C22" s="132"/>
      <c r="D22" s="128"/>
      <c r="E22" s="128"/>
      <c r="F22" s="129"/>
    </row>
    <row r="23" spans="1:6" x14ac:dyDescent="0.2">
      <c r="A23" s="131"/>
      <c r="B23" s="141"/>
      <c r="C23" s="132"/>
      <c r="D23" s="128"/>
      <c r="E23" s="128"/>
      <c r="F23" s="129"/>
    </row>
    <row r="24" spans="1:6" x14ac:dyDescent="0.2">
      <c r="A24" s="133" t="s">
        <v>109</v>
      </c>
      <c r="B24" s="141"/>
      <c r="C24" s="130" t="s">
        <v>542</v>
      </c>
      <c r="D24" s="125">
        <f>SUM(D25:D26)</f>
        <v>0</v>
      </c>
      <c r="E24" s="125">
        <f t="shared" ref="E24:F24" si="3">SUM(E25:E26)</f>
        <v>0</v>
      </c>
      <c r="F24" s="126">
        <f t="shared" si="3"/>
        <v>0</v>
      </c>
    </row>
    <row r="25" spans="1:6" x14ac:dyDescent="0.2">
      <c r="A25" s="131"/>
      <c r="B25" s="141" t="s">
        <v>538</v>
      </c>
      <c r="C25" s="132"/>
      <c r="D25" s="128"/>
      <c r="E25" s="128"/>
      <c r="F25" s="129"/>
    </row>
    <row r="26" spans="1:6" x14ac:dyDescent="0.2">
      <c r="A26" s="131"/>
      <c r="B26" s="141" t="s">
        <v>539</v>
      </c>
      <c r="C26" s="132"/>
      <c r="D26" s="128"/>
      <c r="E26" s="128"/>
      <c r="F26" s="129"/>
    </row>
    <row r="27" spans="1:6" x14ac:dyDescent="0.2">
      <c r="A27" s="131"/>
      <c r="B27" s="141"/>
      <c r="C27" s="132"/>
      <c r="D27" s="128"/>
      <c r="E27" s="128"/>
      <c r="F27" s="129"/>
    </row>
    <row r="28" spans="1:6" ht="13.5" thickBot="1" x14ac:dyDescent="0.25">
      <c r="A28" s="134"/>
      <c r="B28" s="145"/>
      <c r="C28" s="135" t="s">
        <v>554</v>
      </c>
      <c r="D28" s="146">
        <f>SUM(D5,D12,D16,D20,D24)</f>
        <v>46982</v>
      </c>
      <c r="E28" s="146">
        <f t="shared" ref="E28:F28" si="4">SUM(E5,E12,E16,E20,E24)</f>
        <v>9018</v>
      </c>
      <c r="F28" s="147">
        <f t="shared" si="4"/>
        <v>56000</v>
      </c>
    </row>
  </sheetData>
  <mergeCells count="2">
    <mergeCell ref="A2:F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&amp;CTaksony Nagyközség Önkormányzat 2016. évi költségvetés 
2. sz. módosítás&amp;R9.sz. melléklet</oddHeader>
    <oddFooter xml:space="preserve">&amp;LKészült: &amp;D
&amp;R/:Kreisz László://:Dr.Micheller Anita:/      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2:F11"/>
  <sheetViews>
    <sheetView zoomScaleNormal="100" workbookViewId="0">
      <selection activeCell="F40" sqref="F40"/>
    </sheetView>
  </sheetViews>
  <sheetFormatPr defaultRowHeight="12.75" x14ac:dyDescent="0.2"/>
  <cols>
    <col min="1" max="1" width="56.7109375" style="120" customWidth="1"/>
    <col min="2" max="2" width="23.140625" style="120" bestFit="1" customWidth="1"/>
    <col min="3" max="3" width="19" style="120" customWidth="1"/>
    <col min="4" max="4" width="15.28515625" style="120" customWidth="1"/>
    <col min="5" max="6" width="14.140625" style="120" customWidth="1"/>
    <col min="7" max="16384" width="9.140625" style="120"/>
  </cols>
  <sheetData>
    <row r="2" spans="1:6" ht="14.25" x14ac:dyDescent="0.2">
      <c r="A2" s="755" t="s">
        <v>550</v>
      </c>
      <c r="B2" s="755"/>
      <c r="C2" s="755"/>
      <c r="D2" s="755"/>
      <c r="E2" s="755"/>
      <c r="F2" s="755"/>
    </row>
    <row r="3" spans="1:6" x14ac:dyDescent="0.2">
      <c r="A3" s="130"/>
      <c r="B3" s="130"/>
      <c r="C3" s="756" t="s">
        <v>543</v>
      </c>
      <c r="D3" s="756"/>
      <c r="E3" s="756" t="s">
        <v>544</v>
      </c>
      <c r="F3" s="756"/>
    </row>
    <row r="4" spans="1:6" ht="38.25" customHeight="1" x14ac:dyDescent="0.2">
      <c r="A4" s="327" t="s">
        <v>545</v>
      </c>
      <c r="B4" s="327" t="s">
        <v>546</v>
      </c>
      <c r="C4" s="328" t="s">
        <v>547</v>
      </c>
      <c r="D4" s="328" t="s">
        <v>551</v>
      </c>
      <c r="E4" s="327" t="s">
        <v>552</v>
      </c>
      <c r="F4" s="328" t="s">
        <v>553</v>
      </c>
    </row>
    <row r="5" spans="1:6" x14ac:dyDescent="0.2">
      <c r="A5" s="326" t="s">
        <v>548</v>
      </c>
      <c r="B5" s="329"/>
      <c r="C5" s="329"/>
      <c r="D5" s="329"/>
      <c r="E5" s="329"/>
      <c r="F5" s="329"/>
    </row>
    <row r="6" spans="1:6" x14ac:dyDescent="0.2">
      <c r="A6" s="332"/>
      <c r="B6" s="330"/>
      <c r="C6" s="329"/>
      <c r="D6" s="331"/>
      <c r="E6" s="331"/>
      <c r="F6" s="331"/>
    </row>
    <row r="7" spans="1:6" x14ac:dyDescent="0.2">
      <c r="A7" s="757"/>
      <c r="B7" s="760"/>
      <c r="C7" s="763"/>
      <c r="D7" s="766"/>
      <c r="E7" s="766"/>
      <c r="F7" s="331"/>
    </row>
    <row r="8" spans="1:6" ht="11.25" customHeight="1" x14ac:dyDescent="0.2">
      <c r="A8" s="758"/>
      <c r="B8" s="761"/>
      <c r="C8" s="764"/>
      <c r="D8" s="767"/>
      <c r="E8" s="767"/>
      <c r="F8" s="331"/>
    </row>
    <row r="9" spans="1:6" ht="13.5" thickBot="1" x14ac:dyDescent="0.25">
      <c r="A9" s="759"/>
      <c r="B9" s="762"/>
      <c r="C9" s="765"/>
      <c r="D9" s="768"/>
      <c r="E9" s="768"/>
      <c r="F9" s="334"/>
    </row>
    <row r="10" spans="1:6" ht="13.5" thickTop="1" x14ac:dyDescent="0.2">
      <c r="A10" s="333"/>
      <c r="B10" s="333"/>
      <c r="C10" s="333"/>
      <c r="D10" s="333"/>
      <c r="E10" s="333"/>
      <c r="F10" s="333"/>
    </row>
    <row r="11" spans="1:6" x14ac:dyDescent="0.2">
      <c r="A11" s="132"/>
      <c r="B11" s="132"/>
      <c r="C11" s="132"/>
      <c r="D11" s="132"/>
      <c r="E11" s="132"/>
      <c r="F11" s="132"/>
    </row>
  </sheetData>
  <mergeCells count="8">
    <mergeCell ref="A2:F2"/>
    <mergeCell ref="C3:D3"/>
    <mergeCell ref="E3:F3"/>
    <mergeCell ref="A7:A9"/>
    <mergeCell ref="B7:B9"/>
    <mergeCell ref="C7:C9"/>
    <mergeCell ref="D7:D9"/>
    <mergeCell ref="E7:E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&amp;CTaksony Nagyközség Önkormányzat 2016. évi költségvetés 
2. sz. módosítás&amp;R10.sz. melléklet</oddHeader>
    <oddFooter xml:space="preserve">&amp;LKészült: &amp;D
&amp;R/:Kreisz László://:Dr.Micheller Anita:/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view="pageBreakPreview" topLeftCell="A52" zoomScale="70" zoomScaleNormal="100" zoomScaleSheetLayoutView="70" workbookViewId="0">
      <selection activeCell="C3" sqref="C3:C15"/>
    </sheetView>
  </sheetViews>
  <sheetFormatPr defaultRowHeight="15" x14ac:dyDescent="0.25"/>
  <cols>
    <col min="1" max="1" width="6.7109375" style="21" customWidth="1"/>
    <col min="2" max="2" width="71.7109375" style="21" customWidth="1"/>
    <col min="3" max="3" width="21.85546875" style="21" customWidth="1"/>
    <col min="4" max="4" width="6.7109375" style="21" customWidth="1"/>
    <col min="5" max="5" width="71.7109375" style="21" customWidth="1"/>
    <col min="6" max="6" width="19.85546875" style="21" customWidth="1"/>
    <col min="7" max="16384" width="9.140625" style="21"/>
  </cols>
  <sheetData>
    <row r="1" spans="1:6" ht="40.5" customHeight="1" thickBot="1" x14ac:dyDescent="0.3">
      <c r="A1" s="50"/>
      <c r="B1" s="51" t="s">
        <v>103</v>
      </c>
      <c r="C1" s="52" t="s">
        <v>0</v>
      </c>
      <c r="D1" s="52"/>
      <c r="E1" s="51" t="s">
        <v>104</v>
      </c>
      <c r="F1" s="52" t="s">
        <v>0</v>
      </c>
    </row>
    <row r="2" spans="1:6" ht="20.25" customHeight="1" thickBot="1" x14ac:dyDescent="0.3">
      <c r="A2" s="53"/>
      <c r="B2" s="54" t="s">
        <v>180</v>
      </c>
      <c r="C2" s="55"/>
      <c r="D2" s="53"/>
      <c r="E2" s="54" t="s">
        <v>196</v>
      </c>
      <c r="F2" s="55"/>
    </row>
    <row r="3" spans="1:6" ht="20.25" customHeight="1" x14ac:dyDescent="0.25">
      <c r="A3" s="31" t="s">
        <v>23</v>
      </c>
      <c r="B3" s="38" t="s">
        <v>157</v>
      </c>
      <c r="C3" s="723" t="s">
        <v>151</v>
      </c>
      <c r="D3" s="31" t="s">
        <v>23</v>
      </c>
      <c r="E3" s="46" t="s">
        <v>80</v>
      </c>
      <c r="F3" s="728" t="s">
        <v>134</v>
      </c>
    </row>
    <row r="4" spans="1:6" ht="20.25" customHeight="1" x14ac:dyDescent="0.25">
      <c r="A4" s="32" t="s">
        <v>105</v>
      </c>
      <c r="B4" s="39" t="s">
        <v>201</v>
      </c>
      <c r="C4" s="724"/>
      <c r="D4" s="32" t="s">
        <v>45</v>
      </c>
      <c r="E4" s="47" t="s">
        <v>142</v>
      </c>
      <c r="F4" s="729"/>
    </row>
    <row r="5" spans="1:6" ht="24" customHeight="1" x14ac:dyDescent="0.25">
      <c r="A5" s="32"/>
      <c r="B5" s="59" t="s">
        <v>145</v>
      </c>
      <c r="C5" s="724"/>
      <c r="D5" s="32" t="s">
        <v>56</v>
      </c>
      <c r="E5" s="47" t="s">
        <v>83</v>
      </c>
      <c r="F5" s="729"/>
    </row>
    <row r="6" spans="1:6" ht="22.5" customHeight="1" x14ac:dyDescent="0.25">
      <c r="A6" s="32"/>
      <c r="B6" s="59" t="s">
        <v>146</v>
      </c>
      <c r="C6" s="724"/>
      <c r="D6" s="32" t="s">
        <v>64</v>
      </c>
      <c r="E6" s="47" t="s">
        <v>84</v>
      </c>
      <c r="F6" s="729"/>
    </row>
    <row r="7" spans="1:6" ht="24.75" customHeight="1" x14ac:dyDescent="0.25">
      <c r="A7" s="32"/>
      <c r="B7" s="59" t="s">
        <v>147</v>
      </c>
      <c r="C7" s="724"/>
      <c r="D7" s="32" t="s">
        <v>100</v>
      </c>
      <c r="E7" s="47" t="s">
        <v>195</v>
      </c>
      <c r="F7" s="730"/>
    </row>
    <row r="8" spans="1:6" ht="18" customHeight="1" x14ac:dyDescent="0.25">
      <c r="A8" s="32"/>
      <c r="B8" s="59" t="s">
        <v>148</v>
      </c>
      <c r="C8" s="724"/>
      <c r="D8" s="731"/>
      <c r="E8" s="63"/>
      <c r="F8" s="34"/>
    </row>
    <row r="9" spans="1:6" ht="20.25" customHeight="1" x14ac:dyDescent="0.25">
      <c r="A9" s="32"/>
      <c r="B9" s="59" t="s">
        <v>149</v>
      </c>
      <c r="C9" s="724"/>
      <c r="D9" s="732"/>
      <c r="E9" s="733"/>
      <c r="F9" s="734"/>
    </row>
    <row r="10" spans="1:6" ht="20.25" customHeight="1" x14ac:dyDescent="0.25">
      <c r="A10" s="32"/>
      <c r="B10" s="59" t="s">
        <v>150</v>
      </c>
      <c r="C10" s="724"/>
      <c r="D10" s="732"/>
      <c r="E10" s="733"/>
      <c r="F10" s="734"/>
    </row>
    <row r="11" spans="1:6" ht="20.25" customHeight="1" x14ac:dyDescent="0.25">
      <c r="A11" s="32" t="s">
        <v>106</v>
      </c>
      <c r="B11" s="62" t="s">
        <v>152</v>
      </c>
      <c r="C11" s="724"/>
      <c r="D11" s="732"/>
      <c r="E11" s="733"/>
      <c r="F11" s="734"/>
    </row>
    <row r="12" spans="1:6" ht="29.25" customHeight="1" x14ac:dyDescent="0.25">
      <c r="A12" s="32" t="s">
        <v>107</v>
      </c>
      <c r="B12" s="62" t="s">
        <v>153</v>
      </c>
      <c r="C12" s="724"/>
      <c r="D12" s="732"/>
      <c r="E12" s="733"/>
      <c r="F12" s="734"/>
    </row>
    <row r="13" spans="1:6" ht="29.25" customHeight="1" x14ac:dyDescent="0.25">
      <c r="A13" s="32" t="s">
        <v>108</v>
      </c>
      <c r="B13" s="62" t="s">
        <v>154</v>
      </c>
      <c r="C13" s="724"/>
      <c r="D13" s="732"/>
      <c r="E13" s="733"/>
      <c r="F13" s="734"/>
    </row>
    <row r="14" spans="1:6" ht="29.25" customHeight="1" x14ac:dyDescent="0.25">
      <c r="A14" s="32" t="s">
        <v>109</v>
      </c>
      <c r="B14" s="62" t="s">
        <v>155</v>
      </c>
      <c r="C14" s="724"/>
      <c r="D14" s="732"/>
      <c r="E14" s="733"/>
      <c r="F14" s="734"/>
    </row>
    <row r="15" spans="1:6" ht="18.75" customHeight="1" x14ac:dyDescent="0.25">
      <c r="A15" s="32" t="s">
        <v>110</v>
      </c>
      <c r="B15" s="62" t="s">
        <v>156</v>
      </c>
      <c r="C15" s="725"/>
      <c r="D15" s="732"/>
      <c r="E15" s="733"/>
      <c r="F15" s="734"/>
    </row>
    <row r="16" spans="1:6" ht="40.5" customHeight="1" x14ac:dyDescent="0.25">
      <c r="A16" s="26" t="s">
        <v>45</v>
      </c>
      <c r="B16" s="28" t="s">
        <v>9</v>
      </c>
      <c r="C16" s="722" t="s">
        <v>158</v>
      </c>
      <c r="D16" s="64"/>
      <c r="E16" s="733"/>
      <c r="F16" s="734"/>
    </row>
    <row r="17" spans="1:6" ht="20.25" customHeight="1" x14ac:dyDescent="0.25">
      <c r="A17" s="26"/>
      <c r="B17" s="24" t="s">
        <v>135</v>
      </c>
      <c r="C17" s="722"/>
      <c r="D17" s="64"/>
      <c r="E17" s="733"/>
      <c r="F17" s="734"/>
    </row>
    <row r="18" spans="1:6" ht="20.25" customHeight="1" x14ac:dyDescent="0.25">
      <c r="A18" s="26"/>
      <c r="B18" s="24" t="s">
        <v>136</v>
      </c>
      <c r="C18" s="722"/>
      <c r="D18" s="64"/>
      <c r="E18" s="733"/>
      <c r="F18" s="734"/>
    </row>
    <row r="19" spans="1:6" ht="20.25" customHeight="1" x14ac:dyDescent="0.25">
      <c r="A19" s="26"/>
      <c r="B19" s="24" t="s">
        <v>137</v>
      </c>
      <c r="C19" s="722"/>
      <c r="D19" s="64"/>
      <c r="E19" s="733"/>
      <c r="F19" s="734"/>
    </row>
    <row r="20" spans="1:6" ht="20.25" customHeight="1" x14ac:dyDescent="0.25">
      <c r="A20" s="26"/>
      <c r="B20" s="24" t="s">
        <v>138</v>
      </c>
      <c r="C20" s="722"/>
      <c r="D20" s="64"/>
      <c r="E20" s="733"/>
      <c r="F20" s="734"/>
    </row>
    <row r="21" spans="1:6" ht="20.25" customHeight="1" x14ac:dyDescent="0.25">
      <c r="A21" s="26"/>
      <c r="B21" s="24" t="s">
        <v>139</v>
      </c>
      <c r="C21" s="722"/>
      <c r="D21" s="64"/>
      <c r="E21" s="733"/>
      <c r="F21" s="734"/>
    </row>
    <row r="22" spans="1:6" ht="20.25" customHeight="1" x14ac:dyDescent="0.25">
      <c r="A22" s="26"/>
      <c r="B22" s="24" t="s">
        <v>140</v>
      </c>
      <c r="C22" s="722"/>
      <c r="D22" s="64"/>
      <c r="E22" s="733"/>
      <c r="F22" s="734"/>
    </row>
    <row r="23" spans="1:6" ht="20.25" customHeight="1" x14ac:dyDescent="0.25">
      <c r="A23" s="26"/>
      <c r="B23" s="24" t="s">
        <v>141</v>
      </c>
      <c r="C23" s="722"/>
      <c r="D23" s="64"/>
      <c r="E23" s="733"/>
      <c r="F23" s="734"/>
    </row>
    <row r="24" spans="1:6" ht="20.25" customHeight="1" x14ac:dyDescent="0.25">
      <c r="A24" s="26" t="s">
        <v>56</v>
      </c>
      <c r="B24" s="28" t="s">
        <v>159</v>
      </c>
      <c r="C24" s="726" t="s">
        <v>151</v>
      </c>
      <c r="D24" s="64"/>
      <c r="E24" s="733"/>
      <c r="F24" s="734"/>
    </row>
    <row r="25" spans="1:6" ht="20.25" customHeight="1" x14ac:dyDescent="0.25">
      <c r="A25" s="26"/>
      <c r="B25" s="60" t="s">
        <v>160</v>
      </c>
      <c r="C25" s="726"/>
      <c r="D25" s="64"/>
      <c r="E25" s="733"/>
      <c r="F25" s="734"/>
    </row>
    <row r="26" spans="1:6" ht="20.25" customHeight="1" x14ac:dyDescent="0.25">
      <c r="A26" s="26"/>
      <c r="B26" s="60" t="s">
        <v>161</v>
      </c>
      <c r="C26" s="726"/>
      <c r="D26" s="64"/>
      <c r="E26" s="733"/>
      <c r="F26" s="734"/>
    </row>
    <row r="27" spans="1:6" ht="20.25" customHeight="1" x14ac:dyDescent="0.25">
      <c r="A27" s="26"/>
      <c r="B27" s="60" t="s">
        <v>162</v>
      </c>
      <c r="C27" s="726"/>
      <c r="D27" s="64"/>
      <c r="E27" s="733"/>
      <c r="F27" s="734"/>
    </row>
    <row r="28" spans="1:6" ht="20.25" customHeight="1" x14ac:dyDescent="0.25">
      <c r="A28" s="26"/>
      <c r="B28" s="60" t="s">
        <v>163</v>
      </c>
      <c r="C28" s="726"/>
      <c r="D28" s="64"/>
      <c r="E28" s="733"/>
      <c r="F28" s="734"/>
    </row>
    <row r="29" spans="1:6" ht="20.25" customHeight="1" x14ac:dyDescent="0.25">
      <c r="A29" s="26"/>
      <c r="B29" s="60" t="s">
        <v>164</v>
      </c>
      <c r="C29" s="726"/>
      <c r="D29" s="64"/>
      <c r="E29" s="733"/>
      <c r="F29" s="734"/>
    </row>
    <row r="30" spans="1:6" ht="20.25" customHeight="1" x14ac:dyDescent="0.25">
      <c r="A30" s="26"/>
      <c r="B30" s="60" t="s">
        <v>165</v>
      </c>
      <c r="C30" s="726"/>
      <c r="D30" s="64"/>
      <c r="E30" s="733"/>
      <c r="F30" s="734"/>
    </row>
    <row r="31" spans="1:6" ht="20.25" customHeight="1" x14ac:dyDescent="0.25">
      <c r="A31" s="26"/>
      <c r="B31" s="60" t="s">
        <v>166</v>
      </c>
      <c r="C31" s="726"/>
      <c r="D31" s="64"/>
      <c r="E31" s="733"/>
      <c r="F31" s="734"/>
    </row>
    <row r="32" spans="1:6" ht="20.25" customHeight="1" x14ac:dyDescent="0.25">
      <c r="A32" s="26"/>
      <c r="B32" s="60" t="s">
        <v>167</v>
      </c>
      <c r="C32" s="726"/>
      <c r="D32" s="64"/>
      <c r="E32" s="733"/>
      <c r="F32" s="734"/>
    </row>
    <row r="33" spans="1:6" ht="20.25" customHeight="1" x14ac:dyDescent="0.25">
      <c r="A33" s="26"/>
      <c r="B33" s="60" t="s">
        <v>168</v>
      </c>
      <c r="C33" s="726"/>
      <c r="D33" s="64"/>
      <c r="E33" s="733"/>
      <c r="F33" s="734"/>
    </row>
    <row r="34" spans="1:6" ht="20.25" customHeight="1" x14ac:dyDescent="0.25">
      <c r="A34" s="26"/>
      <c r="B34" s="60" t="s">
        <v>169</v>
      </c>
      <c r="C34" s="726"/>
      <c r="D34" s="64"/>
      <c r="E34" s="733"/>
      <c r="F34" s="734"/>
    </row>
    <row r="35" spans="1:6" ht="20.25" customHeight="1" x14ac:dyDescent="0.25">
      <c r="A35" s="26" t="s">
        <v>64</v>
      </c>
      <c r="B35" s="28" t="s">
        <v>173</v>
      </c>
      <c r="C35" s="726" t="s">
        <v>151</v>
      </c>
      <c r="D35" s="64"/>
      <c r="E35" s="733"/>
      <c r="F35" s="734"/>
    </row>
    <row r="36" spans="1:6" ht="28.5" customHeight="1" x14ac:dyDescent="0.25">
      <c r="A36" s="29"/>
      <c r="B36" s="60" t="s">
        <v>170</v>
      </c>
      <c r="C36" s="726"/>
      <c r="D36" s="64"/>
      <c r="E36" s="733"/>
      <c r="F36" s="734"/>
    </row>
    <row r="37" spans="1:6" ht="28.5" customHeight="1" x14ac:dyDescent="0.25">
      <c r="A37" s="29"/>
      <c r="B37" s="59" t="s">
        <v>171</v>
      </c>
      <c r="C37" s="726"/>
      <c r="D37" s="64"/>
      <c r="E37" s="733"/>
      <c r="F37" s="734"/>
    </row>
    <row r="38" spans="1:6" ht="19.5" customHeight="1" thickBot="1" x14ac:dyDescent="0.3">
      <c r="A38" s="29"/>
      <c r="B38" s="61" t="s">
        <v>172</v>
      </c>
      <c r="C38" s="727"/>
      <c r="D38" s="65"/>
      <c r="E38" s="735"/>
      <c r="F38" s="736"/>
    </row>
    <row r="39" spans="1:6" ht="20.25" customHeight="1" thickBot="1" x14ac:dyDescent="0.3">
      <c r="A39" s="56"/>
      <c r="B39" s="54" t="s">
        <v>192</v>
      </c>
      <c r="C39" s="55"/>
      <c r="D39" s="56"/>
      <c r="E39" s="54" t="s">
        <v>200</v>
      </c>
      <c r="F39" s="55"/>
    </row>
    <row r="40" spans="1:6" ht="20.25" customHeight="1" x14ac:dyDescent="0.25">
      <c r="A40" s="25" t="s">
        <v>100</v>
      </c>
      <c r="B40" s="40" t="s">
        <v>174</v>
      </c>
      <c r="C40" s="737" t="s">
        <v>151</v>
      </c>
      <c r="D40" s="25" t="s">
        <v>181</v>
      </c>
      <c r="E40" s="48" t="s">
        <v>125</v>
      </c>
      <c r="F40" s="721" t="s">
        <v>79</v>
      </c>
    </row>
    <row r="41" spans="1:6" ht="20.25" customHeight="1" x14ac:dyDescent="0.25">
      <c r="A41" s="26"/>
      <c r="B41" s="59" t="s">
        <v>175</v>
      </c>
      <c r="C41" s="726"/>
      <c r="D41" s="25" t="s">
        <v>191</v>
      </c>
      <c r="E41" s="24" t="s">
        <v>87</v>
      </c>
      <c r="F41" s="722"/>
    </row>
    <row r="42" spans="1:6" ht="29.25" customHeight="1" x14ac:dyDescent="0.25">
      <c r="A42" s="26"/>
      <c r="B42" s="59" t="s">
        <v>176</v>
      </c>
      <c r="C42" s="726"/>
      <c r="D42" s="25" t="s">
        <v>199</v>
      </c>
      <c r="E42" s="24" t="s">
        <v>90</v>
      </c>
      <c r="F42" s="722"/>
    </row>
    <row r="43" spans="1:6" ht="29.25" customHeight="1" x14ac:dyDescent="0.25">
      <c r="A43" s="26"/>
      <c r="B43" s="59" t="s">
        <v>177</v>
      </c>
      <c r="C43" s="726"/>
      <c r="D43" s="66"/>
      <c r="E43" s="67"/>
      <c r="F43" s="49"/>
    </row>
    <row r="44" spans="1:6" ht="29.25" customHeight="1" x14ac:dyDescent="0.25">
      <c r="A44" s="26"/>
      <c r="B44" s="59" t="s">
        <v>178</v>
      </c>
      <c r="C44" s="726"/>
      <c r="D44" s="64"/>
      <c r="E44" s="30"/>
      <c r="F44" s="49"/>
    </row>
    <row r="45" spans="1:6" ht="21" customHeight="1" x14ac:dyDescent="0.25">
      <c r="A45" s="26"/>
      <c r="B45" s="59" t="s">
        <v>179</v>
      </c>
      <c r="C45" s="726"/>
      <c r="D45" s="64"/>
      <c r="E45" s="30"/>
      <c r="F45" s="49"/>
    </row>
    <row r="46" spans="1:6" ht="20.25" customHeight="1" x14ac:dyDescent="0.25">
      <c r="A46" s="26" t="s">
        <v>181</v>
      </c>
      <c r="B46" s="33" t="s">
        <v>39</v>
      </c>
      <c r="C46" s="726" t="s">
        <v>151</v>
      </c>
      <c r="D46" s="64"/>
      <c r="E46" s="30"/>
      <c r="F46" s="49"/>
    </row>
    <row r="47" spans="1:6" ht="20.25" customHeight="1" x14ac:dyDescent="0.25">
      <c r="A47" s="26"/>
      <c r="B47" s="60" t="s">
        <v>182</v>
      </c>
      <c r="C47" s="726"/>
      <c r="D47" s="64"/>
      <c r="E47" s="30"/>
      <c r="F47" s="49"/>
    </row>
    <row r="48" spans="1:6" ht="20.25" customHeight="1" x14ac:dyDescent="0.25">
      <c r="A48" s="26"/>
      <c r="B48" s="60" t="s">
        <v>183</v>
      </c>
      <c r="C48" s="726"/>
      <c r="D48" s="64"/>
      <c r="E48" s="30"/>
      <c r="F48" s="49"/>
    </row>
    <row r="49" spans="1:6" ht="20.25" customHeight="1" x14ac:dyDescent="0.25">
      <c r="A49" s="26"/>
      <c r="B49" s="60" t="s">
        <v>184</v>
      </c>
      <c r="C49" s="726"/>
      <c r="D49" s="64"/>
      <c r="E49" s="30"/>
      <c r="F49" s="49"/>
    </row>
    <row r="50" spans="1:6" ht="20.25" customHeight="1" x14ac:dyDescent="0.25">
      <c r="A50" s="26"/>
      <c r="B50" s="60" t="s">
        <v>185</v>
      </c>
      <c r="C50" s="726"/>
      <c r="D50" s="64"/>
      <c r="E50" s="30"/>
      <c r="F50" s="49"/>
    </row>
    <row r="51" spans="1:6" ht="20.25" customHeight="1" x14ac:dyDescent="0.25">
      <c r="A51" s="26"/>
      <c r="B51" s="60" t="s">
        <v>186</v>
      </c>
      <c r="C51" s="726"/>
      <c r="D51" s="64"/>
      <c r="E51" s="30"/>
      <c r="F51" s="49"/>
    </row>
    <row r="52" spans="1:6" ht="20.25" customHeight="1" x14ac:dyDescent="0.25">
      <c r="A52" s="26" t="s">
        <v>191</v>
      </c>
      <c r="B52" s="28" t="s">
        <v>187</v>
      </c>
      <c r="C52" s="726" t="s">
        <v>151</v>
      </c>
      <c r="D52" s="64"/>
      <c r="E52" s="30"/>
      <c r="F52" s="49"/>
    </row>
    <row r="53" spans="1:6" ht="29.25" customHeight="1" x14ac:dyDescent="0.25">
      <c r="A53" s="29"/>
      <c r="B53" s="60" t="s">
        <v>188</v>
      </c>
      <c r="C53" s="726"/>
      <c r="D53" s="64"/>
      <c r="E53" s="30"/>
      <c r="F53" s="49"/>
    </row>
    <row r="54" spans="1:6" ht="29.25" customHeight="1" x14ac:dyDescent="0.25">
      <c r="A54" s="29"/>
      <c r="B54" s="59" t="s">
        <v>189</v>
      </c>
      <c r="C54" s="726"/>
      <c r="D54" s="64"/>
      <c r="E54" s="30"/>
      <c r="F54" s="49"/>
    </row>
    <row r="55" spans="1:6" ht="21" customHeight="1" thickBot="1" x14ac:dyDescent="0.3">
      <c r="A55" s="29"/>
      <c r="B55" s="61" t="s">
        <v>190</v>
      </c>
      <c r="C55" s="727"/>
      <c r="D55" s="65"/>
      <c r="E55" s="68"/>
      <c r="F55" s="49"/>
    </row>
    <row r="56" spans="1:6" ht="20.25" customHeight="1" thickBot="1" x14ac:dyDescent="0.3">
      <c r="A56" s="56"/>
      <c r="B56" s="54" t="s">
        <v>193</v>
      </c>
      <c r="C56" s="57" t="s">
        <v>151</v>
      </c>
      <c r="D56" s="56"/>
      <c r="E56" s="54" t="s">
        <v>197</v>
      </c>
      <c r="F56" s="57" t="s">
        <v>151</v>
      </c>
    </row>
    <row r="57" spans="1:6" ht="40.5" customHeight="1" x14ac:dyDescent="0.25">
      <c r="A57" s="22" t="s">
        <v>105</v>
      </c>
      <c r="B57" s="41" t="s">
        <v>124</v>
      </c>
      <c r="C57" s="35" t="s">
        <v>119</v>
      </c>
      <c r="D57" s="22" t="s">
        <v>105</v>
      </c>
      <c r="E57" s="41" t="s">
        <v>126</v>
      </c>
      <c r="F57" s="35" t="s">
        <v>119</v>
      </c>
    </row>
    <row r="58" spans="1:6" ht="20.25" customHeight="1" x14ac:dyDescent="0.25">
      <c r="A58" s="23" t="s">
        <v>106</v>
      </c>
      <c r="B58" s="42" t="s">
        <v>113</v>
      </c>
      <c r="C58" s="36" t="s">
        <v>120</v>
      </c>
      <c r="D58" s="23" t="s">
        <v>106</v>
      </c>
      <c r="E58" s="42" t="s">
        <v>127</v>
      </c>
      <c r="F58" s="36" t="s">
        <v>120</v>
      </c>
    </row>
    <row r="59" spans="1:6" ht="20.25" customHeight="1" x14ac:dyDescent="0.25">
      <c r="A59" s="23" t="s">
        <v>107</v>
      </c>
      <c r="B59" s="42" t="s">
        <v>114</v>
      </c>
      <c r="C59" s="36" t="s">
        <v>120</v>
      </c>
      <c r="D59" s="23" t="s">
        <v>107</v>
      </c>
      <c r="E59" s="42" t="s">
        <v>128</v>
      </c>
      <c r="F59" s="36" t="s">
        <v>120</v>
      </c>
    </row>
    <row r="60" spans="1:6" ht="20.25" customHeight="1" x14ac:dyDescent="0.25">
      <c r="A60" s="23" t="s">
        <v>108</v>
      </c>
      <c r="B60" s="42" t="s">
        <v>115</v>
      </c>
      <c r="C60" s="36" t="s">
        <v>120</v>
      </c>
      <c r="D60" s="23" t="s">
        <v>108</v>
      </c>
      <c r="E60" s="42" t="s">
        <v>129</v>
      </c>
      <c r="F60" s="36" t="s">
        <v>120</v>
      </c>
    </row>
    <row r="61" spans="1:6" ht="20.25" customHeight="1" x14ac:dyDescent="0.25">
      <c r="A61" s="23" t="s">
        <v>109</v>
      </c>
      <c r="B61" s="43" t="s">
        <v>116</v>
      </c>
      <c r="C61" s="36" t="s">
        <v>121</v>
      </c>
      <c r="D61" s="23" t="s">
        <v>109</v>
      </c>
      <c r="E61" s="43" t="s">
        <v>130</v>
      </c>
      <c r="F61" s="36" t="s">
        <v>121</v>
      </c>
    </row>
    <row r="62" spans="1:6" ht="30" x14ac:dyDescent="0.25">
      <c r="A62" s="23" t="s">
        <v>110</v>
      </c>
      <c r="B62" s="43" t="s">
        <v>117</v>
      </c>
      <c r="C62" s="36" t="s">
        <v>122</v>
      </c>
      <c r="D62" s="23" t="s">
        <v>110</v>
      </c>
      <c r="E62" s="43" t="s">
        <v>132</v>
      </c>
      <c r="F62" s="36" t="s">
        <v>133</v>
      </c>
    </row>
    <row r="63" spans="1:6" ht="20.25" customHeight="1" thickBot="1" x14ac:dyDescent="0.3">
      <c r="A63" s="27" t="s">
        <v>111</v>
      </c>
      <c r="B63" s="44" t="s">
        <v>118</v>
      </c>
      <c r="C63" s="37" t="s">
        <v>123</v>
      </c>
      <c r="D63" s="27" t="s">
        <v>111</v>
      </c>
      <c r="E63" s="44" t="s">
        <v>131</v>
      </c>
      <c r="F63" s="37" t="s">
        <v>123</v>
      </c>
    </row>
    <row r="64" spans="1:6" ht="20.25" customHeight="1" thickBot="1" x14ac:dyDescent="0.3">
      <c r="A64" s="56"/>
      <c r="B64" s="54" t="s">
        <v>194</v>
      </c>
      <c r="C64" s="57" t="s">
        <v>151</v>
      </c>
      <c r="D64" s="56"/>
      <c r="E64" s="54" t="s">
        <v>198</v>
      </c>
      <c r="F64" s="57" t="s">
        <v>151</v>
      </c>
    </row>
    <row r="65" spans="1:6" ht="30" x14ac:dyDescent="0.25">
      <c r="A65" s="22" t="s">
        <v>105</v>
      </c>
      <c r="B65" s="41" t="s">
        <v>112</v>
      </c>
      <c r="C65" s="35" t="s">
        <v>119</v>
      </c>
      <c r="D65" s="22" t="s">
        <v>105</v>
      </c>
      <c r="E65" s="41" t="s">
        <v>126</v>
      </c>
      <c r="F65" s="35" t="s">
        <v>119</v>
      </c>
    </row>
    <row r="66" spans="1:6" ht="20.25" customHeight="1" x14ac:dyDescent="0.25">
      <c r="A66" s="23" t="s">
        <v>106</v>
      </c>
      <c r="B66" s="42" t="s">
        <v>113</v>
      </c>
      <c r="C66" s="36" t="s">
        <v>120</v>
      </c>
      <c r="D66" s="23" t="s">
        <v>106</v>
      </c>
      <c r="E66" s="42" t="s">
        <v>127</v>
      </c>
      <c r="F66" s="36" t="s">
        <v>120</v>
      </c>
    </row>
    <row r="67" spans="1:6" ht="20.25" customHeight="1" x14ac:dyDescent="0.25">
      <c r="A67" s="23" t="s">
        <v>107</v>
      </c>
      <c r="B67" s="42" t="s">
        <v>114</v>
      </c>
      <c r="C67" s="36" t="s">
        <v>120</v>
      </c>
      <c r="D67" s="23" t="s">
        <v>107</v>
      </c>
      <c r="E67" s="42" t="s">
        <v>128</v>
      </c>
      <c r="F67" s="36" t="s">
        <v>120</v>
      </c>
    </row>
    <row r="68" spans="1:6" ht="20.25" customHeight="1" x14ac:dyDescent="0.25">
      <c r="A68" s="23" t="s">
        <v>108</v>
      </c>
      <c r="B68" s="42" t="s">
        <v>115</v>
      </c>
      <c r="C68" s="36" t="s">
        <v>120</v>
      </c>
      <c r="D68" s="23" t="s">
        <v>108</v>
      </c>
      <c r="E68" s="42" t="s">
        <v>129</v>
      </c>
      <c r="F68" s="36" t="s">
        <v>120</v>
      </c>
    </row>
    <row r="69" spans="1:6" ht="20.25" customHeight="1" x14ac:dyDescent="0.25">
      <c r="A69" s="23" t="s">
        <v>109</v>
      </c>
      <c r="B69" s="43" t="s">
        <v>116</v>
      </c>
      <c r="C69" s="36" t="s">
        <v>121</v>
      </c>
      <c r="D69" s="23" t="s">
        <v>109</v>
      </c>
      <c r="E69" s="43" t="s">
        <v>130</v>
      </c>
      <c r="F69" s="36" t="s">
        <v>121</v>
      </c>
    </row>
    <row r="70" spans="1:6" ht="30" x14ac:dyDescent="0.25">
      <c r="A70" s="23" t="s">
        <v>110</v>
      </c>
      <c r="B70" s="43" t="s">
        <v>117</v>
      </c>
      <c r="C70" s="36" t="s">
        <v>122</v>
      </c>
      <c r="D70" s="23" t="s">
        <v>110</v>
      </c>
      <c r="E70" s="43" t="s">
        <v>132</v>
      </c>
      <c r="F70" s="36" t="s">
        <v>133</v>
      </c>
    </row>
    <row r="71" spans="1:6" ht="20.25" customHeight="1" thickBot="1" x14ac:dyDescent="0.3">
      <c r="A71" s="27" t="s">
        <v>111</v>
      </c>
      <c r="B71" s="45" t="s">
        <v>118</v>
      </c>
      <c r="C71" s="37" t="s">
        <v>123</v>
      </c>
      <c r="D71" s="27" t="s">
        <v>111</v>
      </c>
      <c r="E71" s="45" t="s">
        <v>131</v>
      </c>
      <c r="F71" s="37" t="s">
        <v>123</v>
      </c>
    </row>
    <row r="72" spans="1:6" ht="20.25" customHeight="1" thickBot="1" x14ac:dyDescent="0.3">
      <c r="A72" s="58"/>
      <c r="B72" s="719" t="s">
        <v>143</v>
      </c>
      <c r="C72" s="720"/>
      <c r="D72" s="58"/>
      <c r="E72" s="719" t="s">
        <v>144</v>
      </c>
      <c r="F72" s="720"/>
    </row>
  </sheetData>
  <mergeCells count="13">
    <mergeCell ref="B72:C72"/>
    <mergeCell ref="E72:F72"/>
    <mergeCell ref="F40:F42"/>
    <mergeCell ref="C3:C15"/>
    <mergeCell ref="C46:C51"/>
    <mergeCell ref="C52:C55"/>
    <mergeCell ref="F3:F7"/>
    <mergeCell ref="D8:D15"/>
    <mergeCell ref="E9:F38"/>
    <mergeCell ref="C16:C23"/>
    <mergeCell ref="C24:C34"/>
    <mergeCell ref="C35:C38"/>
    <mergeCell ref="C40:C45"/>
  </mergeCells>
  <pageMargins left="0.7" right="0.7" top="0.75" bottom="0.75" header="0.3" footer="0.3"/>
  <pageSetup paperSize="9" scale="4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3:G68"/>
  <sheetViews>
    <sheetView topLeftCell="A4" workbookViewId="0">
      <pane ySplit="4" topLeftCell="A8" activePane="bottomLeft" state="frozen"/>
      <selection activeCell="G32" sqref="G32"/>
      <selection pane="bottomLeft" activeCell="O41" sqref="O41"/>
    </sheetView>
  </sheetViews>
  <sheetFormatPr defaultColWidth="9.140625" defaultRowHeight="12.75" x14ac:dyDescent="0.2"/>
  <cols>
    <col min="1" max="1" width="9.140625" style="152" customWidth="1"/>
    <col min="2" max="2" width="5" style="149" customWidth="1"/>
    <col min="3" max="3" width="31.5703125" style="150" customWidth="1"/>
    <col min="4" max="6" width="16.7109375" style="182" customWidth="1"/>
    <col min="7" max="7" width="17.85546875" style="682" customWidth="1"/>
    <col min="8" max="16384" width="9.140625" style="152"/>
  </cols>
  <sheetData>
    <row r="3" spans="2:7" ht="15.75" x14ac:dyDescent="0.25">
      <c r="D3" s="151"/>
      <c r="E3" s="151"/>
      <c r="F3" s="151"/>
      <c r="G3" s="673" t="s">
        <v>555</v>
      </c>
    </row>
    <row r="4" spans="2:7" ht="18" customHeight="1" x14ac:dyDescent="0.2">
      <c r="B4" s="773" t="s">
        <v>962</v>
      </c>
      <c r="C4" s="773"/>
      <c r="D4" s="773"/>
      <c r="E4" s="773"/>
      <c r="F4" s="773"/>
      <c r="G4" s="773"/>
    </row>
    <row r="5" spans="2:7" s="154" customFormat="1" ht="12" thickBot="1" x14ac:dyDescent="0.25">
      <c r="B5" s="153"/>
      <c r="C5" s="153"/>
      <c r="D5" s="153"/>
      <c r="E5" s="153"/>
      <c r="F5" s="153"/>
      <c r="G5" s="674"/>
    </row>
    <row r="6" spans="2:7" s="155" customFormat="1" ht="18" customHeight="1" x14ac:dyDescent="0.25">
      <c r="B6" s="774"/>
      <c r="C6" s="776" t="s">
        <v>545</v>
      </c>
      <c r="D6" s="771" t="s">
        <v>1130</v>
      </c>
      <c r="E6" s="771" t="s">
        <v>1106</v>
      </c>
      <c r="F6" s="771" t="s">
        <v>1110</v>
      </c>
      <c r="G6" s="778" t="s">
        <v>1102</v>
      </c>
    </row>
    <row r="7" spans="2:7" s="156" customFormat="1" ht="29.25" customHeight="1" thickBot="1" x14ac:dyDescent="0.3">
      <c r="B7" s="775"/>
      <c r="C7" s="777"/>
      <c r="D7" s="772"/>
      <c r="E7" s="772"/>
      <c r="F7" s="772"/>
      <c r="G7" s="779"/>
    </row>
    <row r="8" spans="2:7" s="158" customFormat="1" ht="15" customHeight="1" x14ac:dyDescent="0.25">
      <c r="B8" s="782" t="s">
        <v>527</v>
      </c>
      <c r="C8" s="783"/>
      <c r="D8" s="157"/>
      <c r="E8" s="665"/>
      <c r="F8" s="665"/>
      <c r="G8" s="675"/>
    </row>
    <row r="9" spans="2:7" s="162" customFormat="1" x14ac:dyDescent="0.25">
      <c r="B9" s="159"/>
      <c r="C9" s="160" t="s">
        <v>556</v>
      </c>
      <c r="D9" s="161">
        <v>1</v>
      </c>
      <c r="E9" s="666"/>
      <c r="F9" s="666"/>
      <c r="G9" s="676">
        <f>D9+E9+F9</f>
        <v>1</v>
      </c>
    </row>
    <row r="10" spans="2:7" s="162" customFormat="1" x14ac:dyDescent="0.25">
      <c r="B10" s="159"/>
      <c r="C10" s="160" t="s">
        <v>775</v>
      </c>
      <c r="D10" s="161">
        <v>1</v>
      </c>
      <c r="E10" s="666"/>
      <c r="F10" s="666"/>
      <c r="G10" s="676">
        <f t="shared" ref="G10" si="0">D10+E10+F10</f>
        <v>1</v>
      </c>
    </row>
    <row r="11" spans="2:7" s="162" customFormat="1" x14ac:dyDescent="0.25">
      <c r="B11" s="159"/>
      <c r="C11" s="160"/>
      <c r="D11" s="161"/>
      <c r="E11" s="666"/>
      <c r="F11" s="666"/>
      <c r="G11" s="676"/>
    </row>
    <row r="12" spans="2:7" s="166" customFormat="1" ht="15" customHeight="1" x14ac:dyDescent="0.25">
      <c r="B12" s="163"/>
      <c r="C12" s="683" t="s">
        <v>549</v>
      </c>
      <c r="D12" s="684">
        <f>SUM(D9:D11)</f>
        <v>2</v>
      </c>
      <c r="E12" s="685"/>
      <c r="F12" s="685"/>
      <c r="G12" s="687">
        <f>D12+E12+F12</f>
        <v>2</v>
      </c>
    </row>
    <row r="13" spans="2:7" s="166" customFormat="1" ht="13.5" x14ac:dyDescent="0.25">
      <c r="B13" s="163"/>
      <c r="C13" s="164"/>
      <c r="D13" s="165"/>
      <c r="E13" s="667"/>
      <c r="F13" s="667"/>
      <c r="G13" s="677"/>
    </row>
    <row r="14" spans="2:7" s="166" customFormat="1" ht="15" customHeight="1" x14ac:dyDescent="0.25">
      <c r="B14" s="780" t="s">
        <v>540</v>
      </c>
      <c r="C14" s="781"/>
      <c r="D14" s="157"/>
      <c r="E14" s="665"/>
      <c r="F14" s="665"/>
      <c r="G14" s="675"/>
    </row>
    <row r="15" spans="2:7" s="166" customFormat="1" ht="15" customHeight="1" x14ac:dyDescent="0.25">
      <c r="B15" s="159"/>
      <c r="C15" s="160" t="s">
        <v>557</v>
      </c>
      <c r="D15" s="161">
        <v>1</v>
      </c>
      <c r="E15" s="666"/>
      <c r="F15" s="666"/>
      <c r="G15" s="676">
        <f>D15+E15+F15</f>
        <v>1</v>
      </c>
    </row>
    <row r="16" spans="2:7" s="162" customFormat="1" x14ac:dyDescent="0.25">
      <c r="B16" s="159"/>
      <c r="C16" s="160" t="s">
        <v>570</v>
      </c>
      <c r="D16" s="183">
        <v>19</v>
      </c>
      <c r="E16" s="668"/>
      <c r="F16" s="668"/>
      <c r="G16" s="676">
        <f t="shared" ref="G16:G18" si="1">D16+E16+F16</f>
        <v>19</v>
      </c>
    </row>
    <row r="17" spans="2:7" s="162" customFormat="1" x14ac:dyDescent="0.25">
      <c r="B17" s="159"/>
      <c r="C17" s="160" t="s">
        <v>567</v>
      </c>
      <c r="D17" s="161">
        <v>1</v>
      </c>
      <c r="E17" s="666"/>
      <c r="F17" s="666"/>
      <c r="G17" s="676">
        <f t="shared" si="1"/>
        <v>1</v>
      </c>
    </row>
    <row r="18" spans="2:7" s="162" customFormat="1" ht="13.5" x14ac:dyDescent="0.25">
      <c r="B18" s="163"/>
      <c r="C18" s="683" t="s">
        <v>549</v>
      </c>
      <c r="D18" s="684">
        <f>SUM(D15:D17)</f>
        <v>21</v>
      </c>
      <c r="E18" s="685"/>
      <c r="F18" s="685"/>
      <c r="G18" s="686">
        <f t="shared" si="1"/>
        <v>21</v>
      </c>
    </row>
    <row r="19" spans="2:7" s="170" customFormat="1" ht="11.25" x14ac:dyDescent="0.25">
      <c r="B19" s="167"/>
      <c r="C19" s="168"/>
      <c r="D19" s="169"/>
      <c r="E19" s="669"/>
      <c r="F19" s="669"/>
      <c r="G19" s="678"/>
    </row>
    <row r="20" spans="2:7" s="158" customFormat="1" ht="15" customHeight="1" x14ac:dyDescent="0.25">
      <c r="B20" s="769" t="s">
        <v>537</v>
      </c>
      <c r="C20" s="770"/>
      <c r="D20" s="171"/>
      <c r="E20" s="670"/>
      <c r="F20" s="670"/>
      <c r="G20" s="679"/>
    </row>
    <row r="21" spans="2:7" s="162" customFormat="1" x14ac:dyDescent="0.25">
      <c r="B21" s="159"/>
      <c r="C21" s="160" t="s">
        <v>558</v>
      </c>
      <c r="D21" s="161">
        <v>1</v>
      </c>
      <c r="E21" s="666"/>
      <c r="F21" s="666"/>
      <c r="G21" s="676">
        <f t="shared" ref="G21:G23" si="2">D21+E21+F21</f>
        <v>1</v>
      </c>
    </row>
    <row r="22" spans="2:7" s="162" customFormat="1" x14ac:dyDescent="0.25">
      <c r="B22" s="159"/>
      <c r="C22" s="160" t="s">
        <v>559</v>
      </c>
      <c r="D22" s="161">
        <v>1</v>
      </c>
      <c r="E22" s="666"/>
      <c r="F22" s="666"/>
      <c r="G22" s="676">
        <f t="shared" si="2"/>
        <v>1</v>
      </c>
    </row>
    <row r="23" spans="2:7" s="166" customFormat="1" ht="15" customHeight="1" x14ac:dyDescent="0.25">
      <c r="B23" s="163"/>
      <c r="C23" s="683" t="s">
        <v>549</v>
      </c>
      <c r="D23" s="684">
        <f>SUM(D21:D22)</f>
        <v>2</v>
      </c>
      <c r="E23" s="685"/>
      <c r="F23" s="685"/>
      <c r="G23" s="686">
        <f t="shared" si="2"/>
        <v>2</v>
      </c>
    </row>
    <row r="24" spans="2:7" s="166" customFormat="1" ht="13.5" x14ac:dyDescent="0.25">
      <c r="B24" s="163"/>
      <c r="C24" s="164"/>
      <c r="D24" s="165"/>
      <c r="E24" s="667"/>
      <c r="F24" s="667"/>
      <c r="G24" s="677"/>
    </row>
    <row r="25" spans="2:7" s="166" customFormat="1" ht="15" customHeight="1" x14ac:dyDescent="0.25">
      <c r="B25" s="769" t="s">
        <v>534</v>
      </c>
      <c r="C25" s="770"/>
      <c r="D25" s="165"/>
      <c r="E25" s="667"/>
      <c r="F25" s="667"/>
      <c r="G25" s="677"/>
    </row>
    <row r="26" spans="2:7" s="166" customFormat="1" ht="15" customHeight="1" x14ac:dyDescent="0.25">
      <c r="B26" s="163"/>
      <c r="C26" s="172" t="s">
        <v>560</v>
      </c>
      <c r="D26" s="183">
        <v>1</v>
      </c>
      <c r="E26" s="668"/>
      <c r="F26" s="668"/>
      <c r="G26" s="676">
        <f t="shared" ref="G26:G33" si="3">D26+E26+F26</f>
        <v>1</v>
      </c>
    </row>
    <row r="27" spans="2:7" s="166" customFormat="1" ht="15" customHeight="1" x14ac:dyDescent="0.25">
      <c r="B27" s="163"/>
      <c r="C27" s="172" t="s">
        <v>831</v>
      </c>
      <c r="D27" s="183">
        <v>1</v>
      </c>
      <c r="E27" s="668"/>
      <c r="F27" s="668"/>
      <c r="G27" s="676">
        <f t="shared" si="3"/>
        <v>1</v>
      </c>
    </row>
    <row r="28" spans="2:7" s="166" customFormat="1" ht="15" customHeight="1" x14ac:dyDescent="0.25">
      <c r="B28" s="163"/>
      <c r="C28" s="172" t="s">
        <v>561</v>
      </c>
      <c r="D28" s="183">
        <v>1</v>
      </c>
      <c r="E28" s="668"/>
      <c r="F28" s="668"/>
      <c r="G28" s="676">
        <f t="shared" si="3"/>
        <v>1</v>
      </c>
    </row>
    <row r="29" spans="2:7" s="166" customFormat="1" ht="15" customHeight="1" x14ac:dyDescent="0.25">
      <c r="B29" s="163"/>
      <c r="C29" s="173" t="s">
        <v>562</v>
      </c>
      <c r="D29" s="183">
        <v>3</v>
      </c>
      <c r="E29" s="668"/>
      <c r="F29" s="668"/>
      <c r="G29" s="676">
        <f t="shared" si="3"/>
        <v>3</v>
      </c>
    </row>
    <row r="30" spans="2:7" s="166" customFormat="1" ht="15" customHeight="1" x14ac:dyDescent="0.25">
      <c r="B30" s="163"/>
      <c r="C30" s="172" t="s">
        <v>563</v>
      </c>
      <c r="D30" s="183">
        <v>7</v>
      </c>
      <c r="E30" s="668"/>
      <c r="F30" s="668">
        <v>-3</v>
      </c>
      <c r="G30" s="676">
        <f t="shared" si="3"/>
        <v>4</v>
      </c>
    </row>
    <row r="31" spans="2:7" s="166" customFormat="1" ht="15" customHeight="1" x14ac:dyDescent="0.25">
      <c r="B31" s="163"/>
      <c r="C31" s="173" t="s">
        <v>564</v>
      </c>
      <c r="D31" s="183">
        <v>3</v>
      </c>
      <c r="E31" s="668"/>
      <c r="F31" s="668"/>
      <c r="G31" s="676">
        <f t="shared" si="3"/>
        <v>3</v>
      </c>
    </row>
    <row r="32" spans="2:7" s="170" customFormat="1" ht="13.5" x14ac:dyDescent="0.25">
      <c r="B32" s="163"/>
      <c r="C32" s="174" t="s">
        <v>565</v>
      </c>
      <c r="D32" s="335">
        <v>5</v>
      </c>
      <c r="E32" s="671"/>
      <c r="F32" s="671"/>
      <c r="G32" s="676">
        <f t="shared" si="3"/>
        <v>5</v>
      </c>
    </row>
    <row r="33" spans="2:7" s="170" customFormat="1" ht="13.5" x14ac:dyDescent="0.25">
      <c r="B33" s="163"/>
      <c r="C33" s="174" t="s">
        <v>963</v>
      </c>
      <c r="D33" s="335">
        <v>2</v>
      </c>
      <c r="E33" s="671"/>
      <c r="F33" s="671"/>
      <c r="G33" s="676">
        <f t="shared" si="3"/>
        <v>2</v>
      </c>
    </row>
    <row r="34" spans="2:7" s="166" customFormat="1" ht="15" customHeight="1" x14ac:dyDescent="0.25">
      <c r="B34" s="163"/>
      <c r="C34" s="683" t="s">
        <v>549</v>
      </c>
      <c r="D34" s="684">
        <f>SUM(D26:D33)</f>
        <v>23</v>
      </c>
      <c r="E34" s="685"/>
      <c r="F34" s="685">
        <f>SUM(F26:F33)</f>
        <v>-3</v>
      </c>
      <c r="G34" s="686">
        <f>D34+E34+F34</f>
        <v>20</v>
      </c>
    </row>
    <row r="35" spans="2:7" s="166" customFormat="1" ht="13.5" x14ac:dyDescent="0.25">
      <c r="B35" s="163"/>
      <c r="C35" s="164"/>
      <c r="D35" s="165"/>
      <c r="E35" s="667"/>
      <c r="F35" s="667"/>
      <c r="G35" s="677"/>
    </row>
    <row r="36" spans="2:7" s="166" customFormat="1" ht="15" customHeight="1" x14ac:dyDescent="0.25">
      <c r="B36" s="769" t="s">
        <v>542</v>
      </c>
      <c r="C36" s="770"/>
      <c r="D36" s="165"/>
      <c r="E36" s="667"/>
      <c r="F36" s="667"/>
      <c r="G36" s="677"/>
    </row>
    <row r="37" spans="2:7" s="166" customFormat="1" ht="15" customHeight="1" x14ac:dyDescent="0.25">
      <c r="B37" s="163"/>
      <c r="C37" s="174" t="s">
        <v>560</v>
      </c>
      <c r="D37" s="161">
        <v>1</v>
      </c>
      <c r="E37" s="666"/>
      <c r="F37" s="666"/>
      <c r="G37" s="676">
        <f t="shared" ref="G37:G40" si="4">D37+E37+F37</f>
        <v>1</v>
      </c>
    </row>
    <row r="38" spans="2:7" s="166" customFormat="1" ht="15" customHeight="1" x14ac:dyDescent="0.25">
      <c r="B38" s="163"/>
      <c r="C38" s="174" t="s">
        <v>571</v>
      </c>
      <c r="D38" s="161">
        <v>5.5</v>
      </c>
      <c r="E38" s="666"/>
      <c r="F38" s="666"/>
      <c r="G38" s="676">
        <f t="shared" si="4"/>
        <v>5.5</v>
      </c>
    </row>
    <row r="39" spans="2:7" s="166" customFormat="1" ht="15" customHeight="1" x14ac:dyDescent="0.25">
      <c r="B39" s="163"/>
      <c r="C39" s="377" t="s">
        <v>569</v>
      </c>
      <c r="D39" s="161">
        <v>3</v>
      </c>
      <c r="E39" s="666"/>
      <c r="F39" s="666"/>
      <c r="G39" s="676">
        <f t="shared" si="4"/>
        <v>3</v>
      </c>
    </row>
    <row r="40" spans="2:7" s="166" customFormat="1" ht="15" customHeight="1" x14ac:dyDescent="0.25">
      <c r="B40" s="163"/>
      <c r="C40" s="683" t="s">
        <v>549</v>
      </c>
      <c r="D40" s="684">
        <f>SUM(D37:D39)</f>
        <v>9.5</v>
      </c>
      <c r="E40" s="685"/>
      <c r="F40" s="685"/>
      <c r="G40" s="686">
        <f t="shared" si="4"/>
        <v>9.5</v>
      </c>
    </row>
    <row r="41" spans="2:7" s="166" customFormat="1" ht="13.5" x14ac:dyDescent="0.25">
      <c r="B41" s="163"/>
      <c r="C41" s="164"/>
      <c r="D41" s="165"/>
      <c r="E41" s="667"/>
      <c r="F41" s="667"/>
      <c r="G41" s="677"/>
    </row>
    <row r="42" spans="2:7" s="166" customFormat="1" ht="13.5" x14ac:dyDescent="0.25">
      <c r="B42" s="769" t="s">
        <v>1127</v>
      </c>
      <c r="C42" s="770"/>
      <c r="D42" s="165"/>
      <c r="E42" s="667"/>
      <c r="F42" s="667"/>
      <c r="G42" s="677"/>
    </row>
    <row r="43" spans="2:7" s="166" customFormat="1" ht="13.5" x14ac:dyDescent="0.25">
      <c r="B43" s="163"/>
      <c r="C43" s="174" t="s">
        <v>560</v>
      </c>
      <c r="D43" s="161"/>
      <c r="E43" s="666"/>
      <c r="F43" s="666">
        <v>1</v>
      </c>
      <c r="G43" s="676">
        <f t="shared" ref="G43:G46" si="5">D43+E43+F43</f>
        <v>1</v>
      </c>
    </row>
    <row r="44" spans="2:7" s="166" customFormat="1" ht="13.5" x14ac:dyDescent="0.25">
      <c r="B44" s="163"/>
      <c r="C44" s="174" t="s">
        <v>1128</v>
      </c>
      <c r="D44" s="161"/>
      <c r="E44" s="666"/>
      <c r="F44" s="666">
        <v>6</v>
      </c>
      <c r="G44" s="676">
        <f t="shared" si="5"/>
        <v>6</v>
      </c>
    </row>
    <row r="45" spans="2:7" s="166" customFormat="1" ht="13.5" x14ac:dyDescent="0.25">
      <c r="B45" s="163"/>
      <c r="C45" s="377" t="s">
        <v>1129</v>
      </c>
      <c r="D45" s="161"/>
      <c r="E45" s="666"/>
      <c r="F45" s="666">
        <v>1</v>
      </c>
      <c r="G45" s="676">
        <f t="shared" si="5"/>
        <v>1</v>
      </c>
    </row>
    <row r="46" spans="2:7" s="166" customFormat="1" ht="13.5" x14ac:dyDescent="0.25">
      <c r="B46" s="163"/>
      <c r="C46" s="683" t="s">
        <v>549</v>
      </c>
      <c r="D46" s="684">
        <f>SUM(D43:D45)</f>
        <v>0</v>
      </c>
      <c r="E46" s="685"/>
      <c r="F46" s="685">
        <f>SUM(F43:F45)</f>
        <v>8</v>
      </c>
      <c r="G46" s="686">
        <f t="shared" si="5"/>
        <v>8</v>
      </c>
    </row>
    <row r="47" spans="2:7" s="166" customFormat="1" ht="13.5" x14ac:dyDescent="0.25">
      <c r="B47" s="163"/>
      <c r="C47" s="164"/>
      <c r="D47" s="165"/>
      <c r="E47" s="667"/>
      <c r="F47" s="667"/>
      <c r="G47" s="677"/>
    </row>
    <row r="48" spans="2:7" s="166" customFormat="1" ht="13.5" x14ac:dyDescent="0.25">
      <c r="B48" s="163"/>
      <c r="C48" s="164"/>
      <c r="D48" s="165"/>
      <c r="E48" s="667"/>
      <c r="F48" s="667"/>
      <c r="G48" s="677"/>
    </row>
    <row r="49" spans="2:7" s="166" customFormat="1" ht="13.5" x14ac:dyDescent="0.25">
      <c r="B49" s="163"/>
      <c r="C49" s="164"/>
      <c r="D49" s="165"/>
      <c r="E49" s="667"/>
      <c r="F49" s="667"/>
      <c r="G49" s="677"/>
    </row>
    <row r="50" spans="2:7" s="166" customFormat="1" ht="15" customHeight="1" x14ac:dyDescent="0.25">
      <c r="B50" s="163"/>
      <c r="C50" s="683" t="s">
        <v>568</v>
      </c>
      <c r="D50" s="684">
        <f>D46+D40+D34+D23+D18+D12</f>
        <v>57.5</v>
      </c>
      <c r="E50" s="684">
        <f t="shared" ref="E50" si="6">E46+E40+E34+E23+E18+E12</f>
        <v>0</v>
      </c>
      <c r="F50" s="684">
        <f>F46+F40+F34+F23+F18+F12</f>
        <v>5</v>
      </c>
      <c r="G50" s="686">
        <f>D50+E50+F50</f>
        <v>62.5</v>
      </c>
    </row>
    <row r="51" spans="2:7" s="166" customFormat="1" ht="13.5" x14ac:dyDescent="0.25">
      <c r="B51" s="167"/>
      <c r="C51" s="164"/>
      <c r="D51" s="165"/>
      <c r="E51" s="667"/>
      <c r="F51" s="667"/>
      <c r="G51" s="677"/>
    </row>
    <row r="52" spans="2:7" s="166" customFormat="1" ht="15" customHeight="1" x14ac:dyDescent="0.2">
      <c r="B52" s="175"/>
      <c r="C52" s="172" t="s">
        <v>566</v>
      </c>
      <c r="D52" s="183">
        <v>18</v>
      </c>
      <c r="E52" s="668"/>
      <c r="F52" s="668"/>
      <c r="G52" s="676"/>
    </row>
    <row r="53" spans="2:7" s="170" customFormat="1" ht="13.5" thickBot="1" x14ac:dyDescent="0.3">
      <c r="B53" s="176"/>
      <c r="C53" s="177"/>
      <c r="D53" s="178"/>
      <c r="E53" s="672"/>
      <c r="F53" s="672"/>
      <c r="G53" s="680"/>
    </row>
    <row r="54" spans="2:7" s="170" customFormat="1" ht="9.75" customHeight="1" x14ac:dyDescent="0.25">
      <c r="B54" s="179"/>
      <c r="C54" s="179"/>
      <c r="D54" s="180"/>
      <c r="E54" s="180"/>
      <c r="F54" s="180"/>
      <c r="G54" s="681"/>
    </row>
    <row r="55" spans="2:7" x14ac:dyDescent="0.2">
      <c r="B55" s="181"/>
    </row>
    <row r="56" spans="2:7" x14ac:dyDescent="0.2">
      <c r="B56" s="181"/>
    </row>
    <row r="57" spans="2:7" x14ac:dyDescent="0.2">
      <c r="B57" s="181"/>
    </row>
    <row r="58" spans="2:7" x14ac:dyDescent="0.2">
      <c r="B58" s="181"/>
    </row>
    <row r="59" spans="2:7" s="150" customFormat="1" x14ac:dyDescent="0.2">
      <c r="B59" s="181"/>
      <c r="D59" s="182"/>
      <c r="E59" s="182"/>
      <c r="F59" s="182"/>
      <c r="G59" s="682"/>
    </row>
    <row r="60" spans="2:7" s="150" customFormat="1" x14ac:dyDescent="0.2">
      <c r="B60" s="181"/>
      <c r="D60" s="182"/>
      <c r="E60" s="182"/>
      <c r="F60" s="182"/>
      <c r="G60" s="682"/>
    </row>
    <row r="61" spans="2:7" s="150" customFormat="1" x14ac:dyDescent="0.2">
      <c r="B61" s="181"/>
      <c r="D61" s="182"/>
      <c r="E61" s="182"/>
      <c r="F61" s="182"/>
      <c r="G61" s="682"/>
    </row>
    <row r="62" spans="2:7" s="150" customFormat="1" x14ac:dyDescent="0.2">
      <c r="B62" s="181"/>
      <c r="D62" s="182"/>
      <c r="E62" s="182"/>
      <c r="F62" s="182"/>
      <c r="G62" s="682"/>
    </row>
    <row r="63" spans="2:7" s="150" customFormat="1" x14ac:dyDescent="0.2">
      <c r="B63" s="181"/>
      <c r="D63" s="182"/>
      <c r="E63" s="182"/>
      <c r="F63" s="182"/>
      <c r="G63" s="682"/>
    </row>
    <row r="64" spans="2:7" s="150" customFormat="1" x14ac:dyDescent="0.2">
      <c r="B64" s="181"/>
      <c r="D64" s="182"/>
      <c r="E64" s="182"/>
      <c r="F64" s="182"/>
      <c r="G64" s="682"/>
    </row>
    <row r="65" spans="2:7" s="150" customFormat="1" x14ac:dyDescent="0.2">
      <c r="B65" s="181"/>
      <c r="D65" s="182"/>
      <c r="E65" s="182"/>
      <c r="F65" s="182"/>
      <c r="G65" s="682"/>
    </row>
    <row r="66" spans="2:7" s="150" customFormat="1" x14ac:dyDescent="0.2">
      <c r="B66" s="181"/>
      <c r="D66" s="182"/>
      <c r="E66" s="182"/>
      <c r="F66" s="182"/>
      <c r="G66" s="682"/>
    </row>
    <row r="67" spans="2:7" s="150" customFormat="1" x14ac:dyDescent="0.2">
      <c r="B67" s="181"/>
      <c r="D67" s="182"/>
      <c r="E67" s="182"/>
      <c r="F67" s="182"/>
      <c r="G67" s="682"/>
    </row>
    <row r="68" spans="2:7" s="150" customFormat="1" x14ac:dyDescent="0.2">
      <c r="B68" s="181"/>
      <c r="D68" s="182"/>
      <c r="E68" s="182"/>
      <c r="F68" s="182"/>
      <c r="G68" s="682"/>
    </row>
  </sheetData>
  <mergeCells count="13">
    <mergeCell ref="B42:C42"/>
    <mergeCell ref="E6:E7"/>
    <mergeCell ref="F6:F7"/>
    <mergeCell ref="B4:G4"/>
    <mergeCell ref="B6:B7"/>
    <mergeCell ref="C6:C7"/>
    <mergeCell ref="D6:D7"/>
    <mergeCell ref="G6:G7"/>
    <mergeCell ref="B20:C20"/>
    <mergeCell ref="B25:C25"/>
    <mergeCell ref="B14:C14"/>
    <mergeCell ref="B36:C36"/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firstPageNumber="37" orientation="portrait" r:id="rId1"/>
  <headerFooter>
    <oddHeader>&amp;CTaksony Nagyközség Önkormányzat 2016. évi költségvetés 
2 sz. módosítás&amp;R11.sz. melléklet</oddHeader>
    <oddFooter xml:space="preserve">&amp;LKészült: &amp;D
&amp;R/:Kreisz László://:Dr.Micheller Anita:/      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4:O40"/>
  <sheetViews>
    <sheetView view="pageBreakPreview" topLeftCell="A6" zoomScale="91" zoomScaleNormal="100" zoomScaleSheetLayoutView="91" workbookViewId="0">
      <pane ySplit="4" topLeftCell="A10" activePane="bottomLeft" state="frozen"/>
      <selection activeCell="G32" sqref="G32"/>
      <selection pane="bottomLeft" activeCell="O33" sqref="O33"/>
    </sheetView>
  </sheetViews>
  <sheetFormatPr defaultRowHeight="12.75" x14ac:dyDescent="0.2"/>
  <cols>
    <col min="1" max="1" width="36.140625" style="120" bestFit="1" customWidth="1"/>
    <col min="2" max="3" width="11" style="120" customWidth="1"/>
    <col min="4" max="4" width="14.28515625" style="185" bestFit="1" customWidth="1"/>
    <col min="5" max="7" width="14.28515625" style="185" customWidth="1"/>
    <col min="8" max="8" width="4.140625" style="120" customWidth="1"/>
    <col min="9" max="9" width="36.140625" style="120" bestFit="1" customWidth="1"/>
    <col min="10" max="11" width="11" style="120" customWidth="1"/>
    <col min="12" max="12" width="14.42578125" style="185" customWidth="1"/>
    <col min="13" max="13" width="13.7109375" style="120" customWidth="1"/>
    <col min="14" max="14" width="13.7109375" style="325" customWidth="1"/>
    <col min="15" max="15" width="14.85546875" style="120" customWidth="1"/>
    <col min="16" max="16384" width="9.140625" style="120"/>
  </cols>
  <sheetData>
    <row r="4" spans="1:15" ht="30" customHeight="1" x14ac:dyDescent="0.25">
      <c r="A4" s="793" t="s">
        <v>667</v>
      </c>
      <c r="B4" s="793"/>
      <c r="C4" s="793"/>
      <c r="D4" s="793"/>
      <c r="E4" s="619"/>
      <c r="F4" s="658"/>
      <c r="G4" s="619"/>
    </row>
    <row r="5" spans="1:15" s="188" customFormat="1" x14ac:dyDescent="0.2">
      <c r="A5" s="186"/>
      <c r="B5" s="186"/>
      <c r="C5" s="186"/>
      <c r="D5" s="187"/>
      <c r="E5" s="187"/>
      <c r="F5" s="187"/>
      <c r="G5" s="187"/>
      <c r="L5" s="189"/>
    </row>
    <row r="6" spans="1:15" s="190" customFormat="1" ht="15.75" x14ac:dyDescent="0.25">
      <c r="A6" s="191" t="s">
        <v>159</v>
      </c>
      <c r="B6" s="191"/>
      <c r="C6" s="191"/>
      <c r="D6" s="191"/>
      <c r="E6" s="191"/>
      <c r="F6" s="191"/>
      <c r="G6" s="191"/>
      <c r="I6" s="191" t="s">
        <v>668</v>
      </c>
      <c r="J6" s="191"/>
      <c r="K6" s="191"/>
      <c r="L6" s="191"/>
    </row>
    <row r="7" spans="1:15" s="192" customFormat="1" ht="13.5" thickBot="1" x14ac:dyDescent="0.25">
      <c r="D7" s="193"/>
      <c r="E7" s="193"/>
      <c r="F7" s="193"/>
      <c r="G7" s="193"/>
      <c r="O7" s="303" t="s">
        <v>669</v>
      </c>
    </row>
    <row r="8" spans="1:15" ht="24.75" customHeight="1" x14ac:dyDescent="0.2">
      <c r="A8" s="791" t="s">
        <v>523</v>
      </c>
      <c r="B8" s="788" t="s">
        <v>1008</v>
      </c>
      <c r="C8" s="788" t="s">
        <v>1009</v>
      </c>
      <c r="D8" s="794" t="s">
        <v>1010</v>
      </c>
      <c r="E8" s="784" t="s">
        <v>1106</v>
      </c>
      <c r="F8" s="784" t="s">
        <v>1110</v>
      </c>
      <c r="G8" s="786" t="s">
        <v>1102</v>
      </c>
      <c r="I8" s="791" t="s">
        <v>523</v>
      </c>
      <c r="J8" s="788" t="s">
        <v>1008</v>
      </c>
      <c r="K8" s="788" t="s">
        <v>1009</v>
      </c>
      <c r="L8" s="771" t="s">
        <v>1010</v>
      </c>
      <c r="M8" s="784" t="s">
        <v>1106</v>
      </c>
      <c r="N8" s="784" t="s">
        <v>1110</v>
      </c>
      <c r="O8" s="786" t="s">
        <v>1102</v>
      </c>
    </row>
    <row r="9" spans="1:15" ht="28.5" customHeight="1" thickBot="1" x14ac:dyDescent="0.25">
      <c r="A9" s="792"/>
      <c r="B9" s="789"/>
      <c r="C9" s="789"/>
      <c r="D9" s="795"/>
      <c r="E9" s="785"/>
      <c r="F9" s="785"/>
      <c r="G9" s="787"/>
      <c r="I9" s="792"/>
      <c r="J9" s="789"/>
      <c r="K9" s="789"/>
      <c r="L9" s="790"/>
      <c r="M9" s="785"/>
      <c r="N9" s="785"/>
      <c r="O9" s="787"/>
    </row>
    <row r="10" spans="1:15" x14ac:dyDescent="0.2">
      <c r="A10" s="623" t="s">
        <v>750</v>
      </c>
      <c r="B10" s="523">
        <v>294783</v>
      </c>
      <c r="C10" s="523">
        <v>260151</v>
      </c>
      <c r="D10" s="621">
        <f>'1. 2016. mindösszesen'!C3</f>
        <v>133336</v>
      </c>
      <c r="E10" s="621">
        <f>'1. 2016. mindösszesen'!D3</f>
        <v>11563</v>
      </c>
      <c r="F10" s="621">
        <f>'1. 2016. mindösszesen'!E3</f>
        <v>34524</v>
      </c>
      <c r="G10" s="621">
        <f>'1. 2016. mindösszesen'!F3</f>
        <v>179423</v>
      </c>
      <c r="I10" s="624" t="s">
        <v>80</v>
      </c>
      <c r="J10" s="625">
        <v>225153</v>
      </c>
      <c r="K10" s="625">
        <v>167949</v>
      </c>
      <c r="L10" s="622">
        <f>'1. 2016. mindösszesen'!I3</f>
        <v>173850.75200000001</v>
      </c>
      <c r="M10" s="622">
        <f>'1. 2016. mindösszesen'!J3</f>
        <v>10106</v>
      </c>
      <c r="N10" s="622">
        <f>'1. 2016. mindösszesen'!K3</f>
        <v>2653</v>
      </c>
      <c r="O10" s="622">
        <f>'1. 2016. mindösszesen'!L3</f>
        <v>186479.75200000001</v>
      </c>
    </row>
    <row r="11" spans="1:15" x14ac:dyDescent="0.2">
      <c r="A11" s="199" t="s">
        <v>9</v>
      </c>
      <c r="B11" s="357">
        <v>277152</v>
      </c>
      <c r="C11" s="357">
        <v>338870</v>
      </c>
      <c r="D11" s="524">
        <f>'1. 2016. mindösszesen'!C18</f>
        <v>309500</v>
      </c>
      <c r="E11" s="524">
        <f>'1. 2016. mindösszesen'!D18</f>
        <v>0</v>
      </c>
      <c r="F11" s="524">
        <f>'1. 2016. mindösszesen'!E18</f>
        <v>0</v>
      </c>
      <c r="G11" s="524">
        <f>'1. 2016. mindösszesen'!F18</f>
        <v>309500</v>
      </c>
      <c r="I11" s="197" t="s">
        <v>81</v>
      </c>
      <c r="J11" s="508">
        <v>63033</v>
      </c>
      <c r="K11" s="508">
        <v>43526</v>
      </c>
      <c r="L11" s="305">
        <f>'1. 2016. mindösszesen'!I7</f>
        <v>47469.541878400007</v>
      </c>
      <c r="M11" s="305">
        <f>'1. 2016. mindösszesen'!J7</f>
        <v>1586</v>
      </c>
      <c r="N11" s="305">
        <f>'1. 2016. mindösszesen'!K7</f>
        <v>687</v>
      </c>
      <c r="O11" s="305">
        <f>'1. 2016. mindösszesen'!L7</f>
        <v>49744.541878400007</v>
      </c>
    </row>
    <row r="12" spans="1:15" x14ac:dyDescent="0.2">
      <c r="A12" s="199" t="s">
        <v>751</v>
      </c>
      <c r="B12" s="357">
        <v>195085</v>
      </c>
      <c r="C12" s="357">
        <v>127302</v>
      </c>
      <c r="D12" s="524">
        <f>'1. 2016. mindösszesen'!C25</f>
        <v>124091.6678</v>
      </c>
      <c r="E12" s="524">
        <f>'1. 2016. mindösszesen'!D25</f>
        <v>-1</v>
      </c>
      <c r="F12" s="524">
        <f>'1. 2016. mindösszesen'!E25</f>
        <v>-12118.999999999996</v>
      </c>
      <c r="G12" s="524">
        <f>'1. 2016. mindösszesen'!F25</f>
        <v>111972.6678</v>
      </c>
      <c r="I12" s="198" t="s">
        <v>83</v>
      </c>
      <c r="J12" s="509">
        <v>406246</v>
      </c>
      <c r="K12" s="509">
        <v>266307</v>
      </c>
      <c r="L12" s="305">
        <f>'1. 2016. mindösszesen'!I18</f>
        <v>320746.55390681891</v>
      </c>
      <c r="M12" s="305">
        <f>'1. 2016. mindösszesen'!J18</f>
        <v>-804</v>
      </c>
      <c r="N12" s="305">
        <f>'1. 2016. mindösszesen'!K18</f>
        <v>4992.8751968503948</v>
      </c>
      <c r="O12" s="305">
        <f>'1. 2016. mindösszesen'!L18</f>
        <v>325065.4291036693</v>
      </c>
    </row>
    <row r="13" spans="1:15" x14ac:dyDescent="0.2">
      <c r="A13" s="199" t="s">
        <v>33</v>
      </c>
      <c r="B13" s="357"/>
      <c r="C13" s="357"/>
      <c r="D13" s="525">
        <f>'1. 2016. mindösszesen'!C36</f>
        <v>8382</v>
      </c>
      <c r="E13" s="525">
        <f>'1. 2016. mindösszesen'!D36</f>
        <v>0</v>
      </c>
      <c r="F13" s="525">
        <f>'1. 2016. mindösszesen'!E36</f>
        <v>6575</v>
      </c>
      <c r="G13" s="525">
        <f>'1. 2016. mindösszesen'!F36</f>
        <v>14957</v>
      </c>
      <c r="I13" s="198" t="s">
        <v>84</v>
      </c>
      <c r="J13" s="509">
        <v>17030</v>
      </c>
      <c r="K13" s="509">
        <v>12509</v>
      </c>
      <c r="L13" s="305">
        <f>'1. 2016. mindösszesen'!I25</f>
        <v>8185</v>
      </c>
      <c r="M13" s="305">
        <f>'1. 2016. mindösszesen'!J25</f>
        <v>0</v>
      </c>
      <c r="N13" s="305">
        <f>'1. 2016. mindösszesen'!K25</f>
        <v>0</v>
      </c>
      <c r="O13" s="305">
        <f>'1. 2016. mindösszesen'!L25</f>
        <v>8185</v>
      </c>
    </row>
    <row r="14" spans="1:15" x14ac:dyDescent="0.2">
      <c r="A14" s="199" t="s">
        <v>754</v>
      </c>
      <c r="B14" s="357"/>
      <c r="C14" s="357"/>
      <c r="D14" s="525"/>
      <c r="E14" s="525"/>
      <c r="F14" s="525"/>
      <c r="G14" s="525"/>
      <c r="I14" s="200" t="s">
        <v>85</v>
      </c>
      <c r="J14" s="508">
        <v>51573</v>
      </c>
      <c r="K14" s="508">
        <v>76017</v>
      </c>
      <c r="L14" s="305">
        <f>'1. 2016. mindösszesen'!I36-L15</f>
        <v>31934.9</v>
      </c>
      <c r="M14" s="305">
        <f>'1. 2016. mindösszesen'!J36-M15</f>
        <v>74</v>
      </c>
      <c r="N14" s="305">
        <f>'1. 2016. mindösszesen'!K36-N15</f>
        <v>41565</v>
      </c>
      <c r="O14" s="305">
        <f>'1. 2016. mindösszesen'!L36-O15</f>
        <v>73573.899999999994</v>
      </c>
    </row>
    <row r="15" spans="1:15" ht="12.75" customHeight="1" x14ac:dyDescent="0.2">
      <c r="A15" s="199" t="s">
        <v>755</v>
      </c>
      <c r="B15" s="526"/>
      <c r="C15" s="526"/>
      <c r="D15" s="527"/>
      <c r="E15" s="527"/>
      <c r="F15" s="527"/>
      <c r="G15" s="527"/>
      <c r="I15" s="197" t="s">
        <v>95</v>
      </c>
      <c r="J15" s="508"/>
      <c r="K15" s="508"/>
      <c r="L15" s="305">
        <f>'1. 2016. mindösszesen'!I42</f>
        <v>2191</v>
      </c>
      <c r="M15" s="305">
        <f>'1. 2016. mindösszesen'!J42</f>
        <v>19987</v>
      </c>
      <c r="N15" s="305">
        <f>'1. 2016. mindösszesen'!K42</f>
        <v>6707</v>
      </c>
      <c r="O15" s="305">
        <f>'1. 2016. mindösszesen'!L42</f>
        <v>28885</v>
      </c>
    </row>
    <row r="16" spans="1:15" x14ac:dyDescent="0.2">
      <c r="A16" s="194"/>
      <c r="B16" s="358"/>
      <c r="C16" s="358"/>
      <c r="D16" s="196"/>
      <c r="E16" s="196"/>
      <c r="F16" s="196"/>
      <c r="G16" s="196"/>
      <c r="I16" s="197"/>
      <c r="J16" s="508"/>
      <c r="K16" s="508"/>
      <c r="L16" s="305"/>
      <c r="M16" s="305"/>
      <c r="N16" s="305"/>
      <c r="O16" s="305"/>
    </row>
    <row r="17" spans="1:15" s="201" customFormat="1" ht="13.5" x14ac:dyDescent="0.25">
      <c r="A17" s="528" t="s">
        <v>672</v>
      </c>
      <c r="B17" s="529">
        <f>SUM(B10:B16)</f>
        <v>767020</v>
      </c>
      <c r="C17" s="529">
        <f>SUM(C10:C16)</f>
        <v>726323</v>
      </c>
      <c r="D17" s="202">
        <f>SUM(D10:D16)</f>
        <v>575309.66779999994</v>
      </c>
      <c r="E17" s="202">
        <f t="shared" ref="E17" si="0">SUM(E10:E16)</f>
        <v>11562</v>
      </c>
      <c r="F17" s="202">
        <f>SUM(F10:F16)</f>
        <v>28980.000000000004</v>
      </c>
      <c r="G17" s="202">
        <f t="shared" ref="G17" si="1">SUM(G10:G16)</f>
        <v>615852.66779999994</v>
      </c>
      <c r="I17" s="528" t="s">
        <v>673</v>
      </c>
      <c r="J17" s="531">
        <f>SUM(J10:J16)</f>
        <v>763035</v>
      </c>
      <c r="K17" s="531">
        <f>SUM(K10:K16)</f>
        <v>566308</v>
      </c>
      <c r="L17" s="504">
        <f>SUM(L10:L16)</f>
        <v>584377.74778521887</v>
      </c>
      <c r="M17" s="504">
        <f t="shared" ref="M17" si="2">SUM(M10:M16)</f>
        <v>30949</v>
      </c>
      <c r="N17" s="504">
        <f t="shared" ref="N17:O17" si="3">SUM(N10:N16)</f>
        <v>56604.875196850393</v>
      </c>
      <c r="O17" s="504">
        <f t="shared" si="3"/>
        <v>671933.62298206927</v>
      </c>
    </row>
    <row r="18" spans="1:15" ht="13.5" thickBot="1" x14ac:dyDescent="0.25">
      <c r="A18" s="194"/>
      <c r="B18" s="358"/>
      <c r="C18" s="358"/>
      <c r="D18" s="196"/>
      <c r="E18" s="196"/>
      <c r="F18" s="196"/>
      <c r="G18" s="196"/>
      <c r="I18" s="502"/>
      <c r="J18" s="510"/>
      <c r="K18" s="510"/>
      <c r="L18" s="503"/>
      <c r="M18" s="503"/>
      <c r="N18" s="503"/>
      <c r="O18" s="503"/>
    </row>
    <row r="19" spans="1:15" s="192" customFormat="1" ht="12.75" customHeight="1" thickBot="1" x14ac:dyDescent="0.25">
      <c r="A19" s="537" t="s">
        <v>1011</v>
      </c>
      <c r="B19" s="535"/>
      <c r="C19" s="535"/>
      <c r="D19" s="538">
        <f>D17-L17</f>
        <v>-9068.0799852189375</v>
      </c>
      <c r="E19" s="538">
        <f>E17-M17</f>
        <v>-19387</v>
      </c>
      <c r="F19" s="538">
        <f>F17-N17</f>
        <v>-27624.875196850389</v>
      </c>
      <c r="G19" s="538">
        <f>G17-O17</f>
        <v>-56080.95518206933</v>
      </c>
      <c r="J19" s="206"/>
      <c r="K19" s="206"/>
      <c r="L19" s="193"/>
    </row>
    <row r="20" spans="1:15" s="192" customFormat="1" ht="11.25" x14ac:dyDescent="0.2">
      <c r="A20" s="206"/>
      <c r="B20" s="206"/>
      <c r="C20" s="206"/>
      <c r="D20" s="207"/>
      <c r="E20" s="207"/>
      <c r="F20" s="207"/>
      <c r="G20" s="207"/>
      <c r="J20" s="206"/>
      <c r="K20" s="206"/>
      <c r="L20" s="193"/>
    </row>
    <row r="21" spans="1:15" s="190" customFormat="1" ht="15.75" x14ac:dyDescent="0.25">
      <c r="A21" s="191" t="s">
        <v>39</v>
      </c>
      <c r="B21" s="360"/>
      <c r="C21" s="360"/>
      <c r="D21" s="191"/>
      <c r="E21" s="191"/>
      <c r="F21" s="191"/>
      <c r="G21" s="191"/>
      <c r="I21" s="191" t="s">
        <v>674</v>
      </c>
      <c r="J21" s="360"/>
      <c r="K21" s="360"/>
      <c r="L21" s="191"/>
    </row>
    <row r="22" spans="1:15" s="192" customFormat="1" ht="12" thickBot="1" x14ac:dyDescent="0.25">
      <c r="B22" s="206"/>
      <c r="C22" s="206"/>
      <c r="D22" s="193"/>
      <c r="E22" s="193"/>
      <c r="F22" s="193"/>
      <c r="G22" s="193"/>
      <c r="J22" s="206"/>
      <c r="K22" s="206"/>
      <c r="L22" s="193"/>
    </row>
    <row r="23" spans="1:15" x14ac:dyDescent="0.2">
      <c r="A23" s="208" t="s">
        <v>752</v>
      </c>
      <c r="B23" s="361">
        <v>276643</v>
      </c>
      <c r="C23" s="361">
        <v>20933</v>
      </c>
      <c r="D23" s="304">
        <f>'1. 2016. mindösszesen'!C58</f>
        <v>0</v>
      </c>
      <c r="E23" s="304">
        <f>'1. 2016. mindösszesen'!D58</f>
        <v>0</v>
      </c>
      <c r="F23" s="304">
        <f>'1. 2016. mindösszesen'!E58</f>
        <v>0</v>
      </c>
      <c r="G23" s="304">
        <f>'1. 2016. mindösszesen'!F58</f>
        <v>0</v>
      </c>
      <c r="I23" s="208" t="s">
        <v>125</v>
      </c>
      <c r="J23" s="361">
        <v>40586</v>
      </c>
      <c r="K23" s="361">
        <v>37135</v>
      </c>
      <c r="L23" s="304">
        <f>'1. 2016. mindösszesen'!I58</f>
        <v>97698.66</v>
      </c>
      <c r="M23" s="304">
        <f>'1. 2016. mindösszesen'!J58</f>
        <v>0</v>
      </c>
      <c r="N23" s="304">
        <f>'1. 2016. mindösszesen'!K58</f>
        <v>24269</v>
      </c>
      <c r="O23" s="304">
        <f>'1. 2016. mindösszesen'!L58</f>
        <v>121966.66</v>
      </c>
    </row>
    <row r="24" spans="1:15" x14ac:dyDescent="0.2">
      <c r="A24" s="195" t="s">
        <v>39</v>
      </c>
      <c r="B24" s="356">
        <v>171</v>
      </c>
      <c r="C24" s="357">
        <v>665</v>
      </c>
      <c r="D24" s="305">
        <f>'1. 2016. mindösszesen'!C64</f>
        <v>540</v>
      </c>
      <c r="E24" s="305">
        <f>'1. 2016. mindösszesen'!D64</f>
        <v>0</v>
      </c>
      <c r="F24" s="305">
        <f>'1. 2016. mindösszesen'!E64</f>
        <v>0</v>
      </c>
      <c r="G24" s="305">
        <f>'1. 2016. mindösszesen'!F64</f>
        <v>540</v>
      </c>
      <c r="I24" s="195" t="s">
        <v>87</v>
      </c>
      <c r="J24" s="356">
        <v>9677</v>
      </c>
      <c r="K24" s="374">
        <v>1336</v>
      </c>
      <c r="L24" s="305">
        <f>'1. 2016. mindösszesen'!I66</f>
        <v>56000</v>
      </c>
      <c r="M24" s="305">
        <f>'1. 2016. mindösszesen'!J66</f>
        <v>0</v>
      </c>
      <c r="N24" s="305">
        <f>'1. 2016. mindösszesen'!K66</f>
        <v>0</v>
      </c>
      <c r="O24" s="305">
        <f>'1. 2016. mindösszesen'!L66</f>
        <v>56000</v>
      </c>
    </row>
    <row r="25" spans="1:15" x14ac:dyDescent="0.2">
      <c r="A25" s="195" t="s">
        <v>42</v>
      </c>
      <c r="B25" s="356"/>
      <c r="C25" s="357">
        <v>37470</v>
      </c>
      <c r="D25" s="305">
        <f>'1. 2016. mindösszesen'!C70</f>
        <v>0</v>
      </c>
      <c r="E25" s="305">
        <f>'1. 2016. mindösszesen'!D70</f>
        <v>0</v>
      </c>
      <c r="F25" s="305">
        <f>'1. 2016. mindösszesen'!E70</f>
        <v>20000</v>
      </c>
      <c r="G25" s="305">
        <f>'1. 2016. mindösszesen'!F70</f>
        <v>20000</v>
      </c>
      <c r="I25" s="195" t="s">
        <v>753</v>
      </c>
      <c r="J25" s="356">
        <v>178</v>
      </c>
      <c r="K25" s="374"/>
      <c r="L25" s="305">
        <f>'1. 2016. mindösszesen'!I71</f>
        <v>0</v>
      </c>
      <c r="M25" s="305">
        <f>'1. 2016. mindösszesen'!J71</f>
        <v>600</v>
      </c>
      <c r="N25" s="305">
        <f>'1. 2016. mindösszesen'!K71</f>
        <v>0</v>
      </c>
      <c r="O25" s="305">
        <f>'1. 2016. mindösszesen'!L71</f>
        <v>600</v>
      </c>
    </row>
    <row r="26" spans="1:15" x14ac:dyDescent="0.2">
      <c r="A26" s="194" t="s">
        <v>783</v>
      </c>
      <c r="B26" s="358"/>
      <c r="C26" s="375"/>
      <c r="D26" s="305"/>
      <c r="E26" s="305"/>
      <c r="F26" s="305"/>
      <c r="G26" s="305"/>
      <c r="I26" s="194"/>
      <c r="J26" s="358"/>
      <c r="K26" s="375"/>
      <c r="L26" s="305"/>
      <c r="M26" s="305"/>
      <c r="N26" s="305"/>
      <c r="O26" s="305"/>
    </row>
    <row r="27" spans="1:15" x14ac:dyDescent="0.2">
      <c r="A27" s="199"/>
      <c r="B27" s="357"/>
      <c r="C27" s="376"/>
      <c r="D27" s="306"/>
      <c r="E27" s="306"/>
      <c r="F27" s="306"/>
      <c r="G27" s="306"/>
      <c r="I27" s="199"/>
      <c r="J27" s="357"/>
      <c r="K27" s="376"/>
      <c r="L27" s="306"/>
      <c r="M27" s="306"/>
      <c r="N27" s="306"/>
      <c r="O27" s="306"/>
    </row>
    <row r="28" spans="1:15" ht="13.5" x14ac:dyDescent="0.25">
      <c r="A28" s="528" t="s">
        <v>675</v>
      </c>
      <c r="B28" s="529">
        <f>SUM(B23:B27)</f>
        <v>276814</v>
      </c>
      <c r="C28" s="529">
        <f>SUM(C23:C27)</f>
        <v>59068</v>
      </c>
      <c r="D28" s="307">
        <f>SUM(D23:D27)</f>
        <v>540</v>
      </c>
      <c r="E28" s="307">
        <f t="shared" ref="E28" si="4">SUM(E23:E27)</f>
        <v>0</v>
      </c>
      <c r="F28" s="307">
        <f t="shared" ref="F28:G28" si="5">SUM(F23:F27)</f>
        <v>20000</v>
      </c>
      <c r="G28" s="307">
        <f t="shared" si="5"/>
        <v>20540</v>
      </c>
      <c r="I28" s="528" t="s">
        <v>676</v>
      </c>
      <c r="J28" s="529">
        <f>SUM(J23:J27)</f>
        <v>50441</v>
      </c>
      <c r="K28" s="529">
        <f>SUM(K23:K27)</f>
        <v>38471</v>
      </c>
      <c r="L28" s="307">
        <f>SUM(L23:L27)</f>
        <v>153698.66</v>
      </c>
      <c r="M28" s="307">
        <f t="shared" ref="M28" si="6">SUM(M23:M27)</f>
        <v>600</v>
      </c>
      <c r="N28" s="307">
        <f t="shared" ref="N28:O28" si="7">SUM(N23:N27)</f>
        <v>24269</v>
      </c>
      <c r="O28" s="307">
        <f t="shared" si="7"/>
        <v>178566.66</v>
      </c>
    </row>
    <row r="29" spans="1:15" s="325" customFormat="1" ht="13.5" x14ac:dyDescent="0.25">
      <c r="A29" s="511"/>
      <c r="B29" s="512"/>
      <c r="C29" s="512"/>
      <c r="D29" s="513"/>
      <c r="E29" s="513"/>
      <c r="F29" s="513"/>
      <c r="G29" s="513"/>
      <c r="I29" s="511"/>
      <c r="J29" s="512"/>
      <c r="K29" s="512"/>
      <c r="L29" s="513"/>
      <c r="M29" s="513"/>
      <c r="N29" s="513"/>
      <c r="O29" s="513"/>
    </row>
    <row r="30" spans="1:15" s="203" customFormat="1" ht="13.5" thickBot="1" x14ac:dyDescent="0.25">
      <c r="A30" s="534" t="s">
        <v>1012</v>
      </c>
      <c r="B30" s="535"/>
      <c r="C30" s="535"/>
      <c r="D30" s="536">
        <f>D28-L28</f>
        <v>-153158.66</v>
      </c>
      <c r="E30" s="536">
        <f>E28-M28</f>
        <v>-600</v>
      </c>
      <c r="F30" s="536">
        <f>F28-N28</f>
        <v>-4269</v>
      </c>
      <c r="G30" s="536">
        <f>G28-O28</f>
        <v>-158026.66</v>
      </c>
      <c r="I30" s="205"/>
      <c r="J30" s="359"/>
      <c r="K30" s="359"/>
      <c r="L30" s="514"/>
      <c r="M30" s="514"/>
      <c r="N30" s="514"/>
      <c r="O30" s="514"/>
    </row>
    <row r="31" spans="1:15" s="210" customFormat="1" ht="21" customHeight="1" x14ac:dyDescent="0.25">
      <c r="A31" s="532" t="s">
        <v>1013</v>
      </c>
      <c r="B31" s="532"/>
      <c r="C31" s="532"/>
      <c r="D31" s="533">
        <f>D17+D28-L17-L28</f>
        <v>-162226.73998521894</v>
      </c>
      <c r="E31" s="533">
        <f>E17+E28-M17-M28</f>
        <v>-19987</v>
      </c>
      <c r="F31" s="533">
        <f>F17+F28-N17-N28</f>
        <v>-31893.875196850393</v>
      </c>
      <c r="G31" s="533">
        <f>G17+G28-O17-O28</f>
        <v>-214107.61518206933</v>
      </c>
      <c r="H31" s="209"/>
      <c r="I31" s="184"/>
      <c r="J31" s="184"/>
      <c r="K31" s="184"/>
      <c r="L31" s="185"/>
    </row>
    <row r="32" spans="1:15" ht="13.5" thickBot="1" x14ac:dyDescent="0.25">
      <c r="O32" s="325"/>
    </row>
    <row r="33" spans="1:15" x14ac:dyDescent="0.2">
      <c r="A33" s="505" t="s">
        <v>1015</v>
      </c>
      <c r="B33" s="361">
        <f>58704+4599</f>
        <v>63303</v>
      </c>
      <c r="C33" s="361">
        <f>209678-177743</f>
        <v>31935</v>
      </c>
      <c r="D33" s="576">
        <f>'1. 2016. mindösszesen'!C85</f>
        <v>109156</v>
      </c>
      <c r="E33" s="576">
        <f>'1. 2016. mindösszesen'!D85</f>
        <v>24618</v>
      </c>
      <c r="F33" s="576">
        <f>'1. 2016. mindösszesen'!E85+'1. 2016. mindösszesen'!E87</f>
        <v>84965</v>
      </c>
      <c r="G33" s="576">
        <f>'1. 2016. mindösszesen'!F85+'1. 2016. mindösszesen'!F87</f>
        <v>218739</v>
      </c>
      <c r="H33" s="325"/>
      <c r="I33" s="505" t="s">
        <v>1017</v>
      </c>
      <c r="J33" s="506"/>
      <c r="K33" s="506"/>
      <c r="L33" s="507"/>
      <c r="M33" s="507">
        <f>'1. 2016. mindösszesen'!J84</f>
        <v>4631</v>
      </c>
      <c r="N33" s="507">
        <f>'1. 2016. mindösszesen'!K84</f>
        <v>0</v>
      </c>
      <c r="O33" s="507">
        <f>'1. 2016. mindösszesen'!L84</f>
        <v>4631</v>
      </c>
    </row>
    <row r="34" spans="1:15" s="325" customFormat="1" x14ac:dyDescent="0.2">
      <c r="A34" s="199" t="s">
        <v>1016</v>
      </c>
      <c r="B34" s="521"/>
      <c r="C34" s="521"/>
      <c r="D34" s="522">
        <f>'1. 2016. mindösszesen'!C97</f>
        <v>53070.51</v>
      </c>
      <c r="E34" s="522">
        <f>'1. 2016. mindösszesen'!D97</f>
        <v>0</v>
      </c>
      <c r="F34" s="522">
        <f>'1. 2016. mindösszesen'!E97</f>
        <v>-53071</v>
      </c>
      <c r="G34" s="522">
        <f>'1. 2016. mindösszesen'!F97</f>
        <v>-0.48999999999796273</v>
      </c>
      <c r="I34" s="199" t="s">
        <v>1018</v>
      </c>
      <c r="J34" s="357">
        <v>261028</v>
      </c>
      <c r="K34" s="357">
        <f>4599+150000</f>
        <v>154599</v>
      </c>
      <c r="L34" s="500"/>
      <c r="M34" s="500"/>
      <c r="N34" s="500"/>
      <c r="O34" s="500"/>
    </row>
    <row r="35" spans="1:15" ht="13.5" x14ac:dyDescent="0.25">
      <c r="A35" s="528" t="s">
        <v>670</v>
      </c>
      <c r="B35" s="530">
        <f>SUM(B33:B34)</f>
        <v>63303</v>
      </c>
      <c r="C35" s="530">
        <f>SUM(C33:C34)</f>
        <v>31935</v>
      </c>
      <c r="D35" s="504">
        <f>SUM(D33:D34)</f>
        <v>162226.51</v>
      </c>
      <c r="E35" s="504">
        <f t="shared" ref="E35" si="8">SUM(E33:E34)</f>
        <v>24618</v>
      </c>
      <c r="F35" s="504">
        <f>SUM(F33:F34)</f>
        <v>31894</v>
      </c>
      <c r="G35" s="504">
        <f t="shared" ref="G35" si="9">SUM(G33:G34)</f>
        <v>218738.51</v>
      </c>
      <c r="H35" s="325"/>
      <c r="I35" s="528" t="s">
        <v>671</v>
      </c>
      <c r="J35" s="530">
        <f>SUM(J33:J34)</f>
        <v>261028</v>
      </c>
      <c r="K35" s="530">
        <f>SUM(K33:K34)</f>
        <v>154599</v>
      </c>
      <c r="L35" s="504">
        <f>SUM(L33:L34)</f>
        <v>0</v>
      </c>
      <c r="M35" s="504">
        <f t="shared" ref="M35" si="10">SUM(M33:M34)</f>
        <v>4631</v>
      </c>
      <c r="N35" s="504">
        <f t="shared" ref="N35:O35" si="11">SUM(N33:N34)</f>
        <v>0</v>
      </c>
      <c r="O35" s="504">
        <f t="shared" si="11"/>
        <v>4631</v>
      </c>
    </row>
    <row r="36" spans="1:15" s="325" customFormat="1" ht="13.5" x14ac:dyDescent="0.25">
      <c r="A36" s="518"/>
      <c r="B36" s="519"/>
      <c r="C36" s="519"/>
      <c r="D36" s="520"/>
      <c r="E36" s="520"/>
      <c r="F36" s="520"/>
      <c r="G36" s="520"/>
      <c r="I36" s="517"/>
      <c r="J36" s="501"/>
      <c r="K36" s="501"/>
      <c r="L36" s="504"/>
      <c r="M36" s="504"/>
      <c r="N36" s="504"/>
      <c r="O36" s="504"/>
    </row>
    <row r="37" spans="1:15" ht="17.25" customHeight="1" thickBot="1" x14ac:dyDescent="0.25">
      <c r="A37" s="539" t="s">
        <v>1014</v>
      </c>
      <c r="B37" s="540"/>
      <c r="C37" s="540"/>
      <c r="D37" s="541">
        <f>D35-L35</f>
        <v>162226.51</v>
      </c>
      <c r="E37" s="541">
        <f t="shared" ref="E37" si="12">E35-M35</f>
        <v>19987</v>
      </c>
      <c r="F37" s="541">
        <f>F35-N35</f>
        <v>31894</v>
      </c>
      <c r="G37" s="541">
        <f>G35-O35</f>
        <v>214107.51</v>
      </c>
      <c r="H37" s="203"/>
      <c r="I37" s="204"/>
      <c r="J37" s="515"/>
      <c r="K37" s="515"/>
      <c r="L37" s="516"/>
      <c r="M37" s="516"/>
      <c r="N37" s="516"/>
      <c r="O37" s="516"/>
    </row>
    <row r="38" spans="1:15" x14ac:dyDescent="0.2">
      <c r="O38" s="325"/>
    </row>
    <row r="39" spans="1:15" x14ac:dyDescent="0.2">
      <c r="B39" s="185"/>
      <c r="C39" s="185"/>
      <c r="H39" s="185"/>
      <c r="I39" s="185"/>
      <c r="J39" s="185"/>
      <c r="K39" s="185"/>
      <c r="O39" s="325"/>
    </row>
    <row r="40" spans="1:15" x14ac:dyDescent="0.2">
      <c r="C40" s="185"/>
      <c r="K40" s="185"/>
    </row>
  </sheetData>
  <mergeCells count="15">
    <mergeCell ref="I8:I9"/>
    <mergeCell ref="E8:E9"/>
    <mergeCell ref="G8:G9"/>
    <mergeCell ref="A4:D4"/>
    <mergeCell ref="A8:A9"/>
    <mergeCell ref="B8:B9"/>
    <mergeCell ref="C8:C9"/>
    <mergeCell ref="D8:D9"/>
    <mergeCell ref="F8:F9"/>
    <mergeCell ref="M8:M9"/>
    <mergeCell ref="O8:O9"/>
    <mergeCell ref="J8:J9"/>
    <mergeCell ref="K8:K9"/>
    <mergeCell ref="L8:L9"/>
    <mergeCell ref="N8:N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firstPageNumber="36" orientation="landscape" r:id="rId1"/>
  <headerFooter>
    <oddHeader>&amp;CTaksony Nagyközség Önkormányzat 2016. évi költségvetés 
2. sz. módosítás&amp;R12.sz. melléklet</oddHeader>
    <oddFooter xml:space="preserve">&amp;LKészült: &amp;D
&amp;R/:Kreisz László://:Dr.Micheller Anita:/      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P67"/>
  <sheetViews>
    <sheetView view="pageBreakPreview" zoomScale="60" zoomScaleNormal="70" workbookViewId="0">
      <pane xSplit="1" ySplit="5" topLeftCell="B6" activePane="bottomRight" state="frozen"/>
      <selection activeCell="G32" sqref="G32"/>
      <selection pane="topRight" activeCell="G32" sqref="G32"/>
      <selection pane="bottomLeft" activeCell="G32" sqref="G32"/>
      <selection pane="bottomRight" activeCell="C38" sqref="C38"/>
    </sheetView>
  </sheetViews>
  <sheetFormatPr defaultRowHeight="15" x14ac:dyDescent="0.25"/>
  <cols>
    <col min="1" max="1" width="58.140625" style="291" bestFit="1" customWidth="1"/>
    <col min="2" max="14" width="19.5703125" style="291" customWidth="1"/>
    <col min="15" max="15" width="9.140625" style="291"/>
    <col min="16" max="16" width="13.42578125" style="291" bestFit="1" customWidth="1"/>
    <col min="17" max="16384" width="9.140625" style="291"/>
  </cols>
  <sheetData>
    <row r="1" spans="1:16" ht="20.25" x14ac:dyDescent="0.25">
      <c r="A1" s="821" t="s">
        <v>704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21"/>
      <c r="M1" s="821"/>
      <c r="N1" s="821"/>
    </row>
    <row r="2" spans="1:16" ht="20.25" x14ac:dyDescent="0.25">
      <c r="A2" s="821" t="s">
        <v>948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1"/>
    </row>
    <row r="3" spans="1:16" ht="21" customHeight="1" thickBot="1" x14ac:dyDescent="0.3">
      <c r="A3" s="292"/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</row>
    <row r="4" spans="1:16" ht="116.25" customHeight="1" x14ac:dyDescent="0.25">
      <c r="A4" s="816" t="s">
        <v>705</v>
      </c>
      <c r="B4" s="822" t="s">
        <v>949</v>
      </c>
      <c r="C4" s="824" t="s">
        <v>706</v>
      </c>
      <c r="D4" s="826" t="s">
        <v>707</v>
      </c>
      <c r="E4" s="816" t="s">
        <v>708</v>
      </c>
      <c r="F4" s="816" t="s">
        <v>709</v>
      </c>
      <c r="G4" s="293" t="s">
        <v>710</v>
      </c>
      <c r="H4" s="828" t="s">
        <v>711</v>
      </c>
      <c r="I4" s="829"/>
      <c r="J4" s="828" t="s">
        <v>712</v>
      </c>
      <c r="K4" s="829"/>
      <c r="L4" s="816" t="s">
        <v>713</v>
      </c>
      <c r="M4" s="818" t="s">
        <v>714</v>
      </c>
      <c r="N4" s="819"/>
      <c r="O4" s="294"/>
      <c r="P4" s="294"/>
    </row>
    <row r="5" spans="1:16" ht="33" customHeight="1" thickBot="1" x14ac:dyDescent="0.3">
      <c r="A5" s="817"/>
      <c r="B5" s="823"/>
      <c r="C5" s="825"/>
      <c r="D5" s="827"/>
      <c r="E5" s="817"/>
      <c r="F5" s="817"/>
      <c r="G5" s="295" t="s">
        <v>25</v>
      </c>
      <c r="H5" s="296" t="s">
        <v>715</v>
      </c>
      <c r="I5" s="297" t="s">
        <v>716</v>
      </c>
      <c r="J5" s="296" t="s">
        <v>715</v>
      </c>
      <c r="K5" s="297" t="s">
        <v>716</v>
      </c>
      <c r="L5" s="817"/>
      <c r="M5" s="298" t="s">
        <v>9</v>
      </c>
      <c r="N5" s="299" t="s">
        <v>39</v>
      </c>
      <c r="O5" s="294"/>
      <c r="P5" s="294"/>
    </row>
    <row r="6" spans="1:16" ht="21" customHeight="1" x14ac:dyDescent="0.25">
      <c r="A6" s="449" t="s">
        <v>717</v>
      </c>
      <c r="B6" s="450"/>
      <c r="C6" s="451">
        <f>35000000+24232000</f>
        <v>59232000</v>
      </c>
      <c r="D6" s="452">
        <f>SUM(E6:L6)+N6</f>
        <v>24772000</v>
      </c>
      <c r="E6" s="453"/>
      <c r="F6" s="453"/>
      <c r="G6" s="453"/>
      <c r="H6" s="453"/>
      <c r="I6" s="453"/>
      <c r="J6" s="453"/>
      <c r="K6" s="453"/>
      <c r="L6" s="453">
        <f>20597000+3635000</f>
        <v>24232000</v>
      </c>
      <c r="M6" s="454">
        <f>C6-D6</f>
        <v>34460000</v>
      </c>
      <c r="N6" s="455">
        <v>540000</v>
      </c>
      <c r="O6" s="294"/>
      <c r="P6" s="294"/>
    </row>
    <row r="7" spans="1:16" ht="21" customHeight="1" x14ac:dyDescent="0.25">
      <c r="A7" s="301" t="s">
        <v>718</v>
      </c>
      <c r="B7" s="456"/>
      <c r="C7" s="300"/>
      <c r="D7" s="454"/>
      <c r="E7" s="457"/>
      <c r="F7" s="457"/>
      <c r="G7" s="457"/>
      <c r="H7" s="457"/>
      <c r="I7" s="457"/>
      <c r="J7" s="457"/>
      <c r="K7" s="457"/>
      <c r="L7" s="457"/>
      <c r="M7" s="454"/>
      <c r="N7" s="458"/>
      <c r="O7" s="294"/>
      <c r="P7" s="294"/>
    </row>
    <row r="8" spans="1:16" ht="21" customHeight="1" x14ac:dyDescent="0.25">
      <c r="A8" s="301" t="s">
        <v>719</v>
      </c>
      <c r="B8" s="456">
        <f>82211000+156591</f>
        <v>82367591</v>
      </c>
      <c r="C8" s="300">
        <f>113175000+212000+146000</f>
        <v>113533000</v>
      </c>
      <c r="D8" s="454">
        <f>SUM(E8:L8)</f>
        <v>96725000</v>
      </c>
      <c r="E8" s="457">
        <f>82055000+96000</f>
        <v>82151000</v>
      </c>
      <c r="F8" s="457"/>
      <c r="G8" s="457">
        <v>1408000</v>
      </c>
      <c r="H8" s="457">
        <f>116000+5525000</f>
        <v>5641000</v>
      </c>
      <c r="I8" s="457"/>
      <c r="J8" s="457">
        <f>8382000-5525000</f>
        <v>2857000</v>
      </c>
      <c r="K8" s="457"/>
      <c r="L8" s="457">
        <v>4668000</v>
      </c>
      <c r="M8" s="454">
        <f>C8-D8</f>
        <v>16808000</v>
      </c>
      <c r="N8" s="458"/>
      <c r="O8" s="294"/>
      <c r="P8" s="294"/>
    </row>
    <row r="9" spans="1:16" ht="21" customHeight="1" x14ac:dyDescent="0.25">
      <c r="A9" s="301" t="s">
        <v>720</v>
      </c>
      <c r="B9" s="456"/>
      <c r="C9" s="300"/>
      <c r="D9" s="454"/>
      <c r="E9" s="457"/>
      <c r="F9" s="457"/>
      <c r="G9" s="457"/>
      <c r="H9" s="457"/>
      <c r="I9" s="457"/>
      <c r="J9" s="457"/>
      <c r="K9" s="457"/>
      <c r="L9" s="457"/>
      <c r="M9" s="454"/>
      <c r="N9" s="458"/>
      <c r="O9" s="294"/>
      <c r="P9" s="294"/>
    </row>
    <row r="10" spans="1:16" ht="21" customHeight="1" x14ac:dyDescent="0.25">
      <c r="A10" s="459" t="s">
        <v>721</v>
      </c>
      <c r="B10" s="456">
        <v>100000</v>
      </c>
      <c r="C10" s="802">
        <f>18747000+1330000+3250000+2600000+1340000</f>
        <v>27267000</v>
      </c>
      <c r="D10" s="796">
        <f>E10</f>
        <v>0</v>
      </c>
      <c r="E10" s="804"/>
      <c r="F10" s="806"/>
      <c r="G10" s="806"/>
      <c r="H10" s="806"/>
      <c r="I10" s="806"/>
      <c r="J10" s="806"/>
      <c r="K10" s="806"/>
      <c r="L10" s="806"/>
      <c r="M10" s="796">
        <f>C10-D10</f>
        <v>27267000</v>
      </c>
      <c r="N10" s="799"/>
      <c r="O10" s="294"/>
      <c r="P10" s="294"/>
    </row>
    <row r="11" spans="1:16" ht="21" customHeight="1" x14ac:dyDescent="0.25">
      <c r="A11" s="459" t="s">
        <v>765</v>
      </c>
      <c r="B11" s="456">
        <v>6721220</v>
      </c>
      <c r="C11" s="811"/>
      <c r="D11" s="797"/>
      <c r="E11" s="812"/>
      <c r="F11" s="810"/>
      <c r="G11" s="810"/>
      <c r="H11" s="810"/>
      <c r="I11" s="810"/>
      <c r="J11" s="810"/>
      <c r="K11" s="810"/>
      <c r="L11" s="810"/>
      <c r="M11" s="797"/>
      <c r="N11" s="800"/>
      <c r="O11" s="294"/>
      <c r="P11" s="294"/>
    </row>
    <row r="12" spans="1:16" ht="21" customHeight="1" x14ac:dyDescent="0.25">
      <c r="A12" s="459" t="s">
        <v>723</v>
      </c>
      <c r="B12" s="456">
        <v>8124330</v>
      </c>
      <c r="C12" s="803"/>
      <c r="D12" s="798"/>
      <c r="E12" s="805"/>
      <c r="F12" s="807"/>
      <c r="G12" s="807"/>
      <c r="H12" s="807"/>
      <c r="I12" s="807"/>
      <c r="J12" s="807"/>
      <c r="K12" s="807"/>
      <c r="L12" s="807"/>
      <c r="M12" s="798"/>
      <c r="N12" s="801"/>
      <c r="O12" s="294"/>
      <c r="P12" s="294"/>
    </row>
    <row r="13" spans="1:16" ht="21" customHeight="1" x14ac:dyDescent="0.25">
      <c r="A13" s="459" t="s">
        <v>722</v>
      </c>
      <c r="B13" s="456">
        <v>15040000</v>
      </c>
      <c r="C13" s="300">
        <f>2123000+4049000</f>
        <v>6172000</v>
      </c>
      <c r="D13" s="454">
        <f>E13</f>
        <v>0</v>
      </c>
      <c r="E13" s="457">
        <v>0</v>
      </c>
      <c r="F13" s="457"/>
      <c r="G13" s="457"/>
      <c r="H13" s="457"/>
      <c r="I13" s="457"/>
      <c r="J13" s="457"/>
      <c r="K13" s="457"/>
      <c r="L13" s="457"/>
      <c r="M13" s="454">
        <f>C13-D13</f>
        <v>6172000</v>
      </c>
      <c r="N13" s="458"/>
      <c r="O13" s="294"/>
      <c r="P13" s="294"/>
    </row>
    <row r="14" spans="1:16" ht="33" customHeight="1" x14ac:dyDescent="0.25">
      <c r="A14" s="460" t="s">
        <v>724</v>
      </c>
      <c r="B14" s="456"/>
      <c r="C14" s="300"/>
      <c r="D14" s="454"/>
      <c r="E14" s="457"/>
      <c r="F14" s="457"/>
      <c r="G14" s="457"/>
      <c r="H14" s="457"/>
      <c r="I14" s="457"/>
      <c r="J14" s="457"/>
      <c r="K14" s="457"/>
      <c r="L14" s="457"/>
      <c r="M14" s="454"/>
      <c r="N14" s="458"/>
      <c r="O14" s="294"/>
      <c r="P14" s="294"/>
    </row>
    <row r="15" spans="1:16" s="337" customFormat="1" ht="21" customHeight="1" x14ac:dyDescent="0.25">
      <c r="A15" s="461" t="s">
        <v>725</v>
      </c>
      <c r="B15" s="456"/>
      <c r="C15" s="300">
        <f>1760000+3000000</f>
        <v>4760000</v>
      </c>
      <c r="D15" s="454">
        <f>SUM(E15:L15)</f>
        <v>836000</v>
      </c>
      <c r="E15" s="462"/>
      <c r="F15" s="462"/>
      <c r="G15" s="462"/>
      <c r="H15" s="462">
        <f>66000*12+44000</f>
        <v>836000</v>
      </c>
      <c r="I15" s="462"/>
      <c r="J15" s="462"/>
      <c r="K15" s="462"/>
      <c r="L15" s="462"/>
      <c r="M15" s="454">
        <f>C15-D15</f>
        <v>3924000</v>
      </c>
      <c r="N15" s="458"/>
      <c r="O15" s="336"/>
      <c r="P15" s="336"/>
    </row>
    <row r="16" spans="1:16" ht="21" customHeight="1" x14ac:dyDescent="0.25">
      <c r="A16" s="301" t="s">
        <v>726</v>
      </c>
      <c r="B16" s="456"/>
      <c r="C16" s="300"/>
      <c r="D16" s="454"/>
      <c r="E16" s="457"/>
      <c r="F16" s="457"/>
      <c r="G16" s="457"/>
      <c r="H16" s="457"/>
      <c r="I16" s="457"/>
      <c r="J16" s="457"/>
      <c r="K16" s="457"/>
      <c r="L16" s="457"/>
      <c r="M16" s="454"/>
      <c r="N16" s="458"/>
      <c r="O16" s="294"/>
      <c r="P16" s="294"/>
    </row>
    <row r="17" spans="1:16" ht="21" customHeight="1" x14ac:dyDescent="0.25">
      <c r="A17" s="301" t="s">
        <v>1134</v>
      </c>
      <c r="B17" s="456">
        <f>1482300+195840+137322</f>
        <v>1815462</v>
      </c>
      <c r="C17" s="300">
        <v>6857000</v>
      </c>
      <c r="D17" s="454">
        <f>SUM(E17:L17)</f>
        <v>3607000</v>
      </c>
      <c r="E17" s="457">
        <f>195840+137322+1482300-462</f>
        <v>1815000</v>
      </c>
      <c r="F17" s="457"/>
      <c r="G17" s="457">
        <v>1792000</v>
      </c>
      <c r="H17" s="457"/>
      <c r="I17" s="457"/>
      <c r="J17" s="457"/>
      <c r="K17" s="457"/>
      <c r="L17" s="457"/>
      <c r="M17" s="454">
        <f>C17-D17</f>
        <v>3250000</v>
      </c>
      <c r="N17" s="458"/>
      <c r="O17" s="294"/>
      <c r="P17" s="294"/>
    </row>
    <row r="18" spans="1:16" ht="21" customHeight="1" x14ac:dyDescent="0.25">
      <c r="A18" s="301" t="s">
        <v>727</v>
      </c>
      <c r="B18" s="456"/>
      <c r="C18" s="802"/>
      <c r="D18" s="796"/>
      <c r="E18" s="804"/>
      <c r="F18" s="804"/>
      <c r="G18" s="804"/>
      <c r="H18" s="806"/>
      <c r="I18" s="806"/>
      <c r="J18" s="806"/>
      <c r="K18" s="806"/>
      <c r="L18" s="808"/>
      <c r="M18" s="796"/>
      <c r="N18" s="799"/>
      <c r="O18" s="294"/>
      <c r="P18" s="294"/>
    </row>
    <row r="19" spans="1:16" ht="21" customHeight="1" x14ac:dyDescent="0.25">
      <c r="A19" s="301" t="s">
        <v>767</v>
      </c>
      <c r="B19" s="456"/>
      <c r="C19" s="803"/>
      <c r="D19" s="798"/>
      <c r="E19" s="805"/>
      <c r="F19" s="805"/>
      <c r="G19" s="805"/>
      <c r="H19" s="807"/>
      <c r="I19" s="807"/>
      <c r="J19" s="807"/>
      <c r="K19" s="807"/>
      <c r="L19" s="809"/>
      <c r="M19" s="798"/>
      <c r="N19" s="801"/>
      <c r="O19" s="294"/>
      <c r="P19" s="294"/>
    </row>
    <row r="20" spans="1:16" ht="21" customHeight="1" x14ac:dyDescent="0.25">
      <c r="A20" s="301" t="s">
        <v>728</v>
      </c>
      <c r="B20" s="456">
        <f>7181000+242534</f>
        <v>7423534</v>
      </c>
      <c r="C20" s="300">
        <v>19911000</v>
      </c>
      <c r="D20" s="454">
        <f>SUM(E20:L20)</f>
        <v>10851000</v>
      </c>
      <c r="E20" s="457">
        <v>7423000</v>
      </c>
      <c r="F20" s="457"/>
      <c r="G20" s="457">
        <v>3150000</v>
      </c>
      <c r="H20" s="457"/>
      <c r="I20" s="457"/>
      <c r="J20" s="457"/>
      <c r="K20" s="457"/>
      <c r="L20" s="457">
        <v>278000</v>
      </c>
      <c r="M20" s="454">
        <f>C20-D20</f>
        <v>9060000</v>
      </c>
      <c r="N20" s="458"/>
      <c r="O20" s="294"/>
      <c r="P20" s="294"/>
    </row>
    <row r="21" spans="1:16" ht="21" customHeight="1" x14ac:dyDescent="0.25">
      <c r="A21" s="301" t="s">
        <v>729</v>
      </c>
      <c r="B21" s="456"/>
      <c r="C21" s="300"/>
      <c r="D21" s="454"/>
      <c r="E21" s="457"/>
      <c r="F21" s="457"/>
      <c r="G21" s="457"/>
      <c r="H21" s="457"/>
      <c r="I21" s="457"/>
      <c r="J21" s="457"/>
      <c r="K21" s="457"/>
      <c r="L21" s="457"/>
      <c r="M21" s="454"/>
      <c r="N21" s="458"/>
      <c r="O21" s="294"/>
      <c r="P21" s="294"/>
    </row>
    <row r="22" spans="1:16" ht="21" customHeight="1" x14ac:dyDescent="0.25">
      <c r="A22" s="459" t="s">
        <v>947</v>
      </c>
      <c r="B22" s="463">
        <v>18162795</v>
      </c>
      <c r="C22" s="464">
        <v>7635000</v>
      </c>
      <c r="D22" s="454">
        <f>SUM(E22:L22)</f>
        <v>18163000</v>
      </c>
      <c r="E22" s="457">
        <v>18163000</v>
      </c>
      <c r="F22" s="457"/>
      <c r="G22" s="457"/>
      <c r="H22" s="457"/>
      <c r="I22" s="457"/>
      <c r="J22" s="457"/>
      <c r="K22" s="457"/>
      <c r="L22" s="457"/>
      <c r="M22" s="454">
        <f>C22-D22</f>
        <v>-10528000</v>
      </c>
      <c r="N22" s="458"/>
      <c r="O22" s="294"/>
      <c r="P22" s="294"/>
    </row>
    <row r="23" spans="1:16" ht="21" customHeight="1" x14ac:dyDescent="0.25">
      <c r="A23" s="465" t="s">
        <v>946</v>
      </c>
      <c r="B23" s="466">
        <v>3900000</v>
      </c>
      <c r="C23" s="830">
        <f>42811000+1067000+463000</f>
        <v>44341000</v>
      </c>
      <c r="D23" s="814">
        <f>SUM(E23:L25)</f>
        <v>26197000</v>
      </c>
      <c r="E23" s="813">
        <f>8542000+104000</f>
        <v>8646000</v>
      </c>
      <c r="F23" s="810"/>
      <c r="G23" s="813">
        <v>3140000</v>
      </c>
      <c r="H23" s="813">
        <f>12045000+963000</f>
        <v>13008000</v>
      </c>
      <c r="I23" s="810"/>
      <c r="J23" s="810"/>
      <c r="K23" s="810"/>
      <c r="L23" s="813">
        <v>1403000</v>
      </c>
      <c r="M23" s="814">
        <f>C23-D23</f>
        <v>18144000</v>
      </c>
      <c r="N23" s="800"/>
      <c r="O23" s="294"/>
      <c r="P23" s="294"/>
    </row>
    <row r="24" spans="1:16" ht="21" customHeight="1" x14ac:dyDescent="0.25">
      <c r="A24" s="459" t="s">
        <v>730</v>
      </c>
      <c r="B24" s="463">
        <v>1273280</v>
      </c>
      <c r="C24" s="830"/>
      <c r="D24" s="814"/>
      <c r="E24" s="813"/>
      <c r="F24" s="810"/>
      <c r="G24" s="813"/>
      <c r="H24" s="813"/>
      <c r="I24" s="810"/>
      <c r="J24" s="810"/>
      <c r="K24" s="810"/>
      <c r="L24" s="813"/>
      <c r="M24" s="814"/>
      <c r="N24" s="800"/>
      <c r="O24" s="294"/>
      <c r="P24" s="294"/>
    </row>
    <row r="25" spans="1:16" ht="21" customHeight="1" x14ac:dyDescent="0.25">
      <c r="A25" s="459" t="s">
        <v>731</v>
      </c>
      <c r="B25" s="463">
        <v>1160000</v>
      </c>
      <c r="C25" s="831"/>
      <c r="D25" s="815"/>
      <c r="E25" s="809"/>
      <c r="F25" s="807"/>
      <c r="G25" s="809"/>
      <c r="H25" s="809"/>
      <c r="I25" s="807"/>
      <c r="J25" s="807"/>
      <c r="K25" s="807"/>
      <c r="L25" s="809"/>
      <c r="M25" s="815"/>
      <c r="N25" s="801"/>
      <c r="O25" s="294"/>
      <c r="P25" s="294"/>
    </row>
    <row r="26" spans="1:16" ht="21" customHeight="1" x14ac:dyDescent="0.25">
      <c r="A26" s="301" t="s">
        <v>768</v>
      </c>
      <c r="B26" s="456"/>
      <c r="C26" s="300">
        <f>76240000-4924000-1330000-3250000-2600000-200000-1340000+459000+517000</f>
        <v>63572000</v>
      </c>
      <c r="D26" s="454">
        <f>SUM(E26:L26)</f>
        <v>3058000</v>
      </c>
      <c r="E26" s="457">
        <f>459000+72000</f>
        <v>531000</v>
      </c>
      <c r="F26" s="457"/>
      <c r="G26" s="457">
        <v>0</v>
      </c>
      <c r="H26" s="457">
        <v>517000</v>
      </c>
      <c r="I26" s="457"/>
      <c r="J26" s="457"/>
      <c r="K26" s="457"/>
      <c r="L26" s="457">
        <v>2010000</v>
      </c>
      <c r="M26" s="454">
        <f>C26-D26</f>
        <v>60514000</v>
      </c>
      <c r="N26" s="458"/>
      <c r="O26" s="294"/>
      <c r="P26" s="294"/>
    </row>
    <row r="27" spans="1:16" ht="46.5" customHeight="1" x14ac:dyDescent="0.25">
      <c r="A27" s="460" t="s">
        <v>732</v>
      </c>
      <c r="B27" s="456"/>
      <c r="C27" s="300"/>
      <c r="D27" s="454"/>
      <c r="E27" s="457"/>
      <c r="F27" s="457"/>
      <c r="G27" s="457"/>
      <c r="H27" s="457"/>
      <c r="I27" s="457"/>
      <c r="J27" s="457"/>
      <c r="K27" s="457"/>
      <c r="L27" s="457"/>
      <c r="M27" s="454"/>
      <c r="N27" s="458"/>
      <c r="O27" s="294"/>
      <c r="P27" s="294"/>
    </row>
    <row r="28" spans="1:16" ht="21" customHeight="1" x14ac:dyDescent="0.25">
      <c r="A28" s="301" t="s">
        <v>733</v>
      </c>
      <c r="B28" s="456"/>
      <c r="C28" s="300">
        <v>2000000</v>
      </c>
      <c r="D28" s="454"/>
      <c r="E28" s="457"/>
      <c r="F28" s="457"/>
      <c r="G28" s="457"/>
      <c r="H28" s="457"/>
      <c r="I28" s="457"/>
      <c r="J28" s="457"/>
      <c r="K28" s="457"/>
      <c r="L28" s="457"/>
      <c r="M28" s="454">
        <f>C28-D28</f>
        <v>2000000</v>
      </c>
      <c r="N28" s="458"/>
      <c r="O28" s="294"/>
      <c r="P28" s="302"/>
    </row>
    <row r="29" spans="1:16" ht="21" customHeight="1" x14ac:dyDescent="0.25">
      <c r="A29" s="301" t="s">
        <v>734</v>
      </c>
      <c r="B29" s="456"/>
      <c r="C29" s="300"/>
      <c r="D29" s="454"/>
      <c r="E29" s="457"/>
      <c r="F29" s="457"/>
      <c r="G29" s="457"/>
      <c r="H29" s="457"/>
      <c r="I29" s="457"/>
      <c r="J29" s="457"/>
      <c r="K29" s="457"/>
      <c r="L29" s="457"/>
      <c r="M29" s="454">
        <f>C29-D29</f>
        <v>0</v>
      </c>
      <c r="N29" s="458"/>
      <c r="O29" s="294"/>
      <c r="P29" s="294"/>
    </row>
    <row r="30" spans="1:16" ht="21" customHeight="1" x14ac:dyDescent="0.25">
      <c r="A30" s="301" t="s">
        <v>735</v>
      </c>
      <c r="B30" s="456"/>
      <c r="C30" s="300">
        <f>13582000+19020000+26870000+12099800</f>
        <v>71571800</v>
      </c>
      <c r="D30" s="454">
        <f>SUM(E30:L30)</f>
        <v>38970000</v>
      </c>
      <c r="E30" s="457"/>
      <c r="F30" s="457"/>
      <c r="G30" s="457"/>
      <c r="H30" s="457">
        <v>26870000</v>
      </c>
      <c r="I30" s="457"/>
      <c r="J30" s="457">
        <v>12100000</v>
      </c>
      <c r="K30" s="457"/>
      <c r="L30" s="457"/>
      <c r="M30" s="454">
        <f>C30-D30</f>
        <v>32601800</v>
      </c>
      <c r="N30" s="458"/>
      <c r="O30" s="294"/>
      <c r="P30" s="294"/>
    </row>
    <row r="31" spans="1:16" ht="21" customHeight="1" x14ac:dyDescent="0.25">
      <c r="A31" s="301" t="s">
        <v>736</v>
      </c>
      <c r="B31" s="456"/>
      <c r="C31" s="300"/>
      <c r="D31" s="454"/>
      <c r="E31" s="457"/>
      <c r="F31" s="457"/>
      <c r="G31" s="457"/>
      <c r="H31" s="457"/>
      <c r="I31" s="457"/>
      <c r="J31" s="457"/>
      <c r="K31" s="457"/>
      <c r="L31" s="457"/>
      <c r="M31" s="454"/>
      <c r="N31" s="458"/>
      <c r="O31" s="294"/>
      <c r="P31" s="294"/>
    </row>
    <row r="32" spans="1:16" ht="21" customHeight="1" x14ac:dyDescent="0.25">
      <c r="A32" s="301" t="s">
        <v>737</v>
      </c>
      <c r="B32" s="456"/>
      <c r="C32" s="300"/>
      <c r="D32" s="454"/>
      <c r="E32" s="457"/>
      <c r="F32" s="457"/>
      <c r="G32" s="457"/>
      <c r="H32" s="457"/>
      <c r="I32" s="457"/>
      <c r="J32" s="457"/>
      <c r="K32" s="457"/>
      <c r="L32" s="457"/>
      <c r="M32" s="454"/>
      <c r="N32" s="458"/>
      <c r="O32" s="294"/>
      <c r="P32" s="294"/>
    </row>
    <row r="33" spans="1:16" ht="21" customHeight="1" x14ac:dyDescent="0.25">
      <c r="A33" s="301" t="s">
        <v>738</v>
      </c>
      <c r="B33" s="456"/>
      <c r="C33" s="300"/>
      <c r="D33" s="454"/>
      <c r="E33" s="457"/>
      <c r="F33" s="457"/>
      <c r="G33" s="457"/>
      <c r="H33" s="457"/>
      <c r="I33" s="457"/>
      <c r="J33" s="457"/>
      <c r="K33" s="457"/>
      <c r="L33" s="457"/>
      <c r="M33" s="454"/>
      <c r="N33" s="458"/>
      <c r="O33" s="294"/>
      <c r="P33" s="294"/>
    </row>
    <row r="34" spans="1:16" ht="21" customHeight="1" x14ac:dyDescent="0.25">
      <c r="A34" s="301" t="s">
        <v>739</v>
      </c>
      <c r="B34" s="456"/>
      <c r="C34" s="300"/>
      <c r="D34" s="454"/>
      <c r="E34" s="457"/>
      <c r="F34" s="457"/>
      <c r="G34" s="457"/>
      <c r="H34" s="457"/>
      <c r="I34" s="457"/>
      <c r="J34" s="457"/>
      <c r="K34" s="457"/>
      <c r="L34" s="457"/>
      <c r="M34" s="454"/>
      <c r="N34" s="458"/>
      <c r="O34" s="294"/>
      <c r="P34" s="294"/>
    </row>
    <row r="35" spans="1:16" ht="21" customHeight="1" x14ac:dyDescent="0.25">
      <c r="A35" s="301" t="s">
        <v>740</v>
      </c>
      <c r="B35" s="456"/>
      <c r="C35" s="300">
        <f>5144000+8200000+1108000</f>
        <v>14452000</v>
      </c>
      <c r="D35" s="454">
        <f>H35</f>
        <v>13759000</v>
      </c>
      <c r="E35" s="457"/>
      <c r="F35" s="457"/>
      <c r="G35" s="457"/>
      <c r="H35" s="457">
        <f>4451000+8200000+1108000</f>
        <v>13759000</v>
      </c>
      <c r="I35" s="457"/>
      <c r="J35" s="457"/>
      <c r="K35" s="457"/>
      <c r="L35" s="457"/>
      <c r="M35" s="454">
        <f>C35-D35</f>
        <v>693000</v>
      </c>
      <c r="N35" s="458"/>
      <c r="O35" s="294"/>
      <c r="P35" s="294"/>
    </row>
    <row r="36" spans="1:16" ht="33" customHeight="1" x14ac:dyDescent="0.25">
      <c r="A36" s="460" t="s">
        <v>741</v>
      </c>
      <c r="B36" s="467"/>
      <c r="C36" s="468"/>
      <c r="D36" s="454">
        <f>G36</f>
        <v>309500000</v>
      </c>
      <c r="E36" s="469"/>
      <c r="F36" s="469"/>
      <c r="G36" s="470">
        <v>309500000</v>
      </c>
      <c r="H36" s="469"/>
      <c r="I36" s="469"/>
      <c r="J36" s="469"/>
      <c r="K36" s="469"/>
      <c r="L36" s="469"/>
      <c r="M36" s="454">
        <f>C36-D36</f>
        <v>-309500000</v>
      </c>
      <c r="N36" s="471"/>
    </row>
    <row r="37" spans="1:16" ht="46.5" customHeight="1" x14ac:dyDescent="0.25">
      <c r="A37" s="460" t="s">
        <v>742</v>
      </c>
      <c r="B37" s="467"/>
      <c r="C37" s="468"/>
      <c r="D37" s="472"/>
      <c r="E37" s="469"/>
      <c r="F37" s="469"/>
      <c r="G37" s="469"/>
      <c r="H37" s="469"/>
      <c r="I37" s="469"/>
      <c r="J37" s="469"/>
      <c r="K37" s="469"/>
      <c r="L37" s="469"/>
      <c r="M37" s="454"/>
      <c r="N37" s="471"/>
    </row>
    <row r="38" spans="1:16" ht="21" customHeight="1" x14ac:dyDescent="0.25">
      <c r="A38" s="301" t="s">
        <v>743</v>
      </c>
      <c r="B38" s="467"/>
      <c r="C38" s="468"/>
      <c r="D38" s="472"/>
      <c r="E38" s="469"/>
      <c r="F38" s="469"/>
      <c r="G38" s="469"/>
      <c r="H38" s="469"/>
      <c r="I38" s="469"/>
      <c r="J38" s="469"/>
      <c r="K38" s="469"/>
      <c r="L38" s="469"/>
      <c r="M38" s="454"/>
      <c r="N38" s="471"/>
    </row>
    <row r="39" spans="1:16" ht="21" customHeight="1" x14ac:dyDescent="0.25">
      <c r="A39" s="301" t="s">
        <v>744</v>
      </c>
      <c r="B39" s="467"/>
      <c r="C39" s="468"/>
      <c r="D39" s="472"/>
      <c r="E39" s="469"/>
      <c r="F39" s="469"/>
      <c r="G39" s="469"/>
      <c r="H39" s="469"/>
      <c r="I39" s="469"/>
      <c r="J39" s="469"/>
      <c r="K39" s="469"/>
      <c r="L39" s="469"/>
      <c r="M39" s="454"/>
      <c r="N39" s="471"/>
    </row>
    <row r="40" spans="1:16" ht="21" customHeight="1" x14ac:dyDescent="0.25">
      <c r="A40" s="301" t="s">
        <v>745</v>
      </c>
      <c r="B40" s="467"/>
      <c r="C40" s="468"/>
      <c r="D40" s="472"/>
      <c r="E40" s="469"/>
      <c r="F40" s="469"/>
      <c r="G40" s="469"/>
      <c r="H40" s="469"/>
      <c r="I40" s="469"/>
      <c r="J40" s="469"/>
      <c r="K40" s="469"/>
      <c r="L40" s="469"/>
      <c r="M40" s="454">
        <f>C40-D40</f>
        <v>0</v>
      </c>
      <c r="N40" s="471"/>
    </row>
    <row r="41" spans="1:16" ht="21" customHeight="1" x14ac:dyDescent="0.25">
      <c r="A41" s="301" t="s">
        <v>746</v>
      </c>
      <c r="B41" s="467"/>
      <c r="C41" s="468"/>
      <c r="D41" s="472"/>
      <c r="E41" s="469"/>
      <c r="F41" s="469"/>
      <c r="G41" s="469"/>
      <c r="H41" s="469"/>
      <c r="I41" s="469"/>
      <c r="J41" s="469"/>
      <c r="K41" s="469"/>
      <c r="L41" s="469"/>
      <c r="M41" s="454"/>
      <c r="N41" s="471"/>
    </row>
    <row r="42" spans="1:16" ht="21" customHeight="1" x14ac:dyDescent="0.25">
      <c r="A42" s="301" t="s">
        <v>747</v>
      </c>
      <c r="B42" s="467"/>
      <c r="C42" s="468">
        <v>630000</v>
      </c>
      <c r="D42" s="472"/>
      <c r="E42" s="469"/>
      <c r="F42" s="469"/>
      <c r="G42" s="469"/>
      <c r="H42" s="469"/>
      <c r="I42" s="469"/>
      <c r="J42" s="469"/>
      <c r="K42" s="469"/>
      <c r="L42" s="469"/>
      <c r="M42" s="454">
        <f>C42-D42</f>
        <v>630000</v>
      </c>
      <c r="N42" s="471"/>
    </row>
    <row r="43" spans="1:16" ht="21" customHeight="1" x14ac:dyDescent="0.25">
      <c r="A43" s="301" t="s">
        <v>748</v>
      </c>
      <c r="B43" s="473"/>
      <c r="C43" s="474"/>
      <c r="D43" s="475"/>
      <c r="E43" s="476"/>
      <c r="F43" s="476"/>
      <c r="G43" s="476"/>
      <c r="H43" s="476"/>
      <c r="I43" s="476"/>
      <c r="J43" s="476"/>
      <c r="K43" s="476"/>
      <c r="L43" s="476"/>
      <c r="M43" s="454"/>
      <c r="N43" s="477"/>
    </row>
    <row r="44" spans="1:16" ht="21" customHeight="1" x14ac:dyDescent="0.25">
      <c r="A44" s="301" t="s">
        <v>766</v>
      </c>
      <c r="B44" s="467">
        <v>17007300</v>
      </c>
      <c r="C44" s="468">
        <f>354142000+24618000-'14. önként vállalt feladatok'!C25*1000-13149000+20000000+5736027+1651000+20200173</f>
        <v>400927200</v>
      </c>
      <c r="D44" s="472">
        <f>SUM(E44:L44)</f>
        <v>296423000</v>
      </c>
      <c r="E44" s="469">
        <v>0</v>
      </c>
      <c r="F44" s="469"/>
      <c r="G44" s="470">
        <f>116394000-'14. önként vállalt feladatok'!C25*1000-21298000+5736027+1651000-27</f>
        <v>90212000</v>
      </c>
      <c r="H44" s="469">
        <v>63000</v>
      </c>
      <c r="I44" s="469"/>
      <c r="J44" s="469"/>
      <c r="K44" s="469">
        <v>20000000</v>
      </c>
      <c r="L44" s="469">
        <f>137832000+24618000+23698000</f>
        <v>186148000</v>
      </c>
      <c r="M44" s="454">
        <f>C44-D44</f>
        <v>104504200</v>
      </c>
      <c r="N44" s="471"/>
    </row>
    <row r="45" spans="1:16" ht="34.5" customHeight="1" thickBot="1" x14ac:dyDescent="0.3">
      <c r="A45" s="478" t="s">
        <v>749</v>
      </c>
      <c r="B45" s="479">
        <f t="shared" ref="B45:N45" si="0">SUM(B6:B44)</f>
        <v>163095512</v>
      </c>
      <c r="C45" s="480">
        <f>SUM(C6:C44)</f>
        <v>842861000</v>
      </c>
      <c r="D45" s="481">
        <f>SUM(D6:D44)</f>
        <v>842861000</v>
      </c>
      <c r="E45" s="481">
        <f>SUM(E6:E44)</f>
        <v>118729000</v>
      </c>
      <c r="F45" s="481">
        <f t="shared" ref="F45:J45" si="1">SUM(F6:F44)</f>
        <v>0</v>
      </c>
      <c r="G45" s="481">
        <f t="shared" si="1"/>
        <v>409202000</v>
      </c>
      <c r="H45" s="481">
        <f t="shared" si="1"/>
        <v>60694000</v>
      </c>
      <c r="I45" s="481">
        <f t="shared" si="1"/>
        <v>0</v>
      </c>
      <c r="J45" s="481">
        <f t="shared" si="1"/>
        <v>14957000</v>
      </c>
      <c r="K45" s="481">
        <f t="shared" si="0"/>
        <v>20000000</v>
      </c>
      <c r="L45" s="481">
        <f>SUM(L6:L44)</f>
        <v>218739000</v>
      </c>
      <c r="M45" s="481">
        <f>SUM(M6:M44)</f>
        <v>0</v>
      </c>
      <c r="N45" s="482">
        <f t="shared" si="0"/>
        <v>540000</v>
      </c>
    </row>
    <row r="46" spans="1:16" ht="34.5" customHeight="1" x14ac:dyDescent="0.25">
      <c r="A46" s="483"/>
      <c r="B46" s="484"/>
      <c r="C46" s="484">
        <f>C45+'14. önként vállalt feladatok'!C25*1000</f>
        <v>855132000</v>
      </c>
      <c r="D46" s="484">
        <f>D45+'14. önként vállalt feladatok'!C25*1000</f>
        <v>855132000</v>
      </c>
      <c r="E46" s="484">
        <f>E45-118729000</f>
        <v>0</v>
      </c>
      <c r="F46" s="484"/>
      <c r="G46" s="484">
        <f>309500000+111973000-'14. önként vállalt feladatok'!C25*1000</f>
        <v>409202000</v>
      </c>
      <c r="H46" s="484">
        <v>60694000</v>
      </c>
      <c r="I46" s="484"/>
      <c r="J46" s="484"/>
      <c r="K46" s="484"/>
      <c r="L46" s="484">
        <f>68739000+150000000</f>
        <v>218739000</v>
      </c>
      <c r="M46" s="484"/>
      <c r="N46" s="484"/>
    </row>
    <row r="47" spans="1:16" ht="34.5" customHeight="1" x14ac:dyDescent="0.25">
      <c r="A47" s="483"/>
      <c r="B47" s="484"/>
      <c r="C47" s="484">
        <f>C45-D45</f>
        <v>0</v>
      </c>
      <c r="D47" s="484">
        <f>D45-D46</f>
        <v>-12271000</v>
      </c>
      <c r="E47" s="484"/>
      <c r="F47" s="484"/>
      <c r="G47" s="484"/>
      <c r="H47" s="484"/>
      <c r="I47" s="484"/>
      <c r="J47" s="484"/>
      <c r="K47" s="484"/>
      <c r="L47" s="484">
        <f>L45-L46</f>
        <v>0</v>
      </c>
      <c r="M47" s="484"/>
      <c r="N47" s="484"/>
    </row>
    <row r="48" spans="1:16" ht="15" customHeight="1" x14ac:dyDescent="0.25">
      <c r="A48" s="820" t="s">
        <v>950</v>
      </c>
      <c r="B48" s="820"/>
      <c r="C48" s="820"/>
      <c r="D48" s="820"/>
      <c r="E48" s="820"/>
      <c r="F48" s="820"/>
      <c r="G48" s="820"/>
      <c r="H48" s="820"/>
      <c r="I48" s="820"/>
      <c r="J48" s="820"/>
      <c r="K48" s="820"/>
      <c r="L48" s="820"/>
      <c r="M48" s="820"/>
      <c r="N48" s="820"/>
    </row>
    <row r="49" spans="1:14" x14ac:dyDescent="0.25">
      <c r="A49" s="820"/>
      <c r="B49" s="820"/>
      <c r="C49" s="820"/>
      <c r="D49" s="820"/>
      <c r="E49" s="820"/>
      <c r="F49" s="820"/>
      <c r="G49" s="820"/>
      <c r="H49" s="820"/>
      <c r="I49" s="820"/>
      <c r="J49" s="820"/>
      <c r="K49" s="820"/>
      <c r="L49" s="820"/>
      <c r="M49" s="820"/>
      <c r="N49" s="820"/>
    </row>
    <row r="50" spans="1:14" x14ac:dyDescent="0.25">
      <c r="A50" s="820"/>
      <c r="B50" s="820"/>
      <c r="C50" s="820"/>
      <c r="D50" s="820"/>
      <c r="E50" s="820"/>
      <c r="F50" s="820"/>
      <c r="G50" s="820"/>
      <c r="H50" s="820"/>
      <c r="I50" s="820"/>
      <c r="J50" s="820"/>
      <c r="K50" s="820"/>
      <c r="L50" s="820"/>
      <c r="M50" s="820"/>
      <c r="N50" s="820"/>
    </row>
    <row r="51" spans="1:14" x14ac:dyDescent="0.25">
      <c r="A51" s="820"/>
      <c r="B51" s="820"/>
      <c r="C51" s="820"/>
      <c r="D51" s="820"/>
      <c r="E51" s="820"/>
      <c r="F51" s="820"/>
      <c r="G51" s="820"/>
      <c r="H51" s="820"/>
      <c r="I51" s="820"/>
      <c r="J51" s="820"/>
      <c r="K51" s="820"/>
      <c r="L51" s="820"/>
      <c r="M51" s="820"/>
      <c r="N51" s="820"/>
    </row>
    <row r="52" spans="1:14" x14ac:dyDescent="0.25">
      <c r="A52" s="820"/>
      <c r="B52" s="820"/>
      <c r="C52" s="820"/>
      <c r="D52" s="820"/>
      <c r="E52" s="820"/>
      <c r="F52" s="820"/>
      <c r="G52" s="820"/>
      <c r="H52" s="820"/>
      <c r="I52" s="820"/>
      <c r="J52" s="820"/>
      <c r="K52" s="820"/>
      <c r="L52" s="820"/>
      <c r="M52" s="820"/>
      <c r="N52" s="820"/>
    </row>
    <row r="53" spans="1:14" x14ac:dyDescent="0.25">
      <c r="A53" s="820"/>
      <c r="B53" s="820"/>
      <c r="C53" s="820"/>
      <c r="D53" s="820"/>
      <c r="E53" s="820"/>
      <c r="F53" s="820"/>
      <c r="G53" s="820"/>
      <c r="H53" s="820"/>
      <c r="I53" s="820"/>
      <c r="J53" s="820"/>
      <c r="K53" s="820"/>
      <c r="L53" s="820"/>
      <c r="M53" s="820"/>
      <c r="N53" s="820"/>
    </row>
    <row r="54" spans="1:14" x14ac:dyDescent="0.25">
      <c r="A54" s="820"/>
      <c r="B54" s="820"/>
      <c r="C54" s="820"/>
      <c r="D54" s="820"/>
      <c r="E54" s="820"/>
      <c r="F54" s="820"/>
      <c r="G54" s="820"/>
      <c r="H54" s="820"/>
      <c r="I54" s="820"/>
      <c r="J54" s="820"/>
      <c r="K54" s="820"/>
      <c r="L54" s="820"/>
      <c r="M54" s="820"/>
      <c r="N54" s="820"/>
    </row>
    <row r="55" spans="1:14" x14ac:dyDescent="0.25">
      <c r="A55" s="820"/>
      <c r="B55" s="820"/>
      <c r="C55" s="820"/>
      <c r="D55" s="820"/>
      <c r="E55" s="820"/>
      <c r="F55" s="820"/>
      <c r="G55" s="820"/>
      <c r="H55" s="820"/>
      <c r="I55" s="820"/>
      <c r="J55" s="820"/>
      <c r="K55" s="820"/>
      <c r="L55" s="820"/>
      <c r="M55" s="820"/>
      <c r="N55" s="820"/>
    </row>
    <row r="56" spans="1:14" x14ac:dyDescent="0.25">
      <c r="A56" s="820"/>
      <c r="B56" s="820"/>
      <c r="C56" s="820"/>
      <c r="D56" s="820"/>
      <c r="E56" s="820"/>
      <c r="F56" s="820"/>
      <c r="G56" s="820"/>
      <c r="H56" s="820"/>
      <c r="I56" s="820"/>
      <c r="J56" s="820"/>
      <c r="K56" s="820"/>
      <c r="L56" s="820"/>
      <c r="M56" s="820"/>
      <c r="N56" s="820"/>
    </row>
    <row r="57" spans="1:14" x14ac:dyDescent="0.25">
      <c r="A57" s="820"/>
      <c r="B57" s="820"/>
      <c r="C57" s="820"/>
      <c r="D57" s="820"/>
      <c r="E57" s="820"/>
      <c r="F57" s="820"/>
      <c r="G57" s="820"/>
      <c r="H57" s="820"/>
      <c r="I57" s="820"/>
      <c r="J57" s="820"/>
      <c r="K57" s="820"/>
      <c r="L57" s="820"/>
      <c r="M57" s="820"/>
      <c r="N57" s="820"/>
    </row>
    <row r="58" spans="1:14" x14ac:dyDescent="0.25">
      <c r="A58" s="820"/>
      <c r="B58" s="820"/>
      <c r="C58" s="820"/>
      <c r="D58" s="820"/>
      <c r="E58" s="820"/>
      <c r="F58" s="820"/>
      <c r="G58" s="820"/>
      <c r="H58" s="820"/>
      <c r="I58" s="820"/>
      <c r="J58" s="820"/>
      <c r="K58" s="820"/>
      <c r="L58" s="820"/>
      <c r="M58" s="820"/>
      <c r="N58" s="820"/>
    </row>
    <row r="59" spans="1:14" x14ac:dyDescent="0.25">
      <c r="A59" s="820"/>
      <c r="B59" s="820"/>
      <c r="C59" s="820"/>
      <c r="D59" s="820"/>
      <c r="E59" s="820"/>
      <c r="F59" s="820"/>
      <c r="G59" s="820"/>
      <c r="H59" s="820"/>
      <c r="I59" s="820"/>
      <c r="J59" s="820"/>
      <c r="K59" s="820"/>
      <c r="L59" s="820"/>
      <c r="M59" s="820"/>
      <c r="N59" s="820"/>
    </row>
    <row r="60" spans="1:14" x14ac:dyDescent="0.25">
      <c r="A60" s="820"/>
      <c r="B60" s="820"/>
      <c r="C60" s="820"/>
      <c r="D60" s="820"/>
      <c r="E60" s="820"/>
      <c r="F60" s="820"/>
      <c r="G60" s="820"/>
      <c r="H60" s="820"/>
      <c r="I60" s="820"/>
      <c r="J60" s="820"/>
      <c r="K60" s="820"/>
      <c r="L60" s="820"/>
      <c r="M60" s="820"/>
      <c r="N60" s="820"/>
    </row>
    <row r="61" spans="1:14" x14ac:dyDescent="0.25">
      <c r="A61" s="820"/>
      <c r="B61" s="820"/>
      <c r="C61" s="820"/>
      <c r="D61" s="820"/>
      <c r="E61" s="820"/>
      <c r="F61" s="820"/>
      <c r="G61" s="820"/>
      <c r="H61" s="820"/>
      <c r="I61" s="820"/>
      <c r="J61" s="820"/>
      <c r="K61" s="820"/>
      <c r="L61" s="820"/>
      <c r="M61" s="820"/>
      <c r="N61" s="820"/>
    </row>
    <row r="62" spans="1:14" x14ac:dyDescent="0.25">
      <c r="A62" s="820"/>
      <c r="B62" s="820"/>
      <c r="C62" s="820"/>
      <c r="D62" s="820"/>
      <c r="E62" s="820"/>
      <c r="F62" s="820"/>
      <c r="G62" s="820"/>
      <c r="H62" s="820"/>
      <c r="I62" s="820"/>
      <c r="J62" s="820"/>
      <c r="K62" s="820"/>
      <c r="L62" s="820"/>
      <c r="M62" s="820"/>
      <c r="N62" s="820"/>
    </row>
    <row r="63" spans="1:14" x14ac:dyDescent="0.25">
      <c r="A63" s="820"/>
      <c r="B63" s="820"/>
      <c r="C63" s="820"/>
      <c r="D63" s="820"/>
      <c r="E63" s="820"/>
      <c r="F63" s="820"/>
      <c r="G63" s="820"/>
      <c r="H63" s="820"/>
      <c r="I63" s="820"/>
      <c r="J63" s="820"/>
      <c r="K63" s="820"/>
      <c r="L63" s="820"/>
      <c r="M63" s="820"/>
      <c r="N63" s="820"/>
    </row>
    <row r="64" spans="1:14" x14ac:dyDescent="0.25">
      <c r="A64" s="820"/>
      <c r="B64" s="820"/>
      <c r="C64" s="820"/>
      <c r="D64" s="820"/>
      <c r="E64" s="820"/>
      <c r="F64" s="820"/>
      <c r="G64" s="820"/>
      <c r="H64" s="820"/>
      <c r="I64" s="820"/>
      <c r="J64" s="820"/>
      <c r="K64" s="820"/>
      <c r="L64" s="820"/>
      <c r="M64" s="820"/>
      <c r="N64" s="820"/>
    </row>
    <row r="65" spans="1:14" x14ac:dyDescent="0.25">
      <c r="A65" s="820"/>
      <c r="B65" s="820"/>
      <c r="C65" s="820"/>
      <c r="D65" s="820"/>
      <c r="E65" s="820"/>
      <c r="F65" s="820"/>
      <c r="G65" s="820"/>
      <c r="H65" s="820"/>
      <c r="I65" s="820"/>
      <c r="J65" s="820"/>
      <c r="K65" s="820"/>
      <c r="L65" s="820"/>
      <c r="M65" s="820"/>
      <c r="N65" s="820"/>
    </row>
    <row r="66" spans="1:14" x14ac:dyDescent="0.25">
      <c r="A66" s="820"/>
      <c r="B66" s="820"/>
      <c r="C66" s="820"/>
      <c r="D66" s="820"/>
      <c r="E66" s="820"/>
      <c r="F66" s="820"/>
      <c r="G66" s="820"/>
      <c r="H66" s="820"/>
      <c r="I66" s="820"/>
      <c r="J66" s="820"/>
      <c r="K66" s="820"/>
      <c r="L66" s="820"/>
      <c r="M66" s="820"/>
      <c r="N66" s="820"/>
    </row>
    <row r="67" spans="1:14" x14ac:dyDescent="0.25">
      <c r="A67" s="820"/>
      <c r="B67" s="820"/>
      <c r="C67" s="820"/>
      <c r="D67" s="820"/>
      <c r="E67" s="820"/>
      <c r="F67" s="820"/>
      <c r="G67" s="820"/>
      <c r="H67" s="820"/>
      <c r="I67" s="820"/>
      <c r="J67" s="820"/>
      <c r="K67" s="820"/>
      <c r="L67" s="820"/>
      <c r="M67" s="820"/>
      <c r="N67" s="820"/>
    </row>
  </sheetData>
  <mergeCells count="49">
    <mergeCell ref="L4:L5"/>
    <mergeCell ref="M4:N4"/>
    <mergeCell ref="A48:N67"/>
    <mergeCell ref="A1:N1"/>
    <mergeCell ref="A2:N2"/>
    <mergeCell ref="A4:A5"/>
    <mergeCell ref="B4:B5"/>
    <mergeCell ref="C4:C5"/>
    <mergeCell ref="D4:D5"/>
    <mergeCell ref="E4:E5"/>
    <mergeCell ref="F4:F5"/>
    <mergeCell ref="H4:I4"/>
    <mergeCell ref="J4:K4"/>
    <mergeCell ref="C23:C25"/>
    <mergeCell ref="D23:D25"/>
    <mergeCell ref="E23:E25"/>
    <mergeCell ref="K23:K25"/>
    <mergeCell ref="L23:L25"/>
    <mergeCell ref="M23:M25"/>
    <mergeCell ref="N23:N25"/>
    <mergeCell ref="F23:F25"/>
    <mergeCell ref="G23:G25"/>
    <mergeCell ref="H23:H25"/>
    <mergeCell ref="I23:I25"/>
    <mergeCell ref="J23:J25"/>
    <mergeCell ref="J10:J12"/>
    <mergeCell ref="K10:K12"/>
    <mergeCell ref="L10:L12"/>
    <mergeCell ref="C10:C12"/>
    <mergeCell ref="D10:D12"/>
    <mergeCell ref="E10:E12"/>
    <mergeCell ref="F10:F12"/>
    <mergeCell ref="G10:G12"/>
    <mergeCell ref="M10:M12"/>
    <mergeCell ref="N10:N12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H10:H12"/>
    <mergeCell ref="I10:I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3" orientation="landscape" r:id="rId1"/>
  <headerFooter>
    <oddHeader>&amp;CTaksony Nagyközség Önkormányzat 2016. évi költségvetés 
2. sz. módosítás&amp;R13.sz. melléklet</oddHeader>
    <oddFooter xml:space="preserve">&amp;LKészült: &amp;D
&amp;R/:Kreisz László://:Dr.Micheller Anita:/       </oddFooter>
  </headerFooter>
  <ignoredErrors>
    <ignoredError sqref="M36 M42 M40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3:E25"/>
  <sheetViews>
    <sheetView view="pageBreakPreview" zoomScaleNormal="100" zoomScaleSheetLayoutView="100" workbookViewId="0">
      <selection activeCell="C28" sqref="C28:C29"/>
    </sheetView>
  </sheetViews>
  <sheetFormatPr defaultColWidth="10.28515625" defaultRowHeight="12.75" x14ac:dyDescent="0.2"/>
  <cols>
    <col min="1" max="1" width="9.140625" style="290" customWidth="1"/>
    <col min="2" max="2" width="45.85546875" style="290" bestFit="1" customWidth="1"/>
    <col min="3" max="3" width="38.42578125" style="543" customWidth="1"/>
    <col min="4" max="5" width="14.7109375" style="290" hidden="1" customWidth="1"/>
    <col min="6" max="6" width="10.28515625" style="290"/>
    <col min="7" max="7" width="44.5703125" style="290" bestFit="1" customWidth="1"/>
    <col min="8" max="8" width="9.7109375" style="290" bestFit="1" customWidth="1"/>
    <col min="9" max="9" width="16.7109375" style="290" bestFit="1" customWidth="1"/>
    <col min="10" max="16384" width="10.28515625" style="290"/>
  </cols>
  <sheetData>
    <row r="3" spans="2:5" ht="15.75" customHeight="1" x14ac:dyDescent="0.2">
      <c r="B3" s="773" t="s">
        <v>1100</v>
      </c>
      <c r="C3" s="773"/>
      <c r="D3" s="378"/>
      <c r="E3" s="378"/>
    </row>
    <row r="7" spans="2:5" x14ac:dyDescent="0.2">
      <c r="B7" s="832" t="s">
        <v>1135</v>
      </c>
      <c r="C7" s="833" t="s">
        <v>1136</v>
      </c>
    </row>
    <row r="8" spans="2:5" x14ac:dyDescent="0.2">
      <c r="B8" s="832"/>
      <c r="C8" s="834"/>
    </row>
    <row r="9" spans="2:5" x14ac:dyDescent="0.2">
      <c r="B9" s="697" t="s">
        <v>1146</v>
      </c>
      <c r="C9" s="698">
        <v>3000</v>
      </c>
    </row>
    <row r="10" spans="2:5" x14ac:dyDescent="0.2">
      <c r="B10" s="697" t="s">
        <v>1145</v>
      </c>
      <c r="C10" s="698">
        <v>300</v>
      </c>
    </row>
    <row r="11" spans="2:5" x14ac:dyDescent="0.2">
      <c r="B11" s="697" t="s">
        <v>1144</v>
      </c>
      <c r="C11" s="698">
        <v>528</v>
      </c>
    </row>
    <row r="12" spans="2:5" x14ac:dyDescent="0.2">
      <c r="B12" s="697" t="s">
        <v>1137</v>
      </c>
      <c r="C12" s="699">
        <v>40</v>
      </c>
    </row>
    <row r="13" spans="2:5" x14ac:dyDescent="0.2">
      <c r="B13" s="697" t="s">
        <v>1055</v>
      </c>
      <c r="C13" s="699">
        <v>341</v>
      </c>
    </row>
    <row r="14" spans="2:5" x14ac:dyDescent="0.2">
      <c r="B14" s="697" t="s">
        <v>1039</v>
      </c>
      <c r="C14" s="699">
        <v>127</v>
      </c>
    </row>
    <row r="15" spans="2:5" x14ac:dyDescent="0.2">
      <c r="B15" s="697" t="s">
        <v>1138</v>
      </c>
      <c r="C15" s="699">
        <v>50</v>
      </c>
    </row>
    <row r="16" spans="2:5" x14ac:dyDescent="0.2">
      <c r="B16" s="700" t="s">
        <v>1139</v>
      </c>
      <c r="C16" s="699">
        <v>3500</v>
      </c>
    </row>
    <row r="17" spans="2:3" x14ac:dyDescent="0.2">
      <c r="B17" s="700" t="s">
        <v>1140</v>
      </c>
      <c r="C17" s="699">
        <v>2595</v>
      </c>
    </row>
    <row r="18" spans="2:3" x14ac:dyDescent="0.2">
      <c r="B18" s="700" t="s">
        <v>1141</v>
      </c>
      <c r="C18" s="699">
        <v>200</v>
      </c>
    </row>
    <row r="19" spans="2:3" x14ac:dyDescent="0.2">
      <c r="B19" s="700" t="s">
        <v>1142</v>
      </c>
      <c r="C19" s="699">
        <v>800</v>
      </c>
    </row>
    <row r="20" spans="2:3" x14ac:dyDescent="0.2">
      <c r="B20" s="700" t="s">
        <v>1143</v>
      </c>
      <c r="C20" s="699">
        <v>190</v>
      </c>
    </row>
    <row r="21" spans="2:3" x14ac:dyDescent="0.2">
      <c r="B21" s="700" t="s">
        <v>1147</v>
      </c>
      <c r="C21" s="559">
        <v>500</v>
      </c>
    </row>
    <row r="22" spans="2:3" ht="25.5" x14ac:dyDescent="0.2">
      <c r="B22" s="703" t="s">
        <v>1148</v>
      </c>
      <c r="C22" s="559">
        <v>100</v>
      </c>
    </row>
    <row r="23" spans="2:3" x14ac:dyDescent="0.2">
      <c r="B23" s="559"/>
      <c r="C23" s="559"/>
    </row>
    <row r="25" spans="2:3" x14ac:dyDescent="0.2">
      <c r="B25" s="701" t="s">
        <v>572</v>
      </c>
      <c r="C25" s="702">
        <f>SUM(C9:C24)</f>
        <v>12271</v>
      </c>
    </row>
  </sheetData>
  <mergeCells count="3">
    <mergeCell ref="B3:C3"/>
    <mergeCell ref="B7:B8"/>
    <mergeCell ref="C7:C8"/>
  </mergeCells>
  <printOptions horizontalCentered="1"/>
  <pageMargins left="0.70866141732283472" right="0.70866141732283472" top="0.74803149606299213" bottom="0.74803149606299213" header="0.31496062992125984" footer="0.31496062992125984"/>
  <pageSetup paperSize="9" firstPageNumber="41" orientation="landscape" r:id="rId1"/>
  <headerFooter>
    <oddHeader>&amp;CTaksony Nagyközség Önkormányzat 2016. évi költségvetés 
2. sz. módosítás&amp;R14.sz. melléklet</oddHeader>
    <oddFooter xml:space="preserve">&amp;LKészült: &amp;D
&amp;R/:Kreisz László://:Dr.Micheller Anita:/      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3:T37"/>
  <sheetViews>
    <sheetView topLeftCell="A4" zoomScaleNormal="100" workbookViewId="0">
      <pane ySplit="3" topLeftCell="A7" activePane="bottomLeft" state="frozen"/>
      <selection activeCell="G32" sqref="G32"/>
      <selection pane="bottomLeft" activeCell="P33" sqref="P33"/>
    </sheetView>
  </sheetViews>
  <sheetFormatPr defaultColWidth="9.140625" defaultRowHeight="12.75" x14ac:dyDescent="0.2"/>
  <cols>
    <col min="1" max="1" width="9.140625" style="152" customWidth="1"/>
    <col min="2" max="2" width="5.85546875" style="211" customWidth="1"/>
    <col min="3" max="3" width="36.7109375" style="152" customWidth="1"/>
    <col min="4" max="15" width="7.5703125" style="152" customWidth="1"/>
    <col min="16" max="16" width="8.85546875" style="152" customWidth="1"/>
    <col min="17" max="17" width="11.7109375" style="543" bestFit="1" customWidth="1"/>
    <col min="18" max="16384" width="9.140625" style="152"/>
  </cols>
  <sheetData>
    <row r="3" spans="1:20" ht="15.75" x14ac:dyDescent="0.25"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</row>
    <row r="4" spans="1:20" s="213" customFormat="1" ht="18" customHeight="1" x14ac:dyDescent="0.25">
      <c r="B4" s="793" t="s">
        <v>679</v>
      </c>
      <c r="C4" s="793"/>
      <c r="D4" s="793"/>
      <c r="E4" s="214"/>
      <c r="F4" s="214"/>
      <c r="G4" s="214"/>
      <c r="H4" s="214"/>
      <c r="I4" s="214"/>
      <c r="J4" s="214"/>
      <c r="K4" s="214"/>
      <c r="L4" s="151"/>
      <c r="M4" s="151"/>
      <c r="N4" s="214"/>
      <c r="O4" s="843" t="s">
        <v>763</v>
      </c>
      <c r="P4" s="843"/>
      <c r="Q4" s="544"/>
    </row>
    <row r="5" spans="1:20" s="155" customFormat="1" ht="15.75" x14ac:dyDescent="0.25">
      <c r="B5" s="835" t="s">
        <v>680</v>
      </c>
      <c r="C5" s="837" t="s">
        <v>681</v>
      </c>
      <c r="D5" s="839" t="s">
        <v>682</v>
      </c>
      <c r="E5" s="841" t="s">
        <v>683</v>
      </c>
      <c r="F5" s="841" t="s">
        <v>684</v>
      </c>
      <c r="G5" s="841" t="s">
        <v>685</v>
      </c>
      <c r="H5" s="841" t="s">
        <v>686</v>
      </c>
      <c r="I5" s="841" t="s">
        <v>687</v>
      </c>
      <c r="J5" s="841" t="s">
        <v>688</v>
      </c>
      <c r="K5" s="841" t="s">
        <v>689</v>
      </c>
      <c r="L5" s="841" t="s">
        <v>690</v>
      </c>
      <c r="M5" s="841" t="s">
        <v>691</v>
      </c>
      <c r="N5" s="841" t="s">
        <v>692</v>
      </c>
      <c r="O5" s="844" t="s">
        <v>693</v>
      </c>
      <c r="P5" s="846" t="s">
        <v>572</v>
      </c>
      <c r="Q5" s="545"/>
    </row>
    <row r="6" spans="1:20" s="156" customFormat="1" ht="45" customHeight="1" thickBot="1" x14ac:dyDescent="0.3">
      <c r="B6" s="836"/>
      <c r="C6" s="838"/>
      <c r="D6" s="840"/>
      <c r="E6" s="842"/>
      <c r="F6" s="842"/>
      <c r="G6" s="842"/>
      <c r="H6" s="842"/>
      <c r="I6" s="842"/>
      <c r="J6" s="842"/>
      <c r="K6" s="842"/>
      <c r="L6" s="842"/>
      <c r="M6" s="842"/>
      <c r="N6" s="842"/>
      <c r="O6" s="845"/>
      <c r="P6" s="847"/>
      <c r="Q6" s="546"/>
    </row>
    <row r="7" spans="1:20" s="215" customFormat="1" ht="12" thickTop="1" x14ac:dyDescent="0.2">
      <c r="B7" s="216"/>
      <c r="C7" s="217"/>
      <c r="D7" s="218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20"/>
      <c r="P7" s="221"/>
      <c r="Q7" s="547"/>
    </row>
    <row r="8" spans="1:20" s="222" customFormat="1" x14ac:dyDescent="0.2">
      <c r="B8" s="223" t="s">
        <v>694</v>
      </c>
      <c r="C8" s="224"/>
      <c r="D8" s="225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7"/>
      <c r="P8" s="228"/>
      <c r="Q8" s="548"/>
    </row>
    <row r="9" spans="1:20" s="234" customFormat="1" ht="11.25" x14ac:dyDescent="0.2">
      <c r="A9" s="229"/>
      <c r="B9" s="230">
        <f>1</f>
        <v>1</v>
      </c>
      <c r="C9" s="235" t="s">
        <v>750</v>
      </c>
      <c r="D9" s="231">
        <f>115784*12%+157+12045/12+44+66+2257+963</f>
        <v>18384.830000000002</v>
      </c>
      <c r="E9" s="231">
        <f>115784*8%+12045/12+66+2257+963</f>
        <v>13552.47</v>
      </c>
      <c r="F9" s="231">
        <f t="shared" ref="F9:N9" si="0">115784*8%+12045/12+66+963</f>
        <v>11295.47</v>
      </c>
      <c r="G9" s="231">
        <f t="shared" si="0"/>
        <v>11295.47</v>
      </c>
      <c r="H9" s="231">
        <f t="shared" si="0"/>
        <v>11295.47</v>
      </c>
      <c r="I9" s="231">
        <f>115784*8%+12045/12+66+963+25000</f>
        <v>36295.47</v>
      </c>
      <c r="J9" s="231">
        <f t="shared" si="0"/>
        <v>11295.47</v>
      </c>
      <c r="K9" s="231">
        <f>115784*8%+12045/12+66+963+9524</f>
        <v>20819.47</v>
      </c>
      <c r="L9" s="231">
        <f t="shared" si="0"/>
        <v>11295.47</v>
      </c>
      <c r="M9" s="231">
        <f t="shared" si="0"/>
        <v>11295.47</v>
      </c>
      <c r="N9" s="231">
        <f t="shared" si="0"/>
        <v>11295.47</v>
      </c>
      <c r="O9" s="231">
        <f>115784*8%+12045/12+66+970</f>
        <v>11302.47</v>
      </c>
      <c r="P9" s="233">
        <f t="shared" ref="P9:P19" si="1">SUM(D9:O9)</f>
        <v>179423</v>
      </c>
      <c r="Q9" s="549"/>
      <c r="R9" s="229"/>
    </row>
    <row r="10" spans="1:20" s="234" customFormat="1" ht="11.25" x14ac:dyDescent="0.2">
      <c r="A10" s="229"/>
      <c r="B10" s="230">
        <f t="shared" ref="B10:B18" si="2">+B9+1</f>
        <v>2</v>
      </c>
      <c r="C10" s="235" t="s">
        <v>9</v>
      </c>
      <c r="D10" s="231">
        <v>15000</v>
      </c>
      <c r="E10" s="231">
        <v>15000</v>
      </c>
      <c r="F10" s="231">
        <f>15000+25055+10000</f>
        <v>50055</v>
      </c>
      <c r="G10" s="231">
        <v>15000</v>
      </c>
      <c r="H10" s="231">
        <f>15000+30000</f>
        <v>45000</v>
      </c>
      <c r="I10" s="231">
        <v>15000</v>
      </c>
      <c r="J10" s="231">
        <v>15000</v>
      </c>
      <c r="K10" s="231">
        <v>15000</v>
      </c>
      <c r="L10" s="231">
        <f>15000+25055+10000</f>
        <v>50055</v>
      </c>
      <c r="M10" s="231">
        <v>15000</v>
      </c>
      <c r="N10" s="231">
        <v>15000</v>
      </c>
      <c r="O10" s="231">
        <f>15000+20108+9282</f>
        <v>44390</v>
      </c>
      <c r="P10" s="233">
        <f t="shared" si="1"/>
        <v>309500</v>
      </c>
      <c r="Q10" s="549"/>
      <c r="R10" s="229"/>
      <c r="T10" s="229"/>
    </row>
    <row r="11" spans="1:20" s="234" customFormat="1" ht="11.25" x14ac:dyDescent="0.2">
      <c r="A11" s="229"/>
      <c r="B11" s="230">
        <f t="shared" si="2"/>
        <v>3</v>
      </c>
      <c r="C11" s="235" t="s">
        <v>159</v>
      </c>
      <c r="D11" s="231">
        <f>9585+2000</f>
        <v>11585</v>
      </c>
      <c r="E11" s="231">
        <v>11586</v>
      </c>
      <c r="F11" s="231">
        <f>9585</f>
        <v>9585</v>
      </c>
      <c r="G11" s="231">
        <f>9586+1000</f>
        <v>10586</v>
      </c>
      <c r="H11" s="231">
        <v>11585</v>
      </c>
      <c r="I11" s="231">
        <f>9585+5736+1651</f>
        <v>16972</v>
      </c>
      <c r="J11" s="231">
        <v>8585</v>
      </c>
      <c r="K11" s="231">
        <f>9585+1000-2000</f>
        <v>8585</v>
      </c>
      <c r="L11" s="231">
        <f>9585+2000-2000-3877</f>
        <v>5708</v>
      </c>
      <c r="M11" s="231">
        <f>9586-3877</f>
        <v>5709</v>
      </c>
      <c r="N11" s="231">
        <f>9586-3877</f>
        <v>5709</v>
      </c>
      <c r="O11" s="231">
        <f>9586+67-3875</f>
        <v>5778</v>
      </c>
      <c r="P11" s="233">
        <f t="shared" si="1"/>
        <v>111973</v>
      </c>
      <c r="Q11" s="549"/>
      <c r="R11" s="229"/>
      <c r="T11" s="229"/>
    </row>
    <row r="12" spans="1:20" s="234" customFormat="1" ht="11.25" x14ac:dyDescent="0.2">
      <c r="A12" s="229"/>
      <c r="B12" s="230">
        <f t="shared" si="2"/>
        <v>4</v>
      </c>
      <c r="C12" s="235" t="s">
        <v>33</v>
      </c>
      <c r="D12" s="231"/>
      <c r="E12" s="236"/>
      <c r="F12" s="236">
        <v>5715</v>
      </c>
      <c r="G12" s="236"/>
      <c r="H12" s="236">
        <v>2667</v>
      </c>
      <c r="I12" s="236"/>
      <c r="J12" s="236"/>
      <c r="K12" s="236">
        <v>6575</v>
      </c>
      <c r="L12" s="236"/>
      <c r="M12" s="236"/>
      <c r="N12" s="236"/>
      <c r="O12" s="237"/>
      <c r="P12" s="233">
        <f t="shared" si="1"/>
        <v>14957</v>
      </c>
      <c r="Q12" s="549"/>
      <c r="R12" s="229"/>
    </row>
    <row r="13" spans="1:20" s="234" customFormat="1" ht="11.25" x14ac:dyDescent="0.2">
      <c r="A13" s="229"/>
      <c r="B13" s="230">
        <f t="shared" si="2"/>
        <v>5</v>
      </c>
      <c r="C13" s="235" t="s">
        <v>695</v>
      </c>
      <c r="D13" s="231">
        <f>10000+4631</f>
        <v>14631</v>
      </c>
      <c r="E13" s="231"/>
      <c r="F13" s="231">
        <v>16121</v>
      </c>
      <c r="G13" s="231"/>
      <c r="H13" s="231"/>
      <c r="I13" s="231">
        <f>18000</f>
        <v>18000</v>
      </c>
      <c r="J13" s="231"/>
      <c r="K13" s="231"/>
      <c r="L13" s="231">
        <v>19987</v>
      </c>
      <c r="M13" s="231"/>
      <c r="N13" s="231"/>
      <c r="O13" s="232"/>
      <c r="P13" s="233">
        <f>SUM(D13:O13)</f>
        <v>68739</v>
      </c>
      <c r="Q13" s="549">
        <f>+P13-68739</f>
        <v>0</v>
      </c>
      <c r="R13" s="229"/>
    </row>
    <row r="14" spans="1:20" s="234" customFormat="1" ht="11.25" x14ac:dyDescent="0.2">
      <c r="A14" s="229"/>
      <c r="B14" s="230">
        <f t="shared" si="2"/>
        <v>6</v>
      </c>
      <c r="C14" s="235" t="s">
        <v>1149</v>
      </c>
      <c r="D14" s="231">
        <v>150000</v>
      </c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2"/>
      <c r="P14" s="233">
        <f t="shared" ref="P14:P15" si="3">SUM(D14:O14)</f>
        <v>150000</v>
      </c>
      <c r="Q14" s="549"/>
      <c r="R14" s="229"/>
    </row>
    <row r="15" spans="1:20" s="242" customFormat="1" ht="11.25" x14ac:dyDescent="0.2">
      <c r="A15" s="229"/>
      <c r="B15" s="230">
        <f t="shared" si="2"/>
        <v>7</v>
      </c>
      <c r="C15" s="238" t="s">
        <v>752</v>
      </c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40"/>
      <c r="P15" s="233">
        <f t="shared" si="3"/>
        <v>0</v>
      </c>
      <c r="Q15" s="550"/>
      <c r="R15" s="229"/>
      <c r="T15" s="241"/>
    </row>
    <row r="16" spans="1:20" s="234" customFormat="1" ht="11.25" x14ac:dyDescent="0.2">
      <c r="A16" s="229"/>
      <c r="B16" s="230">
        <f t="shared" si="2"/>
        <v>8</v>
      </c>
      <c r="C16" s="243" t="s">
        <v>696</v>
      </c>
      <c r="D16" s="231"/>
      <c r="E16" s="236"/>
      <c r="F16" s="236"/>
      <c r="G16" s="236">
        <v>540</v>
      </c>
      <c r="H16" s="236"/>
      <c r="I16" s="236"/>
      <c r="J16" s="236"/>
      <c r="K16" s="236"/>
      <c r="L16" s="236"/>
      <c r="M16" s="236"/>
      <c r="N16" s="236"/>
      <c r="O16" s="237"/>
      <c r="P16" s="233">
        <f t="shared" si="1"/>
        <v>540</v>
      </c>
      <c r="Q16" s="549"/>
      <c r="R16" s="229"/>
    </row>
    <row r="17" spans="1:20" s="234" customFormat="1" ht="11.25" x14ac:dyDescent="0.2">
      <c r="A17" s="229"/>
      <c r="B17" s="230">
        <f t="shared" si="2"/>
        <v>9</v>
      </c>
      <c r="C17" s="235" t="s">
        <v>42</v>
      </c>
      <c r="D17" s="231"/>
      <c r="E17" s="236"/>
      <c r="F17" s="236"/>
      <c r="G17" s="236"/>
      <c r="H17" s="236"/>
      <c r="I17" s="236">
        <v>20000</v>
      </c>
      <c r="J17" s="236"/>
      <c r="K17" s="236"/>
      <c r="L17" s="236"/>
      <c r="M17" s="236"/>
      <c r="N17" s="236"/>
      <c r="O17" s="237"/>
      <c r="P17" s="233">
        <f t="shared" si="1"/>
        <v>20000</v>
      </c>
      <c r="Q17" s="549"/>
      <c r="R17" s="229"/>
    </row>
    <row r="18" spans="1:20" s="244" customFormat="1" ht="11.25" x14ac:dyDescent="0.2">
      <c r="A18" s="229"/>
      <c r="B18" s="230">
        <f t="shared" si="2"/>
        <v>10</v>
      </c>
      <c r="C18" s="235" t="s">
        <v>761</v>
      </c>
      <c r="D18" s="231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7"/>
      <c r="P18" s="233">
        <f t="shared" si="1"/>
        <v>0</v>
      </c>
      <c r="Q18" s="551"/>
      <c r="R18" s="229"/>
      <c r="T18" s="245"/>
    </row>
    <row r="19" spans="1:20" s="254" customFormat="1" ht="13.5" thickBot="1" x14ac:dyDescent="0.25">
      <c r="A19" s="229"/>
      <c r="B19" s="246"/>
      <c r="C19" s="247" t="s">
        <v>677</v>
      </c>
      <c r="D19" s="248">
        <f t="shared" ref="D19:O19" si="4">SUM(D9:D18)</f>
        <v>209600.83000000002</v>
      </c>
      <c r="E19" s="249">
        <f t="shared" si="4"/>
        <v>40138.47</v>
      </c>
      <c r="F19" s="249">
        <f t="shared" si="4"/>
        <v>92771.47</v>
      </c>
      <c r="G19" s="249">
        <f t="shared" si="4"/>
        <v>37421.47</v>
      </c>
      <c r="H19" s="249">
        <f t="shared" si="4"/>
        <v>70547.47</v>
      </c>
      <c r="I19" s="249">
        <f t="shared" si="4"/>
        <v>106267.47</v>
      </c>
      <c r="J19" s="249">
        <f t="shared" si="4"/>
        <v>34880.47</v>
      </c>
      <c r="K19" s="249">
        <f t="shared" si="4"/>
        <v>50979.47</v>
      </c>
      <c r="L19" s="249">
        <f t="shared" si="4"/>
        <v>87045.47</v>
      </c>
      <c r="M19" s="249">
        <f t="shared" si="4"/>
        <v>32004.47</v>
      </c>
      <c r="N19" s="249">
        <f t="shared" si="4"/>
        <v>32004.47</v>
      </c>
      <c r="O19" s="250">
        <f t="shared" si="4"/>
        <v>61470.47</v>
      </c>
      <c r="P19" s="251">
        <f t="shared" si="1"/>
        <v>855131.99999999977</v>
      </c>
      <c r="Q19" s="552"/>
      <c r="R19" s="229"/>
    </row>
    <row r="20" spans="1:20" s="213" customFormat="1" ht="11.25" x14ac:dyDescent="0.2">
      <c r="B20" s="255"/>
      <c r="C20" s="256"/>
      <c r="D20" s="257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9"/>
      <c r="P20" s="260"/>
      <c r="Q20" s="544"/>
      <c r="R20" s="319"/>
    </row>
    <row r="21" spans="1:20" s="222" customFormat="1" x14ac:dyDescent="0.2">
      <c r="B21" s="261" t="s">
        <v>697</v>
      </c>
      <c r="C21" s="224"/>
      <c r="D21" s="225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62"/>
      <c r="P21" s="228"/>
      <c r="Q21" s="548"/>
      <c r="R21" s="320"/>
    </row>
    <row r="22" spans="1:20" s="234" customFormat="1" ht="11.25" x14ac:dyDescent="0.2">
      <c r="A22" s="229"/>
      <c r="B22" s="230">
        <f>+B18+1</f>
        <v>11</v>
      </c>
      <c r="C22" s="263" t="s">
        <v>80</v>
      </c>
      <c r="D22" s="231">
        <v>15950</v>
      </c>
      <c r="E22" s="231">
        <v>15950</v>
      </c>
      <c r="F22" s="231">
        <f>141951/10+1011-4</f>
        <v>15202.1</v>
      </c>
      <c r="G22" s="231">
        <f>141951/10+1011</f>
        <v>15206.1</v>
      </c>
      <c r="H22" s="231">
        <f>141951/10+1011</f>
        <v>15206.1</v>
      </c>
      <c r="I22" s="231">
        <f>141951/10+1011</f>
        <v>15206.1</v>
      </c>
      <c r="J22" s="231">
        <f t="shared" ref="J22:L22" si="5">141951/10+1011</f>
        <v>15206.1</v>
      </c>
      <c r="K22" s="231">
        <f t="shared" si="5"/>
        <v>15206.1</v>
      </c>
      <c r="L22" s="231">
        <f t="shared" si="5"/>
        <v>15206.1</v>
      </c>
      <c r="M22" s="231">
        <f>141951/10+1011+700</f>
        <v>15906.1</v>
      </c>
      <c r="N22" s="231">
        <f>141951/10+1011+700</f>
        <v>15906.1</v>
      </c>
      <c r="O22" s="231">
        <f>141951/10+1011+1123</f>
        <v>16329.1</v>
      </c>
      <c r="P22" s="233">
        <f>SUM(D22:O22)</f>
        <v>186480.00000000003</v>
      </c>
      <c r="Q22" s="549"/>
      <c r="R22" s="317"/>
      <c r="T22" s="229"/>
    </row>
    <row r="23" spans="1:20" s="234" customFormat="1" ht="11.25" x14ac:dyDescent="0.2">
      <c r="A23" s="229"/>
      <c r="B23" s="230">
        <f t="shared" ref="B23:B31" si="6">+B22+1</f>
        <v>12</v>
      </c>
      <c r="C23" s="263" t="s">
        <v>764</v>
      </c>
      <c r="D23" s="231">
        <f>D22*27%-95</f>
        <v>4211.5</v>
      </c>
      <c r="E23" s="231">
        <f t="shared" ref="E23" si="7">E22*27%-95</f>
        <v>4211.5</v>
      </c>
      <c r="F23" s="231">
        <f>F22*27%-95+53</f>
        <v>4062.567</v>
      </c>
      <c r="G23" s="231">
        <f>G22*27%-95+53</f>
        <v>4063.6469999999999</v>
      </c>
      <c r="H23" s="231">
        <f>H22*27%-95+53</f>
        <v>4063.6469999999999</v>
      </c>
      <c r="I23" s="231">
        <f>I22*27%-95+53</f>
        <v>4063.6469999999999</v>
      </c>
      <c r="J23" s="231">
        <f>J22*27%-95+53</f>
        <v>4063.6469999999999</v>
      </c>
      <c r="K23" s="231">
        <f t="shared" ref="K23:N23" si="8">K22*27%-95+53</f>
        <v>4063.6469999999999</v>
      </c>
      <c r="L23" s="231">
        <f t="shared" si="8"/>
        <v>4063.6469999999999</v>
      </c>
      <c r="M23" s="231">
        <f t="shared" si="8"/>
        <v>4252.6469999999999</v>
      </c>
      <c r="N23" s="231">
        <f t="shared" si="8"/>
        <v>4252.6469999999999</v>
      </c>
      <c r="O23" s="231">
        <f>O22*27%-96+53+6</f>
        <v>4371.857</v>
      </c>
      <c r="P23" s="233">
        <f t="shared" ref="P23:P31" si="9">SUM(D23:O23)</f>
        <v>49744.599999999991</v>
      </c>
      <c r="Q23" s="549"/>
      <c r="R23" s="317"/>
    </row>
    <row r="24" spans="1:20" s="234" customFormat="1" ht="11.25" x14ac:dyDescent="0.2">
      <c r="A24" s="229"/>
      <c r="B24" s="230">
        <f t="shared" si="6"/>
        <v>13</v>
      </c>
      <c r="C24" s="263" t="s">
        <v>83</v>
      </c>
      <c r="D24" s="231">
        <f>3600/2+22057</f>
        <v>23857</v>
      </c>
      <c r="E24" s="231">
        <f>40000+22057-804</f>
        <v>61253</v>
      </c>
      <c r="F24" s="231">
        <v>22057</v>
      </c>
      <c r="G24" s="231">
        <v>22057</v>
      </c>
      <c r="H24" s="231">
        <f>22057+2454</f>
        <v>24511</v>
      </c>
      <c r="I24" s="231">
        <f>7000+21057</f>
        <v>28057</v>
      </c>
      <c r="J24" s="231">
        <v>21057</v>
      </c>
      <c r="K24" s="231">
        <v>20057</v>
      </c>
      <c r="L24" s="231">
        <f>23057+1000</f>
        <v>24057</v>
      </c>
      <c r="M24" s="231">
        <f>24057+1000</f>
        <v>25057</v>
      </c>
      <c r="N24" s="231">
        <f>23057+2000</f>
        <v>25057</v>
      </c>
      <c r="O24" s="231">
        <f>3600/2+2999+22057+10+1122</f>
        <v>27988</v>
      </c>
      <c r="P24" s="233">
        <f t="shared" si="9"/>
        <v>325065</v>
      </c>
      <c r="Q24" s="549"/>
      <c r="R24" s="317"/>
    </row>
    <row r="25" spans="1:20" s="234" customFormat="1" ht="11.25" x14ac:dyDescent="0.2">
      <c r="A25" s="229"/>
      <c r="B25" s="230">
        <f t="shared" si="6"/>
        <v>14</v>
      </c>
      <c r="C25" s="263" t="s">
        <v>84</v>
      </c>
      <c r="D25" s="231">
        <f>180+545</f>
        <v>725</v>
      </c>
      <c r="E25" s="231">
        <v>615</v>
      </c>
      <c r="F25" s="231">
        <v>615</v>
      </c>
      <c r="G25" s="231">
        <v>615</v>
      </c>
      <c r="H25" s="231">
        <v>615</v>
      </c>
      <c r="I25" s="231">
        <v>615</v>
      </c>
      <c r="J25" s="231">
        <v>615</v>
      </c>
      <c r="K25" s="231">
        <v>615</v>
      </c>
      <c r="L25" s="231">
        <f>180+545</f>
        <v>725</v>
      </c>
      <c r="M25" s="231">
        <v>605</v>
      </c>
      <c r="N25" s="231">
        <f>50+545</f>
        <v>595</v>
      </c>
      <c r="O25" s="231">
        <f>625+50+555</f>
        <v>1230</v>
      </c>
      <c r="P25" s="233">
        <f t="shared" si="9"/>
        <v>8185</v>
      </c>
      <c r="Q25" s="549"/>
      <c r="R25" s="317"/>
      <c r="T25" s="229"/>
    </row>
    <row r="26" spans="1:20" s="234" customFormat="1" ht="11.25" x14ac:dyDescent="0.2">
      <c r="A26" s="229"/>
      <c r="B26" s="230">
        <f t="shared" si="6"/>
        <v>15</v>
      </c>
      <c r="C26" s="263" t="s">
        <v>85</v>
      </c>
      <c r="D26" s="231">
        <f>2000+250+66+508</f>
        <v>2824</v>
      </c>
      <c r="E26" s="231">
        <f>2000+250+66</f>
        <v>2316</v>
      </c>
      <c r="F26" s="231">
        <f>189+2000+440+250+66+2000</f>
        <v>4945</v>
      </c>
      <c r="G26" s="231">
        <f>2000+630+250+300+66</f>
        <v>3246</v>
      </c>
      <c r="H26" s="231">
        <f>2000+250+66+1000+74</f>
        <v>3390</v>
      </c>
      <c r="I26" s="231">
        <f>2000+440+250+66+1000</f>
        <v>3756</v>
      </c>
      <c r="J26" s="231">
        <f>2000+250+66+9565</f>
        <v>11881</v>
      </c>
      <c r="K26" s="231">
        <f>2000+250+66+26000+6000</f>
        <v>34316</v>
      </c>
      <c r="L26" s="231">
        <f>2000+440+250+2000</f>
        <v>4690</v>
      </c>
      <c r="M26" s="231">
        <f>1020+250</f>
        <v>1270</v>
      </c>
      <c r="N26" s="231">
        <v>250</v>
      </c>
      <c r="O26" s="231">
        <f>440+250</f>
        <v>690</v>
      </c>
      <c r="P26" s="233">
        <f t="shared" si="9"/>
        <v>73574</v>
      </c>
      <c r="Q26" s="549"/>
      <c r="R26" s="317"/>
    </row>
    <row r="27" spans="1:20" s="234" customFormat="1" ht="11.25" x14ac:dyDescent="0.2">
      <c r="A27" s="229"/>
      <c r="B27" s="230">
        <f t="shared" si="6"/>
        <v>16</v>
      </c>
      <c r="C27" s="263" t="s">
        <v>760</v>
      </c>
      <c r="D27" s="231"/>
      <c r="E27" s="231"/>
      <c r="F27" s="231"/>
      <c r="G27" s="231">
        <v>191</v>
      </c>
      <c r="H27" s="231">
        <v>500</v>
      </c>
      <c r="I27" s="231"/>
      <c r="J27" s="231"/>
      <c r="K27" s="231">
        <v>500</v>
      </c>
      <c r="L27" s="231">
        <v>3117</v>
      </c>
      <c r="M27" s="231">
        <v>24077</v>
      </c>
      <c r="N27" s="231"/>
      <c r="O27" s="264">
        <v>500</v>
      </c>
      <c r="P27" s="233">
        <f>SUM(D27:O27)</f>
        <v>28885</v>
      </c>
      <c r="Q27" s="549"/>
      <c r="R27" s="317"/>
    </row>
    <row r="28" spans="1:20" s="234" customFormat="1" ht="11.25" x14ac:dyDescent="0.2">
      <c r="A28" s="229"/>
      <c r="B28" s="230">
        <f t="shared" si="6"/>
        <v>17</v>
      </c>
      <c r="C28" s="263" t="s">
        <v>125</v>
      </c>
      <c r="D28" s="231">
        <f>2700+400*127%</f>
        <v>3208</v>
      </c>
      <c r="E28" s="236"/>
      <c r="F28" s="236">
        <f>(2*300+150+142+250+6450)*127%</f>
        <v>9641.84</v>
      </c>
      <c r="G28" s="236">
        <v>4000</v>
      </c>
      <c r="H28" s="236">
        <f>(2889+4404)*127%</f>
        <v>9262.11</v>
      </c>
      <c r="I28" s="236">
        <f>(12000+488)*127%</f>
        <v>15859.76</v>
      </c>
      <c r="J28" s="236">
        <f>3000+(565+2000+4450+600)*127%-2845</f>
        <v>9826.0499999999993</v>
      </c>
      <c r="K28" s="236">
        <f>35000*127%-2000+7399</f>
        <v>49849</v>
      </c>
      <c r="L28" s="236"/>
      <c r="M28" s="236">
        <f>3450+5723</f>
        <v>9173</v>
      </c>
      <c r="N28" s="236">
        <f>2540+6777*127%</f>
        <v>11146.79</v>
      </c>
      <c r="O28" s="265"/>
      <c r="P28" s="233">
        <f t="shared" si="9"/>
        <v>121966.54999999999</v>
      </c>
      <c r="Q28" s="549"/>
      <c r="R28" s="317"/>
    </row>
    <row r="29" spans="1:20" s="234" customFormat="1" ht="11.25" x14ac:dyDescent="0.2">
      <c r="A29" s="229"/>
      <c r="B29" s="230">
        <f t="shared" si="6"/>
        <v>18</v>
      </c>
      <c r="C29" s="263" t="s">
        <v>87</v>
      </c>
      <c r="D29" s="231">
        <f>2013*127%</f>
        <v>2556.5100000000002</v>
      </c>
      <c r="E29" s="236"/>
      <c r="F29" s="236"/>
      <c r="G29" s="236"/>
      <c r="H29" s="236"/>
      <c r="I29" s="236"/>
      <c r="J29" s="236">
        <f>(1300+11007)*127%+24232/3</f>
        <v>23707.223333333332</v>
      </c>
      <c r="K29" s="236">
        <v>8077</v>
      </c>
      <c r="L29" s="236">
        <v>7077</v>
      </c>
      <c r="M29" s="236"/>
      <c r="N29" s="236"/>
      <c r="O29" s="265">
        <v>14582</v>
      </c>
      <c r="P29" s="233">
        <f t="shared" si="9"/>
        <v>55999.73333333333</v>
      </c>
      <c r="Q29" s="549"/>
      <c r="R29" s="317"/>
      <c r="T29" s="229"/>
    </row>
    <row r="30" spans="1:20" s="234" customFormat="1" ht="11.25" x14ac:dyDescent="0.2">
      <c r="A30" s="229"/>
      <c r="B30" s="230">
        <f t="shared" si="6"/>
        <v>19</v>
      </c>
      <c r="C30" s="263" t="s">
        <v>753</v>
      </c>
      <c r="D30" s="231"/>
      <c r="E30" s="236"/>
      <c r="F30" s="236"/>
      <c r="G30" s="236"/>
      <c r="H30" s="236">
        <v>600</v>
      </c>
      <c r="I30" s="236"/>
      <c r="J30" s="236"/>
      <c r="K30" s="236"/>
      <c r="L30" s="236"/>
      <c r="M30" s="236"/>
      <c r="N30" s="236"/>
      <c r="O30" s="265"/>
      <c r="P30" s="233">
        <f t="shared" si="9"/>
        <v>600</v>
      </c>
      <c r="Q30" s="549"/>
      <c r="R30" s="317"/>
      <c r="T30" s="229"/>
    </row>
    <row r="31" spans="1:20" s="234" customFormat="1" ht="11.25" x14ac:dyDescent="0.2">
      <c r="A31" s="229"/>
      <c r="B31" s="230">
        <f t="shared" si="6"/>
        <v>20</v>
      </c>
      <c r="C31" s="263" t="s">
        <v>762</v>
      </c>
      <c r="D31" s="231">
        <v>4631</v>
      </c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65"/>
      <c r="P31" s="233">
        <f t="shared" si="9"/>
        <v>4631</v>
      </c>
      <c r="Q31" s="549"/>
      <c r="R31" s="317"/>
    </row>
    <row r="32" spans="1:20" s="270" customFormat="1" ht="15" customHeight="1" thickBot="1" x14ac:dyDescent="0.25">
      <c r="A32" s="266"/>
      <c r="B32" s="246"/>
      <c r="C32" s="247" t="s">
        <v>678</v>
      </c>
      <c r="D32" s="267">
        <f t="shared" ref="D32:O32" si="10">SUM(D22:D31)</f>
        <v>57963.01</v>
      </c>
      <c r="E32" s="268">
        <f t="shared" si="10"/>
        <v>84345.5</v>
      </c>
      <c r="F32" s="268">
        <f t="shared" si="10"/>
        <v>56523.506999999998</v>
      </c>
      <c r="G32" s="268">
        <f t="shared" si="10"/>
        <v>49378.747000000003</v>
      </c>
      <c r="H32" s="268">
        <f t="shared" si="10"/>
        <v>58147.857000000004</v>
      </c>
      <c r="I32" s="268">
        <f t="shared" si="10"/>
        <v>67557.506999999998</v>
      </c>
      <c r="J32" s="268">
        <f t="shared" si="10"/>
        <v>86356.020333333334</v>
      </c>
      <c r="K32" s="268">
        <f t="shared" si="10"/>
        <v>132683.747</v>
      </c>
      <c r="L32" s="268">
        <f t="shared" si="10"/>
        <v>58935.747000000003</v>
      </c>
      <c r="M32" s="268">
        <f t="shared" si="10"/>
        <v>80340.747000000003</v>
      </c>
      <c r="N32" s="268">
        <f t="shared" si="10"/>
        <v>57207.537000000004</v>
      </c>
      <c r="O32" s="269">
        <f t="shared" si="10"/>
        <v>65690.956999999995</v>
      </c>
      <c r="P32" s="251">
        <f>SUM(D32:O32)+1</f>
        <v>855131.8833333333</v>
      </c>
      <c r="Q32" s="552"/>
      <c r="R32" s="318"/>
    </row>
    <row r="33" spans="4:18" x14ac:dyDescent="0.2"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>
        <f>P19-P32</f>
        <v>0.11666666646488011</v>
      </c>
      <c r="R33" s="150"/>
    </row>
    <row r="34" spans="4:18" x14ac:dyDescent="0.2"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71"/>
      <c r="Q34" s="552"/>
    </row>
    <row r="35" spans="4:18" x14ac:dyDescent="0.2"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71"/>
      <c r="O35" s="271"/>
    </row>
    <row r="37" spans="4:18" x14ac:dyDescent="0.2">
      <c r="D37" s="271"/>
    </row>
  </sheetData>
  <mergeCells count="17">
    <mergeCell ref="J5:J6"/>
    <mergeCell ref="K5:K6"/>
    <mergeCell ref="L5:L6"/>
    <mergeCell ref="F5:F6"/>
    <mergeCell ref="O4:P4"/>
    <mergeCell ref="M5:M6"/>
    <mergeCell ref="N5:N6"/>
    <mergeCell ref="O5:O6"/>
    <mergeCell ref="P5:P6"/>
    <mergeCell ref="G5:G6"/>
    <mergeCell ref="H5:H6"/>
    <mergeCell ref="I5:I6"/>
    <mergeCell ref="B4:D4"/>
    <mergeCell ref="B5:B6"/>
    <mergeCell ref="C5:C6"/>
    <mergeCell ref="D5:D6"/>
    <mergeCell ref="E5:E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43" orientation="landscape" r:id="rId1"/>
  <headerFooter>
    <oddHeader>&amp;CTaksony Nagyközség Önkormányzat 2016. évi költségvetés 
2. sz. módosítás&amp;R15.sz. melléklet</oddHeader>
    <oddFooter xml:space="preserve">&amp;LKészült: &amp;D
&amp;R/:Kreisz László://:Dr.Micheller Anita:/      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3:M33"/>
  <sheetViews>
    <sheetView topLeftCell="A3" zoomScaleNormal="100" workbookViewId="0">
      <pane ySplit="4" topLeftCell="A7" activePane="bottomLeft" state="frozen"/>
      <selection activeCell="G32" sqref="G32"/>
      <selection pane="bottomLeft" activeCell="L40" sqref="L40"/>
    </sheetView>
  </sheetViews>
  <sheetFormatPr defaultColWidth="9.140625" defaultRowHeight="12.75" x14ac:dyDescent="0.2"/>
  <cols>
    <col min="1" max="1" width="9.140625" style="152" customWidth="1"/>
    <col min="2" max="2" width="6.7109375" style="211" customWidth="1"/>
    <col min="3" max="3" width="40.7109375" style="152" customWidth="1"/>
    <col min="4" max="9" width="11.85546875" style="152" customWidth="1"/>
    <col min="10" max="10" width="2.42578125" style="152" customWidth="1"/>
    <col min="11" max="16384" width="9.140625" style="152"/>
  </cols>
  <sheetData>
    <row r="3" spans="2:9" ht="16.5" customHeight="1" x14ac:dyDescent="0.25">
      <c r="B3" s="852" t="s">
        <v>698</v>
      </c>
      <c r="C3" s="852"/>
      <c r="D3" s="852"/>
      <c r="E3" s="852"/>
      <c r="F3" s="852"/>
      <c r="G3" s="852"/>
      <c r="H3" s="852"/>
      <c r="I3" s="852"/>
    </row>
    <row r="4" spans="2:9" s="213" customFormat="1" ht="30" customHeight="1" thickBot="1" x14ac:dyDescent="0.3">
      <c r="D4" s="626"/>
      <c r="E4" s="626"/>
      <c r="F4" s="688"/>
      <c r="G4" s="626"/>
      <c r="H4" s="843" t="s">
        <v>763</v>
      </c>
      <c r="I4" s="843"/>
    </row>
    <row r="5" spans="2:9" s="273" customFormat="1" ht="18" customHeight="1" x14ac:dyDescent="0.25">
      <c r="B5" s="848" t="s">
        <v>680</v>
      </c>
      <c r="C5" s="850" t="s">
        <v>681</v>
      </c>
      <c r="D5" s="645" t="s">
        <v>784</v>
      </c>
      <c r="E5" s="853" t="s">
        <v>1106</v>
      </c>
      <c r="F5" s="853" t="s">
        <v>1110</v>
      </c>
      <c r="G5" s="855" t="s">
        <v>1102</v>
      </c>
      <c r="H5" s="637" t="s">
        <v>1019</v>
      </c>
      <c r="I5" s="272" t="s">
        <v>1020</v>
      </c>
    </row>
    <row r="6" spans="2:9" s="276" customFormat="1" ht="26.25" thickBot="1" x14ac:dyDescent="0.3">
      <c r="B6" s="849"/>
      <c r="C6" s="851"/>
      <c r="D6" s="646" t="s">
        <v>699</v>
      </c>
      <c r="E6" s="854"/>
      <c r="F6" s="854"/>
      <c r="G6" s="856"/>
      <c r="H6" s="274" t="s">
        <v>700</v>
      </c>
      <c r="I6" s="275" t="s">
        <v>700</v>
      </c>
    </row>
    <row r="7" spans="2:9" s="222" customFormat="1" ht="15" customHeight="1" x14ac:dyDescent="0.2">
      <c r="B7" s="308" t="s">
        <v>694</v>
      </c>
      <c r="C7" s="628"/>
      <c r="D7" s="647"/>
      <c r="E7" s="309"/>
      <c r="F7" s="309"/>
      <c r="G7" s="310"/>
      <c r="H7" s="638"/>
      <c r="I7" s="310"/>
    </row>
    <row r="8" spans="2:9" s="280" customFormat="1" ht="15" customHeight="1" x14ac:dyDescent="0.2">
      <c r="B8" s="277" t="s">
        <v>23</v>
      </c>
      <c r="C8" s="629" t="s">
        <v>750</v>
      </c>
      <c r="D8" s="648">
        <f>'1. 2016. mindösszesen'!C3</f>
        <v>133336</v>
      </c>
      <c r="E8" s="278">
        <f>'1. 2016. mindösszesen'!D3</f>
        <v>11563</v>
      </c>
      <c r="F8" s="278">
        <f>'1. 2016. mindösszesen'!E3</f>
        <v>34524</v>
      </c>
      <c r="G8" s="279">
        <f>'1. 2016. mindösszesen'!F3</f>
        <v>179423</v>
      </c>
      <c r="H8" s="639">
        <f>D8*101%</f>
        <v>134669.36000000002</v>
      </c>
      <c r="I8" s="279">
        <f t="shared" ref="I8:I10" si="0">H8*101%</f>
        <v>136016.05360000001</v>
      </c>
    </row>
    <row r="9" spans="2:9" s="280" customFormat="1" ht="15" customHeight="1" x14ac:dyDescent="0.2">
      <c r="B9" s="277" t="s">
        <v>45</v>
      </c>
      <c r="C9" s="630" t="s">
        <v>9</v>
      </c>
      <c r="D9" s="648">
        <f>'1. 2016. mindösszesen'!C18</f>
        <v>309500</v>
      </c>
      <c r="E9" s="278">
        <f>'1. 2016. mindösszesen'!D18</f>
        <v>0</v>
      </c>
      <c r="F9" s="278">
        <f>'1. 2016. mindösszesen'!E18</f>
        <v>0</v>
      </c>
      <c r="G9" s="279">
        <f>'1. 2016. mindösszesen'!F18</f>
        <v>309500</v>
      </c>
      <c r="H9" s="639">
        <f>D9*101%</f>
        <v>312595</v>
      </c>
      <c r="I9" s="279">
        <f t="shared" si="0"/>
        <v>315720.95</v>
      </c>
    </row>
    <row r="10" spans="2:9" s="280" customFormat="1" ht="15" customHeight="1" x14ac:dyDescent="0.2">
      <c r="B10" s="277" t="s">
        <v>56</v>
      </c>
      <c r="C10" s="630" t="s">
        <v>159</v>
      </c>
      <c r="D10" s="648">
        <f>'1. 2016. mindösszesen'!C25</f>
        <v>124091.6678</v>
      </c>
      <c r="E10" s="278">
        <f>'1. 2016. mindösszesen'!D25</f>
        <v>-1</v>
      </c>
      <c r="F10" s="278">
        <f>'1. 2016. mindösszesen'!E25</f>
        <v>-12118.999999999996</v>
      </c>
      <c r="G10" s="279">
        <f>'1. 2016. mindösszesen'!F25</f>
        <v>111972.6678</v>
      </c>
      <c r="H10" s="639">
        <f>D10*101%</f>
        <v>125332.58447799999</v>
      </c>
      <c r="I10" s="279">
        <f t="shared" si="0"/>
        <v>126585.91032277999</v>
      </c>
    </row>
    <row r="11" spans="2:9" s="280" customFormat="1" ht="15" customHeight="1" x14ac:dyDescent="0.2">
      <c r="B11" s="277" t="s">
        <v>64</v>
      </c>
      <c r="C11" s="630" t="s">
        <v>173</v>
      </c>
      <c r="D11" s="648">
        <f>'1. 2016. mindösszesen'!C36</f>
        <v>8382</v>
      </c>
      <c r="E11" s="278">
        <f>'1. 2016. mindösszesen'!D36</f>
        <v>0</v>
      </c>
      <c r="F11" s="278">
        <f>'1. 2016. mindösszesen'!E36</f>
        <v>6575</v>
      </c>
      <c r="G11" s="279">
        <f>'1. 2016. mindösszesen'!F36</f>
        <v>14957</v>
      </c>
      <c r="H11" s="639"/>
      <c r="I11" s="279"/>
    </row>
    <row r="12" spans="2:9" s="280" customFormat="1" ht="15" customHeight="1" x14ac:dyDescent="0.2">
      <c r="B12" s="277" t="s">
        <v>100</v>
      </c>
      <c r="C12" s="630" t="s">
        <v>752</v>
      </c>
      <c r="D12" s="648"/>
      <c r="E12" s="278"/>
      <c r="F12" s="278"/>
      <c r="G12" s="279"/>
      <c r="H12" s="639"/>
      <c r="I12" s="279"/>
    </row>
    <row r="13" spans="2:9" s="280" customFormat="1" ht="15" customHeight="1" x14ac:dyDescent="0.2">
      <c r="B13" s="277" t="s">
        <v>181</v>
      </c>
      <c r="C13" s="630" t="s">
        <v>39</v>
      </c>
      <c r="D13" s="648">
        <f>'1. 2016. mindösszesen'!C57</f>
        <v>540</v>
      </c>
      <c r="E13" s="278">
        <f>'1. 2016. mindösszesen'!D57</f>
        <v>0</v>
      </c>
      <c r="F13" s="278">
        <f>'1. 2016. mindösszesen'!E57</f>
        <v>20000</v>
      </c>
      <c r="G13" s="279">
        <f>'1. 2016. mindösszesen'!F57</f>
        <v>20540</v>
      </c>
      <c r="H13" s="639"/>
      <c r="I13" s="279"/>
    </row>
    <row r="14" spans="2:9" s="283" customFormat="1" x14ac:dyDescent="0.2">
      <c r="B14" s="281" t="s">
        <v>191</v>
      </c>
      <c r="C14" s="630" t="s">
        <v>187</v>
      </c>
      <c r="D14" s="648"/>
      <c r="E14" s="278"/>
      <c r="F14" s="278"/>
      <c r="G14" s="279"/>
      <c r="H14" s="640"/>
      <c r="I14" s="282"/>
    </row>
    <row r="15" spans="2:9" s="280" customFormat="1" ht="15" customHeight="1" x14ac:dyDescent="0.2">
      <c r="B15" s="277" t="s">
        <v>199</v>
      </c>
      <c r="C15" s="631" t="s">
        <v>756</v>
      </c>
      <c r="D15" s="648">
        <f>'1. 2016. mindösszesen'!C85+'1. 2016. mindösszesen'!C97</f>
        <v>162226.51</v>
      </c>
      <c r="E15" s="278">
        <f>'1. 2016. mindösszesen'!D85+'1. 2016. mindösszesen'!D97</f>
        <v>24618</v>
      </c>
      <c r="F15" s="278">
        <f>'1. 2016. mindösszesen'!E85+'1. 2016. mindösszesen'!E87+'1. 2016. mindösszesen'!E97</f>
        <v>31894</v>
      </c>
      <c r="G15" s="279">
        <f>'1. 2016. mindösszesen'!F85+'1. 2016. mindösszesen'!F87+'1. 2016. mindösszesen'!F97</f>
        <v>218738.51</v>
      </c>
      <c r="H15" s="639">
        <v>9891</v>
      </c>
      <c r="I15" s="279">
        <v>9640</v>
      </c>
    </row>
    <row r="16" spans="2:9" s="254" customFormat="1" ht="15" customHeight="1" thickBot="1" x14ac:dyDescent="0.3">
      <c r="B16" s="311"/>
      <c r="C16" s="632" t="s">
        <v>759</v>
      </c>
      <c r="D16" s="248">
        <f>SUM(D8:D15)+1</f>
        <v>738077.17779999995</v>
      </c>
      <c r="E16" s="249">
        <f>SUM(E8:E15)+1</f>
        <v>36181</v>
      </c>
      <c r="F16" s="249">
        <f>SUM(F8:F15)</f>
        <v>80874</v>
      </c>
      <c r="G16" s="253">
        <f>SUM(G8:G15)+1</f>
        <v>855132.17779999995</v>
      </c>
      <c r="H16" s="641">
        <f>SUM(H8:H15)</f>
        <v>582487.94447799993</v>
      </c>
      <c r="I16" s="253">
        <f>SUM(I8:I15)</f>
        <v>587962.91392278008</v>
      </c>
    </row>
    <row r="17" spans="2:13" s="222" customFormat="1" ht="15" customHeight="1" x14ac:dyDescent="0.2">
      <c r="B17" s="308" t="s">
        <v>697</v>
      </c>
      <c r="C17" s="628"/>
      <c r="D17" s="647"/>
      <c r="E17" s="309"/>
      <c r="F17" s="309"/>
      <c r="G17" s="310"/>
      <c r="H17" s="638"/>
      <c r="I17" s="310"/>
    </row>
    <row r="18" spans="2:13" s="280" customFormat="1" ht="15" customHeight="1" x14ac:dyDescent="0.2">
      <c r="B18" s="277" t="s">
        <v>23</v>
      </c>
      <c r="C18" s="633" t="s">
        <v>80</v>
      </c>
      <c r="D18" s="648">
        <f>'1. 2016. mindösszesen'!I3</f>
        <v>173850.75200000001</v>
      </c>
      <c r="E18" s="278">
        <f>'1. 2016. mindösszesen'!J3</f>
        <v>10106</v>
      </c>
      <c r="F18" s="278">
        <f>'1. 2016. mindösszesen'!K3</f>
        <v>2653</v>
      </c>
      <c r="G18" s="279">
        <f>'1. 2016. mindösszesen'!L3</f>
        <v>186479.75200000001</v>
      </c>
      <c r="H18" s="639">
        <f>D18*101%</f>
        <v>175589.25952000002</v>
      </c>
      <c r="I18" s="279">
        <f t="shared" ref="I18:I20" si="1">H18*101%</f>
        <v>177345.15211520004</v>
      </c>
      <c r="K18" s="542"/>
      <c r="L18" s="252"/>
      <c r="M18" s="252"/>
    </row>
    <row r="19" spans="2:13" s="280" customFormat="1" ht="15" customHeight="1" x14ac:dyDescent="0.2">
      <c r="B19" s="277" t="s">
        <v>45</v>
      </c>
      <c r="C19" s="633" t="s">
        <v>81</v>
      </c>
      <c r="D19" s="648">
        <f>'1. 2016. mindösszesen'!I7</f>
        <v>47469.541878400007</v>
      </c>
      <c r="E19" s="278">
        <f>'1. 2016. mindösszesen'!J7</f>
        <v>1586</v>
      </c>
      <c r="F19" s="278">
        <f>'1. 2016. mindösszesen'!K7</f>
        <v>687</v>
      </c>
      <c r="G19" s="279">
        <f>'1. 2016. mindösszesen'!L7</f>
        <v>49744.541878400007</v>
      </c>
      <c r="H19" s="639">
        <f>D19*101%</f>
        <v>47944.237297184009</v>
      </c>
      <c r="I19" s="279">
        <f t="shared" si="1"/>
        <v>48423.679670155849</v>
      </c>
    </row>
    <row r="20" spans="2:13" s="280" customFormat="1" ht="15" customHeight="1" x14ac:dyDescent="0.2">
      <c r="B20" s="277" t="s">
        <v>56</v>
      </c>
      <c r="C20" s="633" t="s">
        <v>83</v>
      </c>
      <c r="D20" s="648">
        <f>'1. 2016. mindösszesen'!I18</f>
        <v>320746.55390681891</v>
      </c>
      <c r="E20" s="278">
        <f>'1. 2016. mindösszesen'!J18</f>
        <v>-804</v>
      </c>
      <c r="F20" s="278">
        <f>'1. 2016. mindösszesen'!K18</f>
        <v>4992.8751968503948</v>
      </c>
      <c r="G20" s="279">
        <f>'1. 2016. mindösszesen'!L18</f>
        <v>325065.4291036693</v>
      </c>
      <c r="H20" s="639">
        <f>D20*101%</f>
        <v>323954.01944588713</v>
      </c>
      <c r="I20" s="279">
        <f t="shared" si="1"/>
        <v>327193.55964034598</v>
      </c>
    </row>
    <row r="21" spans="2:13" s="280" customFormat="1" ht="15" customHeight="1" x14ac:dyDescent="0.2">
      <c r="B21" s="277" t="s">
        <v>64</v>
      </c>
      <c r="C21" s="633" t="s">
        <v>84</v>
      </c>
      <c r="D21" s="648">
        <f>'1. 2016. mindösszesen'!I25</f>
        <v>8185</v>
      </c>
      <c r="E21" s="278">
        <f>'1. 2016. mindösszesen'!J25</f>
        <v>0</v>
      </c>
      <c r="F21" s="278">
        <f>'1. 2016. mindösszesen'!K25</f>
        <v>0</v>
      </c>
      <c r="G21" s="279">
        <f>'1. 2016. mindösszesen'!L25</f>
        <v>8185</v>
      </c>
      <c r="H21" s="639">
        <v>10000</v>
      </c>
      <c r="I21" s="279">
        <v>10000</v>
      </c>
    </row>
    <row r="22" spans="2:13" s="285" customFormat="1" ht="15" customHeight="1" x14ac:dyDescent="0.2">
      <c r="B22" s="277" t="s">
        <v>100</v>
      </c>
      <c r="C22" s="633" t="s">
        <v>85</v>
      </c>
      <c r="D22" s="648">
        <f>'1. 2016. mindösszesen'!I36</f>
        <v>34125.9</v>
      </c>
      <c r="E22" s="278">
        <f>'1. 2016. mindösszesen'!J36</f>
        <v>20061</v>
      </c>
      <c r="F22" s="278">
        <f>'1. 2016. mindösszesen'!K36</f>
        <v>48272</v>
      </c>
      <c r="G22" s="279">
        <f>'1. 2016. mindösszesen'!L36</f>
        <v>102458.9</v>
      </c>
      <c r="H22" s="639">
        <v>25000</v>
      </c>
      <c r="I22" s="279">
        <v>25000</v>
      </c>
    </row>
    <row r="23" spans="2:13" s="280" customFormat="1" ht="15" customHeight="1" x14ac:dyDescent="0.2">
      <c r="B23" s="277" t="s">
        <v>181</v>
      </c>
      <c r="C23" s="633" t="s">
        <v>125</v>
      </c>
      <c r="D23" s="648">
        <f>'1. 2016. mindösszesen'!I58</f>
        <v>97698.66</v>
      </c>
      <c r="E23" s="278">
        <f>'1. 2016. mindösszesen'!J58</f>
        <v>0</v>
      </c>
      <c r="F23" s="278">
        <f>'1. 2016. mindösszesen'!K58</f>
        <v>24269</v>
      </c>
      <c r="G23" s="279">
        <f>'1. 2016. mindösszesen'!L58</f>
        <v>121966.66</v>
      </c>
      <c r="H23" s="639"/>
      <c r="I23" s="279"/>
      <c r="K23" s="252"/>
      <c r="L23" s="252"/>
      <c r="M23" s="252"/>
    </row>
    <row r="24" spans="2:13" s="280" customFormat="1" ht="15" customHeight="1" x14ac:dyDescent="0.2">
      <c r="B24" s="277" t="s">
        <v>191</v>
      </c>
      <c r="C24" s="633" t="s">
        <v>87</v>
      </c>
      <c r="D24" s="648">
        <f>'1. 2016. mindösszesen'!I66</f>
        <v>56000</v>
      </c>
      <c r="E24" s="278">
        <f>'1. 2016. mindösszesen'!J66</f>
        <v>0</v>
      </c>
      <c r="F24" s="278">
        <f>'1. 2016. mindösszesen'!K66</f>
        <v>0</v>
      </c>
      <c r="G24" s="279">
        <f>'1. 2016. mindösszesen'!L66</f>
        <v>56000</v>
      </c>
      <c r="H24" s="639"/>
      <c r="I24" s="279"/>
      <c r="K24" s="252"/>
      <c r="L24" s="252"/>
      <c r="M24" s="252"/>
    </row>
    <row r="25" spans="2:13" s="280" customFormat="1" ht="15" customHeight="1" x14ac:dyDescent="0.2">
      <c r="B25" s="284" t="s">
        <v>199</v>
      </c>
      <c r="C25" s="633" t="s">
        <v>753</v>
      </c>
      <c r="D25" s="648">
        <v>0</v>
      </c>
      <c r="E25" s="278">
        <f>'1. 2016. mindösszesen'!J71</f>
        <v>600</v>
      </c>
      <c r="F25" s="278">
        <f>'1. 2016. mindösszesen'!K71</f>
        <v>0</v>
      </c>
      <c r="G25" s="279">
        <f>'1. 2016. mindösszesen'!L71</f>
        <v>600</v>
      </c>
      <c r="H25" s="639"/>
      <c r="I25" s="279"/>
      <c r="K25" s="252"/>
      <c r="L25" s="252"/>
      <c r="M25" s="252"/>
    </row>
    <row r="26" spans="2:13" s="270" customFormat="1" ht="15" customHeight="1" x14ac:dyDescent="0.2">
      <c r="B26" s="284" t="s">
        <v>701</v>
      </c>
      <c r="C26" s="633" t="s">
        <v>757</v>
      </c>
      <c r="D26" s="648">
        <v>0</v>
      </c>
      <c r="E26" s="278">
        <f>'1. 2016. mindösszesen'!J84</f>
        <v>4631</v>
      </c>
      <c r="F26" s="278">
        <f>'1. 2016. mindösszesen'!K84</f>
        <v>0</v>
      </c>
      <c r="G26" s="279">
        <f>'1. 2016. mindösszesen'!L84</f>
        <v>4631</v>
      </c>
      <c r="H26" s="639"/>
      <c r="I26" s="279"/>
      <c r="K26" s="286"/>
      <c r="L26" s="286"/>
      <c r="M26" s="286"/>
    </row>
    <row r="27" spans="2:13" s="270" customFormat="1" ht="15" customHeight="1" thickBot="1" x14ac:dyDescent="0.25">
      <c r="B27" s="246"/>
      <c r="C27" s="634" t="s">
        <v>758</v>
      </c>
      <c r="D27" s="267">
        <f>SUM(D18:D26)+1</f>
        <v>738077.40778521891</v>
      </c>
      <c r="E27" s="268">
        <f>SUM(E18:E26)+1</f>
        <v>36181</v>
      </c>
      <c r="F27" s="268">
        <f>SUM(F18:F26)</f>
        <v>80873.875196850393</v>
      </c>
      <c r="G27" s="269">
        <f>SUM(G18:G26)+1</f>
        <v>855132.2829820693</v>
      </c>
      <c r="H27" s="642">
        <f t="shared" ref="H27:I27" si="2">SUM(H18:H26)</f>
        <v>582487.51626307121</v>
      </c>
      <c r="I27" s="269">
        <f t="shared" si="2"/>
        <v>587962.39142570179</v>
      </c>
    </row>
    <row r="28" spans="2:13" s="287" customFormat="1" ht="15" customHeight="1" x14ac:dyDescent="0.2">
      <c r="B28" s="312"/>
      <c r="C28" s="635" t="s">
        <v>702</v>
      </c>
      <c r="D28" s="649">
        <f>D8+D9+D10+D11+D13-D18-D19-D20-D21-D22-D23-D24</f>
        <v>-162226.73998521897</v>
      </c>
      <c r="E28" s="313">
        <f>E8+E9+E10+E11+E13-E18-E19-E20-E21-E22-E23-E24-E25</f>
        <v>-19987</v>
      </c>
      <c r="F28" s="313">
        <f>F8+F9+F10+F11+F13-F18-F19-F20-F21-F22-F23-F24-F25</f>
        <v>-31893.875196850393</v>
      </c>
      <c r="G28" s="650">
        <f>G8+G9+G10+G11+G13-G18-G19-G20-G21-G22-G23-G24-G25</f>
        <v>-214107.61518206936</v>
      </c>
      <c r="H28" s="643">
        <f>(H16-H15)-(H27-H26)</f>
        <v>-9890.5717850712826</v>
      </c>
      <c r="I28" s="650">
        <f>(I16-I15)-(I27-I26)-1</f>
        <v>-9640.4775029217126</v>
      </c>
      <c r="K28" s="286"/>
    </row>
    <row r="29" spans="2:13" s="287" customFormat="1" ht="15" customHeight="1" thickBot="1" x14ac:dyDescent="0.25">
      <c r="B29" s="288"/>
      <c r="C29" s="636" t="s">
        <v>703</v>
      </c>
      <c r="D29" s="651">
        <f>D15-D26</f>
        <v>162226.51</v>
      </c>
      <c r="E29" s="289">
        <f>E15-E26</f>
        <v>19987</v>
      </c>
      <c r="F29" s="289">
        <f>F15-F26</f>
        <v>31894</v>
      </c>
      <c r="G29" s="289">
        <f>G15-G26</f>
        <v>214107.51</v>
      </c>
      <c r="H29" s="644">
        <f t="shared" ref="H29" si="3">H15-H26</f>
        <v>9891</v>
      </c>
      <c r="I29" s="652">
        <f>I15-I26</f>
        <v>9640</v>
      </c>
    </row>
    <row r="31" spans="2:13" x14ac:dyDescent="0.2">
      <c r="D31" s="271"/>
      <c r="E31" s="271"/>
      <c r="F31" s="271"/>
      <c r="G31" s="271"/>
      <c r="H31" s="271"/>
      <c r="I31" s="271"/>
    </row>
    <row r="33" spans="5:7" x14ac:dyDescent="0.2">
      <c r="E33" s="271">
        <f>E16-E27</f>
        <v>0</v>
      </c>
      <c r="F33" s="271"/>
      <c r="G33" s="271"/>
    </row>
  </sheetData>
  <mergeCells count="7">
    <mergeCell ref="B5:B6"/>
    <mergeCell ref="C5:C6"/>
    <mergeCell ref="B3:I3"/>
    <mergeCell ref="H4:I4"/>
    <mergeCell ref="E5:E6"/>
    <mergeCell ref="G5:G6"/>
    <mergeCell ref="F5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rstPageNumber="42" orientation="landscape" r:id="rId1"/>
  <headerFooter>
    <oddHeader>&amp;CTaksony Nagyközség Önkormányzat 2016. évi költségvetés 
2. sz. módosítás&amp;R16.sz. melléklet</oddHeader>
    <oddFooter xml:space="preserve">&amp;LKészült: &amp;D
&amp;R/:Kreisz László://:Dr.Micheller Anita:/      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Z1397"/>
  <sheetViews>
    <sheetView view="pageBreakPreview" zoomScale="70" zoomScaleNormal="70" zoomScaleSheetLayoutView="70" workbookViewId="0">
      <pane ySplit="2" topLeftCell="A3" activePane="bottomLeft" state="frozen"/>
      <selection activeCell="G32" sqref="G32"/>
      <selection pane="bottomLeft" activeCell="T56" sqref="T56"/>
    </sheetView>
  </sheetViews>
  <sheetFormatPr defaultRowHeight="15" x14ac:dyDescent="0.25"/>
  <cols>
    <col min="1" max="1" width="4.85546875" style="21" customWidth="1"/>
    <col min="2" max="2" width="58" style="21" customWidth="1"/>
    <col min="3" max="3" width="10.85546875" style="350" customWidth="1"/>
    <col min="4" max="4" width="15.42578125" style="21" customWidth="1"/>
    <col min="5" max="15" width="10.7109375" style="21" customWidth="1"/>
    <col min="16" max="16" width="10.85546875" style="350" customWidth="1"/>
    <col min="17" max="17" width="4.28515625" style="21" customWidth="1"/>
    <col min="18" max="18" width="47.5703125" style="339" customWidth="1"/>
    <col min="19" max="19" width="10.85546875" style="350" customWidth="1"/>
    <col min="20" max="31" width="10.7109375" style="88" customWidth="1"/>
    <col min="32" max="32" width="11.140625" style="88" customWidth="1"/>
    <col min="33" max="40" width="10.7109375" style="88" customWidth="1"/>
    <col min="41" max="41" width="12.28515625" style="340" customWidth="1"/>
    <col min="42" max="43" width="10.7109375" style="340" customWidth="1"/>
    <col min="44" max="44" width="10.85546875" style="344" customWidth="1"/>
    <col min="45" max="16384" width="9.140625" style="21"/>
  </cols>
  <sheetData>
    <row r="1" spans="1:45" ht="17.25" customHeight="1" x14ac:dyDescent="0.25">
      <c r="A1" s="861"/>
      <c r="B1" s="859" t="s">
        <v>955</v>
      </c>
      <c r="C1" s="857" t="s">
        <v>1107</v>
      </c>
      <c r="D1" s="371" t="s">
        <v>786</v>
      </c>
      <c r="E1" s="371" t="s">
        <v>787</v>
      </c>
      <c r="F1" s="371" t="s">
        <v>788</v>
      </c>
      <c r="G1" s="371" t="s">
        <v>789</v>
      </c>
      <c r="H1" s="371" t="s">
        <v>797</v>
      </c>
      <c r="I1" s="371" t="s">
        <v>799</v>
      </c>
      <c r="J1" s="627" t="s">
        <v>1150</v>
      </c>
      <c r="K1" s="371" t="s">
        <v>801</v>
      </c>
      <c r="L1" s="371" t="s">
        <v>804</v>
      </c>
      <c r="M1" s="371" t="s">
        <v>806</v>
      </c>
      <c r="N1" s="371" t="s">
        <v>805</v>
      </c>
      <c r="O1" s="371" t="s">
        <v>809</v>
      </c>
      <c r="P1" s="857" t="s">
        <v>1108</v>
      </c>
      <c r="Q1" s="861"/>
      <c r="R1" s="860" t="s">
        <v>956</v>
      </c>
      <c r="S1" s="857" t="s">
        <v>1107</v>
      </c>
      <c r="T1" s="371" t="s">
        <v>805</v>
      </c>
      <c r="U1" s="485" t="s">
        <v>960</v>
      </c>
      <c r="V1" s="371" t="s">
        <v>789</v>
      </c>
      <c r="W1" s="371" t="s">
        <v>811</v>
      </c>
      <c r="X1" s="371" t="s">
        <v>812</v>
      </c>
      <c r="Y1" s="371" t="s">
        <v>799</v>
      </c>
      <c r="Z1" s="447" t="s">
        <v>814</v>
      </c>
      <c r="AA1" s="371" t="s">
        <v>801</v>
      </c>
      <c r="AB1" s="371" t="s">
        <v>804</v>
      </c>
      <c r="AC1" s="371" t="s">
        <v>787</v>
      </c>
      <c r="AD1" s="627" t="s">
        <v>1150</v>
      </c>
      <c r="AE1" s="371" t="s">
        <v>815</v>
      </c>
      <c r="AF1" s="371" t="s">
        <v>825</v>
      </c>
      <c r="AG1" s="371" t="s">
        <v>788</v>
      </c>
      <c r="AH1" s="371" t="s">
        <v>817</v>
      </c>
      <c r="AI1" s="371" t="s">
        <v>819</v>
      </c>
      <c r="AJ1" s="371" t="s">
        <v>794</v>
      </c>
      <c r="AK1" s="371" t="s">
        <v>796</v>
      </c>
      <c r="AL1" s="371" t="s">
        <v>822</v>
      </c>
      <c r="AM1" s="371" t="s">
        <v>818</v>
      </c>
      <c r="AN1" s="371" t="s">
        <v>824</v>
      </c>
      <c r="AO1" s="627" t="s">
        <v>786</v>
      </c>
      <c r="AP1" s="371" t="s">
        <v>809</v>
      </c>
      <c r="AQ1" s="371" t="s">
        <v>829</v>
      </c>
      <c r="AR1" s="857" t="s">
        <v>1108</v>
      </c>
    </row>
    <row r="2" spans="1:45" s="339" customFormat="1" ht="111.75" customHeight="1" x14ac:dyDescent="0.25">
      <c r="A2" s="862"/>
      <c r="B2" s="859"/>
      <c r="C2" s="857"/>
      <c r="D2" s="371" t="s">
        <v>793</v>
      </c>
      <c r="E2" s="371" t="s">
        <v>790</v>
      </c>
      <c r="F2" s="371" t="s">
        <v>791</v>
      </c>
      <c r="G2" s="371" t="s">
        <v>792</v>
      </c>
      <c r="H2" s="371" t="s">
        <v>798</v>
      </c>
      <c r="I2" s="371" t="s">
        <v>800</v>
      </c>
      <c r="J2" s="627" t="s">
        <v>1151</v>
      </c>
      <c r="K2" s="371" t="s">
        <v>802</v>
      </c>
      <c r="L2" s="371" t="s">
        <v>803</v>
      </c>
      <c r="M2" s="371" t="s">
        <v>807</v>
      </c>
      <c r="N2" s="371" t="s">
        <v>808</v>
      </c>
      <c r="O2" s="371" t="s">
        <v>810</v>
      </c>
      <c r="P2" s="857"/>
      <c r="Q2" s="862"/>
      <c r="R2" s="860"/>
      <c r="S2" s="857"/>
      <c r="T2" s="371" t="s">
        <v>808</v>
      </c>
      <c r="U2" s="617" t="s">
        <v>961</v>
      </c>
      <c r="V2" s="617" t="s">
        <v>792</v>
      </c>
      <c r="W2" s="617" t="s">
        <v>951</v>
      </c>
      <c r="X2" s="618" t="s">
        <v>813</v>
      </c>
      <c r="Y2" s="618" t="s">
        <v>800</v>
      </c>
      <c r="Z2" s="618" t="s">
        <v>952</v>
      </c>
      <c r="AA2" s="618" t="s">
        <v>953</v>
      </c>
      <c r="AB2" s="617" t="s">
        <v>803</v>
      </c>
      <c r="AC2" s="617" t="s">
        <v>790</v>
      </c>
      <c r="AD2" s="627" t="s">
        <v>1151</v>
      </c>
      <c r="AE2" s="618" t="s">
        <v>826</v>
      </c>
      <c r="AF2" s="372" t="s">
        <v>816</v>
      </c>
      <c r="AG2" s="617" t="s">
        <v>791</v>
      </c>
      <c r="AH2" s="617" t="s">
        <v>954</v>
      </c>
      <c r="AI2" s="618" t="s">
        <v>820</v>
      </c>
      <c r="AJ2" s="618" t="s">
        <v>795</v>
      </c>
      <c r="AK2" s="618" t="s">
        <v>821</v>
      </c>
      <c r="AL2" s="618" t="s">
        <v>823</v>
      </c>
      <c r="AM2" s="618" t="s">
        <v>827</v>
      </c>
      <c r="AN2" s="618" t="s">
        <v>828</v>
      </c>
      <c r="AO2" s="627" t="s">
        <v>793</v>
      </c>
      <c r="AP2" s="617" t="s">
        <v>810</v>
      </c>
      <c r="AQ2" s="617" t="s">
        <v>830</v>
      </c>
      <c r="AR2" s="857"/>
    </row>
    <row r="3" spans="1:45" ht="28.5" x14ac:dyDescent="0.25">
      <c r="A3" s="78"/>
      <c r="B3" s="79" t="s">
        <v>180</v>
      </c>
      <c r="C3" s="342">
        <f>C4+C19+C26+C37</f>
        <v>575309.66779999994</v>
      </c>
      <c r="D3" s="96">
        <f t="shared" ref="D3:G3" si="0">D4+D19+D26+D37</f>
        <v>145599</v>
      </c>
      <c r="E3" s="96">
        <f t="shared" si="0"/>
        <v>13641</v>
      </c>
      <c r="F3" s="96">
        <f t="shared" si="0"/>
        <v>836</v>
      </c>
      <c r="G3" s="96">
        <f t="shared" si="0"/>
        <v>13822</v>
      </c>
      <c r="H3" s="96">
        <f t="shared" ref="H3" si="1">H4+H19+H26+H37</f>
        <v>309500</v>
      </c>
      <c r="I3" s="96">
        <f>I4+I19+I26+I37</f>
        <v>102174</v>
      </c>
      <c r="J3" s="96">
        <f>J4+J19+J26+J37</f>
        <v>1690</v>
      </c>
      <c r="K3" s="96">
        <f t="shared" ref="K3" si="2">K4+K19+K26+K37</f>
        <v>3000</v>
      </c>
      <c r="L3" s="96">
        <f>L4+L19+L26+L37</f>
        <v>140</v>
      </c>
      <c r="M3" s="96">
        <f t="shared" ref="M3:O3" si="3">M4+M19+M26+M37</f>
        <v>9682</v>
      </c>
      <c r="N3" s="96">
        <f t="shared" si="3"/>
        <v>15769</v>
      </c>
      <c r="O3" s="96">
        <f t="shared" si="3"/>
        <v>0</v>
      </c>
      <c r="P3" s="342">
        <f>SUM(D3:O3)</f>
        <v>615853</v>
      </c>
      <c r="Q3" s="78"/>
      <c r="R3" s="363" t="s">
        <v>196</v>
      </c>
      <c r="S3" s="342">
        <f>S4+S8+S19+S26+S37</f>
        <v>584378.74778521887</v>
      </c>
      <c r="T3" s="96">
        <f>T4+T8+T19+T26+T37</f>
        <v>331183</v>
      </c>
      <c r="U3" s="96"/>
      <c r="V3" s="96">
        <f t="shared" ref="V3:AN3" si="4">V4+V8+V19+V26+V37</f>
        <v>14515</v>
      </c>
      <c r="W3" s="96">
        <f t="shared" si="4"/>
        <v>14809</v>
      </c>
      <c r="X3" s="96">
        <f t="shared" si="4"/>
        <v>1448</v>
      </c>
      <c r="Y3" s="96">
        <f t="shared" si="4"/>
        <v>0</v>
      </c>
      <c r="Z3" s="96">
        <f t="shared" si="4"/>
        <v>17881.445</v>
      </c>
      <c r="AA3" s="96">
        <f t="shared" si="4"/>
        <v>7484.22</v>
      </c>
      <c r="AB3" s="96">
        <f t="shared" si="4"/>
        <v>5843.8099999999995</v>
      </c>
      <c r="AC3" s="96">
        <f t="shared" si="4"/>
        <v>12050.21</v>
      </c>
      <c r="AD3" s="96">
        <f t="shared" si="4"/>
        <v>6857</v>
      </c>
      <c r="AE3" s="96">
        <f t="shared" si="4"/>
        <v>177420</v>
      </c>
      <c r="AF3" s="96">
        <f t="shared" si="4"/>
        <v>6172.4400000000005</v>
      </c>
      <c r="AG3" s="96">
        <f t="shared" si="4"/>
        <v>0</v>
      </c>
      <c r="AH3" s="96">
        <f t="shared" si="4"/>
        <v>4012.58</v>
      </c>
      <c r="AI3" s="96">
        <f t="shared" si="4"/>
        <v>4000</v>
      </c>
      <c r="AJ3" s="96">
        <f t="shared" si="4"/>
        <v>0</v>
      </c>
      <c r="AK3" s="96">
        <f t="shared" si="4"/>
        <v>1500</v>
      </c>
      <c r="AL3" s="96">
        <f t="shared" si="4"/>
        <v>2685</v>
      </c>
      <c r="AM3" s="96">
        <f t="shared" si="4"/>
        <v>57920</v>
      </c>
      <c r="AN3" s="96">
        <f t="shared" si="4"/>
        <v>4760</v>
      </c>
      <c r="AO3" s="96">
        <f t="shared" ref="AO3:AP3" si="5">AO4+AO8+AO19+AO26+AO37</f>
        <v>674</v>
      </c>
      <c r="AP3" s="96">
        <f t="shared" si="5"/>
        <v>0</v>
      </c>
      <c r="AQ3" s="96">
        <f t="shared" ref="AQ3" si="6">AQ4+AQ8+AQ19+AQ26+AQ37</f>
        <v>718</v>
      </c>
      <c r="AR3" s="342">
        <f>SUM(T3:AQ3)</f>
        <v>671933.70499999996</v>
      </c>
      <c r="AS3" s="117"/>
    </row>
    <row r="4" spans="1:45" ht="20.25" customHeight="1" x14ac:dyDescent="0.25">
      <c r="A4" s="80" t="s">
        <v>23</v>
      </c>
      <c r="B4" s="81" t="s">
        <v>312</v>
      </c>
      <c r="C4" s="342">
        <f>'2. 2016. önkormányzat'!C3+'3. 2016. hivatal'!C3+'4. 2016. műv.ház'!C3+'5. 2016. forrás'!C3+'6. 2016. szociális'!C3</f>
        <v>133336</v>
      </c>
      <c r="D4" s="112">
        <f>D5+D13+D14+D15+D16+D17</f>
        <v>145599</v>
      </c>
      <c r="E4" s="112">
        <f t="shared" ref="E4:G4" si="7">E5+E13+E14+E15+E16+E17</f>
        <v>13641</v>
      </c>
      <c r="F4" s="112">
        <f t="shared" si="7"/>
        <v>836</v>
      </c>
      <c r="G4" s="112">
        <f t="shared" si="7"/>
        <v>13822</v>
      </c>
      <c r="H4" s="112">
        <f t="shared" ref="H4" si="8">H5+H13+H14+H15+H16+H17</f>
        <v>0</v>
      </c>
      <c r="I4" s="112">
        <f t="shared" ref="I4:K4" si="9">I5+I13+I14+I15+I16+I17</f>
        <v>0</v>
      </c>
      <c r="J4" s="112">
        <f t="shared" si="9"/>
        <v>0</v>
      </c>
      <c r="K4" s="112">
        <f t="shared" si="9"/>
        <v>0</v>
      </c>
      <c r="L4" s="112">
        <f>L5+L13+L14+L15+L16+L17</f>
        <v>0</v>
      </c>
      <c r="M4" s="112">
        <f t="shared" ref="M4:O4" si="10">M5+M13+M14+M15+M16+M17</f>
        <v>0</v>
      </c>
      <c r="N4" s="112">
        <f t="shared" si="10"/>
        <v>5525</v>
      </c>
      <c r="O4" s="112">
        <f t="shared" si="10"/>
        <v>0</v>
      </c>
      <c r="P4" s="342">
        <f t="shared" ref="P4:P10" si="11">SUM(D4:O4)</f>
        <v>179423</v>
      </c>
      <c r="Q4" s="80" t="s">
        <v>23</v>
      </c>
      <c r="R4" s="83" t="s">
        <v>213</v>
      </c>
      <c r="S4" s="345">
        <f>'2. 2016. önkormányzat'!I3+'3. 2016. hivatal'!I3+'4. 2016. műv.ház'!I3+'5. 2016. forrás'!I3+'6. 2016. szociális'!I3</f>
        <v>173850.75200000001</v>
      </c>
      <c r="T4" s="106">
        <f t="shared" ref="T4:AN4" si="12">SUM(T5:T6)</f>
        <v>85454</v>
      </c>
      <c r="U4" s="106"/>
      <c r="V4" s="106">
        <f t="shared" si="12"/>
        <v>12732</v>
      </c>
      <c r="W4" s="106">
        <f t="shared" si="12"/>
        <v>4461</v>
      </c>
      <c r="X4" s="106">
        <f t="shared" si="12"/>
        <v>1140</v>
      </c>
      <c r="Y4" s="106">
        <f t="shared" si="12"/>
        <v>0</v>
      </c>
      <c r="Z4" s="106">
        <f t="shared" si="12"/>
        <v>12769</v>
      </c>
      <c r="AA4" s="106">
        <f t="shared" si="12"/>
        <v>1907</v>
      </c>
      <c r="AB4" s="106">
        <f t="shared" si="12"/>
        <v>3720</v>
      </c>
      <c r="AC4" s="106">
        <f t="shared" si="12"/>
        <v>7917</v>
      </c>
      <c r="AD4" s="106">
        <f t="shared" si="12"/>
        <v>3738</v>
      </c>
      <c r="AE4" s="106">
        <f t="shared" si="12"/>
        <v>52642</v>
      </c>
      <c r="AF4" s="106">
        <f t="shared" si="12"/>
        <v>0</v>
      </c>
      <c r="AG4" s="106">
        <f t="shared" si="12"/>
        <v>0</v>
      </c>
      <c r="AH4" s="106">
        <f t="shared" si="12"/>
        <v>0</v>
      </c>
      <c r="AI4" s="106">
        <f t="shared" si="12"/>
        <v>0</v>
      </c>
      <c r="AJ4" s="106">
        <f t="shared" si="12"/>
        <v>0</v>
      </c>
      <c r="AK4" s="106">
        <f t="shared" si="12"/>
        <v>0</v>
      </c>
      <c r="AL4" s="106">
        <f t="shared" si="12"/>
        <v>0</v>
      </c>
      <c r="AM4" s="106">
        <f t="shared" si="12"/>
        <v>0</v>
      </c>
      <c r="AN4" s="106">
        <f t="shared" si="12"/>
        <v>0</v>
      </c>
      <c r="AO4" s="106">
        <f t="shared" ref="AO4:AP4" si="13">SUM(AO5:AO6)</f>
        <v>0</v>
      </c>
      <c r="AP4" s="106">
        <f t="shared" si="13"/>
        <v>0</v>
      </c>
      <c r="AQ4" s="106">
        <f t="shared" ref="AQ4" si="14">SUM(AQ5:AQ6)</f>
        <v>0</v>
      </c>
      <c r="AR4" s="342">
        <f>SUM(T4:AP4)</f>
        <v>186480</v>
      </c>
      <c r="AS4" s="117"/>
    </row>
    <row r="5" spans="1:45" ht="20.25" customHeight="1" x14ac:dyDescent="0.25">
      <c r="A5" s="70"/>
      <c r="B5" s="111" t="s">
        <v>247</v>
      </c>
      <c r="C5" s="343">
        <f>'2. 2016. önkormányzat'!C4+'3. 2016. hivatal'!C4+'4. 2016. műv.ház'!C4+'5. 2016. forrás'!C4+'6. 2016. szociális'!C4</f>
        <v>115941</v>
      </c>
      <c r="D5" s="109">
        <f>SUM(D6:D11)</f>
        <v>118729</v>
      </c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343">
        <f t="shared" si="11"/>
        <v>118729</v>
      </c>
      <c r="Q5" s="80"/>
      <c r="R5" s="69" t="s">
        <v>507</v>
      </c>
      <c r="S5" s="346">
        <f>'2. 2016. önkormányzat'!I4+'3. 2016. hivatal'!I4+'4. 2016. műv.ház'!I4+'5. 2016. forrás'!I4+'6. 2016. szociális'!I4</f>
        <v>155252</v>
      </c>
      <c r="T5" s="654">
        <f>70968+461+167+231</f>
        <v>71827</v>
      </c>
      <c r="U5" s="97"/>
      <c r="V5" s="654">
        <f>4532+8200</f>
        <v>12732</v>
      </c>
      <c r="W5" s="97">
        <f>4331+10</f>
        <v>4341</v>
      </c>
      <c r="X5" s="97"/>
      <c r="Y5" s="97"/>
      <c r="Z5" s="654">
        <f>9007+3.5*6*12+200+40+841</f>
        <v>10340</v>
      </c>
      <c r="AA5" s="97">
        <f>1785+6*12+20+30</f>
        <v>1907</v>
      </c>
      <c r="AB5" s="97">
        <f>3486+2*6*12+45+45</f>
        <v>3720</v>
      </c>
      <c r="AC5" s="97">
        <f>6910+3*6*12+477+200+60+54</f>
        <v>7917</v>
      </c>
      <c r="AD5" s="97">
        <v>3738</v>
      </c>
      <c r="AE5" s="654">
        <f>22639+29278+768-1215</f>
        <v>51470</v>
      </c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343">
        <f t="shared" ref="AR5:AR36" si="15">SUM(T5:AQ5)</f>
        <v>167992</v>
      </c>
      <c r="AS5" s="117"/>
    </row>
    <row r="6" spans="1:45" ht="24" customHeight="1" x14ac:dyDescent="0.25">
      <c r="A6" s="80"/>
      <c r="B6" s="84" t="s">
        <v>248</v>
      </c>
      <c r="C6" s="343">
        <f>'2. 2016. önkormányzat'!C5+'3. 2016. hivatal'!C5+'4. 2016. műv.ház'!C5+'5. 2016. forrás'!C5+'6. 2016. szociális'!C5</f>
        <v>82055</v>
      </c>
      <c r="D6" s="109">
        <v>82055</v>
      </c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343">
        <f t="shared" si="11"/>
        <v>82055</v>
      </c>
      <c r="Q6" s="80"/>
      <c r="R6" s="69" t="s">
        <v>508</v>
      </c>
      <c r="S6" s="346">
        <f>'2. 2016. önkormányzat'!I5+'3. 2016. hivatal'!I5+'4. 2016. műv.ház'!I5+'5. 2016. forrás'!I5+'6. 2016. szociális'!I5</f>
        <v>18598.752</v>
      </c>
      <c r="T6" s="97">
        <f>2200+12798-1140-231</f>
        <v>13627</v>
      </c>
      <c r="U6" s="97"/>
      <c r="V6" s="97"/>
      <c r="W6" s="97">
        <v>120</v>
      </c>
      <c r="X6" s="97">
        <v>1140</v>
      </c>
      <c r="Y6" s="97"/>
      <c r="Z6" s="97">
        <v>2429</v>
      </c>
      <c r="AA6" s="97"/>
      <c r="AB6" s="97"/>
      <c r="AC6" s="97"/>
      <c r="AD6" s="97"/>
      <c r="AE6" s="97">
        <f>1172</f>
        <v>1172</v>
      </c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343">
        <f t="shared" si="15"/>
        <v>18488</v>
      </c>
      <c r="AS6" s="117"/>
    </row>
    <row r="7" spans="1:45" ht="34.5" customHeight="1" x14ac:dyDescent="0.25">
      <c r="A7" s="80"/>
      <c r="B7" s="84" t="s">
        <v>249</v>
      </c>
      <c r="C7" s="343">
        <f>'2. 2016. önkormányzat'!C6+'3. 2016. hivatal'!C6+'4. 2016. műv.ház'!C6+'5. 2016. forrás'!C6+'6. 2016. szociális'!C6</f>
        <v>0</v>
      </c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343">
        <f t="shared" si="11"/>
        <v>0</v>
      </c>
      <c r="Q7" s="80"/>
      <c r="R7" s="69"/>
      <c r="S7" s="346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343">
        <f t="shared" si="15"/>
        <v>0</v>
      </c>
      <c r="AS7" s="117"/>
    </row>
    <row r="8" spans="1:45" ht="34.5" customHeight="1" x14ac:dyDescent="0.25">
      <c r="A8" s="80"/>
      <c r="B8" s="84" t="s">
        <v>250</v>
      </c>
      <c r="C8" s="343">
        <f>'2. 2016. önkormányzat'!C7+'3. 2016. hivatal'!C7+'4. 2016. műv.ház'!C7+'5. 2016. forrás'!C7+'6. 2016. szociális'!C7</f>
        <v>26705</v>
      </c>
      <c r="D8" s="109">
        <f>26705+1500</f>
        <v>28205</v>
      </c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343">
        <f t="shared" si="11"/>
        <v>28205</v>
      </c>
      <c r="Q8" s="80" t="s">
        <v>45</v>
      </c>
      <c r="R8" s="83" t="s">
        <v>214</v>
      </c>
      <c r="S8" s="345">
        <f>'2. 2016. önkormányzat'!I7+'3. 2016. hivatal'!I7+'4. 2016. műv.ház'!I7+'5. 2016. forrás'!I7+'6. 2016. szociális'!I7</f>
        <v>47470.541878400007</v>
      </c>
      <c r="T8" s="655">
        <f>20343+4502-612-308-2+45</f>
        <v>23968</v>
      </c>
      <c r="U8" s="106"/>
      <c r="V8" s="655">
        <f>612+1108</f>
        <v>1720</v>
      </c>
      <c r="W8" s="106">
        <v>1193</v>
      </c>
      <c r="X8" s="106">
        <v>308</v>
      </c>
      <c r="Y8" s="106"/>
      <c r="Z8" s="655">
        <f>3217+227</f>
        <v>3444</v>
      </c>
      <c r="AA8" s="106">
        <v>515</v>
      </c>
      <c r="AB8" s="106">
        <v>1004</v>
      </c>
      <c r="AC8" s="106">
        <v>2134</v>
      </c>
      <c r="AD8" s="106">
        <v>1020</v>
      </c>
      <c r="AE8" s="655">
        <f>8356+6208+207-332</f>
        <v>14439</v>
      </c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342">
        <f>SUM(T8:AP8)</f>
        <v>49745</v>
      </c>
      <c r="AS8" s="117"/>
    </row>
    <row r="9" spans="1:45" ht="22.5" customHeight="1" x14ac:dyDescent="0.25">
      <c r="A9" s="80"/>
      <c r="B9" s="84" t="s">
        <v>251</v>
      </c>
      <c r="C9" s="343">
        <f>'2. 2016. önkormányzat'!C8+'3. 2016. hivatal'!C8+'4. 2016. műv.ház'!C8+'5. 2016. forrás'!C8+'6. 2016. szociális'!C8</f>
        <v>7181</v>
      </c>
      <c r="D9" s="109">
        <f>7181+242</f>
        <v>7423</v>
      </c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343">
        <f t="shared" si="11"/>
        <v>7423</v>
      </c>
      <c r="Q9" s="80"/>
      <c r="R9" s="69"/>
      <c r="S9" s="346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343">
        <f t="shared" si="15"/>
        <v>0</v>
      </c>
      <c r="AS9" s="117"/>
    </row>
    <row r="10" spans="1:45" ht="32.25" customHeight="1" x14ac:dyDescent="0.25">
      <c r="A10" s="80"/>
      <c r="B10" s="84" t="s">
        <v>252</v>
      </c>
      <c r="C10" s="343"/>
      <c r="D10" s="433">
        <f>659+387</f>
        <v>1046</v>
      </c>
      <c r="E10" s="433"/>
      <c r="F10" s="433"/>
      <c r="G10" s="433"/>
      <c r="H10" s="82"/>
      <c r="I10" s="82"/>
      <c r="J10" s="82"/>
      <c r="K10" s="82"/>
      <c r="L10" s="82"/>
      <c r="M10" s="82"/>
      <c r="N10" s="82"/>
      <c r="O10" s="82"/>
      <c r="P10" s="344">
        <f t="shared" si="11"/>
        <v>1046</v>
      </c>
      <c r="Q10" s="80"/>
      <c r="R10" s="69"/>
      <c r="S10" s="346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343">
        <f t="shared" si="15"/>
        <v>0</v>
      </c>
      <c r="AS10" s="117"/>
    </row>
    <row r="11" spans="1:45" ht="30" customHeight="1" x14ac:dyDescent="0.25">
      <c r="A11" s="80"/>
      <c r="B11" s="84" t="s">
        <v>254</v>
      </c>
      <c r="C11" s="362"/>
      <c r="D11" s="433"/>
      <c r="E11" s="433"/>
      <c r="F11" s="433"/>
      <c r="G11" s="433"/>
      <c r="H11" s="82"/>
      <c r="I11" s="82"/>
      <c r="J11" s="82"/>
      <c r="K11" s="82"/>
      <c r="L11" s="82"/>
      <c r="M11" s="82"/>
      <c r="N11" s="82"/>
      <c r="O11" s="82"/>
      <c r="P11" s="344"/>
      <c r="Q11" s="85"/>
      <c r="R11" s="69"/>
      <c r="S11" s="353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343">
        <f t="shared" si="15"/>
        <v>0</v>
      </c>
      <c r="AS11" s="117"/>
    </row>
    <row r="12" spans="1:45" ht="20.25" customHeight="1" x14ac:dyDescent="0.25">
      <c r="A12" s="80"/>
      <c r="B12" s="88"/>
      <c r="C12" s="344"/>
      <c r="D12" s="444"/>
      <c r="E12" s="444"/>
      <c r="F12" s="444"/>
      <c r="G12" s="444"/>
      <c r="H12" s="88"/>
      <c r="I12" s="88"/>
      <c r="J12" s="88"/>
      <c r="K12" s="88"/>
      <c r="L12" s="88"/>
      <c r="M12" s="88"/>
      <c r="N12" s="88"/>
      <c r="O12" s="88"/>
      <c r="P12" s="344"/>
      <c r="Q12" s="85"/>
      <c r="R12" s="69"/>
      <c r="S12" s="345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343">
        <f t="shared" si="15"/>
        <v>0</v>
      </c>
      <c r="AS12" s="117"/>
    </row>
    <row r="13" spans="1:45" ht="20.25" customHeight="1" x14ac:dyDescent="0.25">
      <c r="A13" s="80"/>
      <c r="B13" s="84" t="s">
        <v>255</v>
      </c>
      <c r="C13" s="344"/>
      <c r="D13" s="444"/>
      <c r="E13" s="444"/>
      <c r="F13" s="444"/>
      <c r="G13" s="444"/>
      <c r="H13" s="88"/>
      <c r="I13" s="88"/>
      <c r="J13" s="88"/>
      <c r="K13" s="88"/>
      <c r="L13" s="88"/>
      <c r="M13" s="88"/>
      <c r="N13" s="88"/>
      <c r="O13" s="88"/>
      <c r="P13" s="344"/>
      <c r="Q13" s="85"/>
      <c r="R13" s="364"/>
      <c r="S13" s="346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343">
        <f t="shared" si="15"/>
        <v>0</v>
      </c>
      <c r="AS13" s="117"/>
    </row>
    <row r="14" spans="1:45" ht="30" x14ac:dyDescent="0.25">
      <c r="A14" s="70"/>
      <c r="B14" s="84" t="s">
        <v>256</v>
      </c>
      <c r="C14" s="343"/>
      <c r="D14" s="316"/>
      <c r="E14" s="316"/>
      <c r="F14" s="316"/>
      <c r="G14" s="316"/>
      <c r="H14" s="109"/>
      <c r="I14" s="109"/>
      <c r="J14" s="109"/>
      <c r="K14" s="109"/>
      <c r="L14" s="109"/>
      <c r="M14" s="109"/>
      <c r="N14" s="109"/>
      <c r="O14" s="109"/>
      <c r="P14" s="343"/>
      <c r="Q14" s="85"/>
      <c r="R14" s="69"/>
      <c r="S14" s="345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343">
        <f t="shared" si="15"/>
        <v>0</v>
      </c>
      <c r="AS14" s="117"/>
    </row>
    <row r="15" spans="1:45" ht="29.25" customHeight="1" x14ac:dyDescent="0.25">
      <c r="A15" s="70"/>
      <c r="B15" s="84" t="s">
        <v>257</v>
      </c>
      <c r="C15" s="343"/>
      <c r="D15" s="316"/>
      <c r="E15" s="316"/>
      <c r="F15" s="316"/>
      <c r="G15" s="316"/>
      <c r="H15" s="109"/>
      <c r="I15" s="109"/>
      <c r="J15" s="109"/>
      <c r="K15" s="109"/>
      <c r="L15" s="109"/>
      <c r="M15" s="109"/>
      <c r="N15" s="109"/>
      <c r="O15" s="109"/>
      <c r="P15" s="343"/>
      <c r="Q15" s="85"/>
      <c r="R15" s="69"/>
      <c r="S15" s="345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343">
        <f t="shared" si="15"/>
        <v>0</v>
      </c>
      <c r="AS15" s="117"/>
    </row>
    <row r="16" spans="1:45" ht="29.25" customHeight="1" x14ac:dyDescent="0.25">
      <c r="A16" s="70"/>
      <c r="B16" s="84" t="s">
        <v>258</v>
      </c>
      <c r="C16" s="343"/>
      <c r="D16" s="316"/>
      <c r="E16" s="316"/>
      <c r="F16" s="316"/>
      <c r="G16" s="316"/>
      <c r="H16" s="109"/>
      <c r="I16" s="109"/>
      <c r="J16" s="109"/>
      <c r="K16" s="109"/>
      <c r="L16" s="109"/>
      <c r="M16" s="109"/>
      <c r="N16" s="109"/>
      <c r="O16" s="109"/>
      <c r="P16" s="343"/>
      <c r="Q16" s="85"/>
      <c r="R16" s="69"/>
      <c r="S16" s="345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343">
        <f t="shared" si="15"/>
        <v>0</v>
      </c>
      <c r="AS16" s="117"/>
    </row>
    <row r="17" spans="1:45" ht="29.25" customHeight="1" x14ac:dyDescent="0.25">
      <c r="A17" s="70"/>
      <c r="B17" s="84" t="s">
        <v>259</v>
      </c>
      <c r="C17" s="343">
        <f>'2. 2016. önkormányzat'!C16+'3. 2016. hivatal'!C16+'4. 2016. műv.ház'!C16+'5. 2016. forrás'!C16+'6. 2016. szociális'!C16</f>
        <v>17395</v>
      </c>
      <c r="D17" s="316">
        <v>26870</v>
      </c>
      <c r="E17" s="316">
        <f>12045+1596</f>
        <v>13641</v>
      </c>
      <c r="F17" s="316">
        <v>836</v>
      </c>
      <c r="G17" s="316">
        <f>4451+63+9308</f>
        <v>13822</v>
      </c>
      <c r="H17" s="109"/>
      <c r="I17" s="109"/>
      <c r="J17" s="109"/>
      <c r="K17" s="109"/>
      <c r="L17" s="109"/>
      <c r="M17" s="109"/>
      <c r="N17" s="109">
        <v>5525</v>
      </c>
      <c r="O17" s="109"/>
      <c r="P17" s="343">
        <f>SUM(D17:O17)</f>
        <v>60694</v>
      </c>
      <c r="Q17" s="85"/>
      <c r="R17" s="364"/>
      <c r="S17" s="346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343">
        <f t="shared" si="15"/>
        <v>0</v>
      </c>
      <c r="AS17" s="117"/>
    </row>
    <row r="18" spans="1:45" ht="18.75" customHeight="1" x14ac:dyDescent="0.25">
      <c r="A18" s="70"/>
      <c r="B18" s="88"/>
      <c r="C18" s="343"/>
      <c r="D18" s="316"/>
      <c r="E18" s="316"/>
      <c r="F18" s="316"/>
      <c r="G18" s="316"/>
      <c r="H18" s="109"/>
      <c r="I18" s="109"/>
      <c r="J18" s="109"/>
      <c r="K18" s="109"/>
      <c r="L18" s="109"/>
      <c r="M18" s="109"/>
      <c r="N18" s="109"/>
      <c r="O18" s="109"/>
      <c r="P18" s="343"/>
      <c r="Q18" s="88"/>
      <c r="R18" s="364"/>
      <c r="S18" s="345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343">
        <f t="shared" si="15"/>
        <v>0</v>
      </c>
      <c r="AS18" s="117"/>
    </row>
    <row r="19" spans="1:45" ht="20.25" customHeight="1" x14ac:dyDescent="0.25">
      <c r="A19" s="86" t="s">
        <v>45</v>
      </c>
      <c r="B19" s="87" t="s">
        <v>266</v>
      </c>
      <c r="C19" s="345">
        <f>C20+C21+C25</f>
        <v>309500</v>
      </c>
      <c r="D19" s="106">
        <f t="shared" ref="D19:K19" si="16">D20+D21+D25</f>
        <v>0</v>
      </c>
      <c r="E19" s="106">
        <f t="shared" si="16"/>
        <v>0</v>
      </c>
      <c r="F19" s="106">
        <f t="shared" si="16"/>
        <v>0</v>
      </c>
      <c r="G19" s="106">
        <f t="shared" si="16"/>
        <v>0</v>
      </c>
      <c r="H19" s="106">
        <f t="shared" si="16"/>
        <v>309500</v>
      </c>
      <c r="I19" s="106">
        <f t="shared" si="16"/>
        <v>0</v>
      </c>
      <c r="J19" s="106">
        <f t="shared" si="16"/>
        <v>0</v>
      </c>
      <c r="K19" s="106">
        <f t="shared" si="16"/>
        <v>0</v>
      </c>
      <c r="L19" s="106">
        <f>L20+L21+L25</f>
        <v>0</v>
      </c>
      <c r="M19" s="106">
        <f t="shared" ref="M19:O19" si="17">M20+M21+M25</f>
        <v>0</v>
      </c>
      <c r="N19" s="106">
        <f t="shared" si="17"/>
        <v>0</v>
      </c>
      <c r="O19" s="106">
        <f t="shared" si="17"/>
        <v>0</v>
      </c>
      <c r="P19" s="345">
        <f>SUM(D19:O19)</f>
        <v>309500</v>
      </c>
      <c r="Q19" s="73" t="s">
        <v>56</v>
      </c>
      <c r="R19" s="365" t="s">
        <v>215</v>
      </c>
      <c r="S19" s="345">
        <f>SUM(S20:S24)</f>
        <v>320746.55390681891</v>
      </c>
      <c r="T19" s="99">
        <f>SUM(T20:T24)</f>
        <v>182656</v>
      </c>
      <c r="U19" s="99"/>
      <c r="V19" s="99">
        <f t="shared" ref="V19:AN19" si="18">SUM(V20:V24)</f>
        <v>63</v>
      </c>
      <c r="W19" s="99">
        <f t="shared" si="18"/>
        <v>9155</v>
      </c>
      <c r="X19" s="99">
        <f t="shared" si="18"/>
        <v>0</v>
      </c>
      <c r="Y19" s="99">
        <f t="shared" si="18"/>
        <v>0</v>
      </c>
      <c r="Z19" s="99">
        <f t="shared" si="18"/>
        <v>1668.4449999999999</v>
      </c>
      <c r="AA19" s="99">
        <f t="shared" si="18"/>
        <v>5062.22</v>
      </c>
      <c r="AB19" s="99">
        <f t="shared" si="18"/>
        <v>1119.81</v>
      </c>
      <c r="AC19" s="99">
        <f t="shared" si="18"/>
        <v>1999.21</v>
      </c>
      <c r="AD19" s="99">
        <f t="shared" si="18"/>
        <v>2099</v>
      </c>
      <c r="AE19" s="99">
        <f t="shared" si="18"/>
        <v>110339</v>
      </c>
      <c r="AF19" s="99">
        <f t="shared" si="18"/>
        <v>6172.4400000000005</v>
      </c>
      <c r="AG19" s="99">
        <f t="shared" si="18"/>
        <v>0</v>
      </c>
      <c r="AH19" s="99">
        <f t="shared" si="18"/>
        <v>4012.58</v>
      </c>
      <c r="AI19" s="99">
        <f t="shared" si="18"/>
        <v>0</v>
      </c>
      <c r="AJ19" s="99">
        <f t="shared" si="18"/>
        <v>0</v>
      </c>
      <c r="AK19" s="99">
        <f t="shared" si="18"/>
        <v>0</v>
      </c>
      <c r="AL19" s="99">
        <f t="shared" si="18"/>
        <v>0</v>
      </c>
      <c r="AM19" s="99">
        <f t="shared" si="18"/>
        <v>0</v>
      </c>
      <c r="AN19" s="99">
        <f t="shared" si="18"/>
        <v>0</v>
      </c>
      <c r="AO19" s="99"/>
      <c r="AP19" s="99">
        <f t="shared" ref="AP19" si="19">SUM(AP20:AP24)</f>
        <v>0</v>
      </c>
      <c r="AQ19" s="99">
        <f t="shared" ref="AQ19" si="20">SUM(AQ20:AQ24)</f>
        <v>718</v>
      </c>
      <c r="AR19" s="345">
        <f>SUM(T19:AQ19)</f>
        <v>325064.70500000002</v>
      </c>
      <c r="AS19" s="117"/>
    </row>
    <row r="20" spans="1:45" ht="20.25" customHeight="1" x14ac:dyDescent="0.25">
      <c r="A20" s="86"/>
      <c r="B20" s="88" t="s">
        <v>267</v>
      </c>
      <c r="C20" s="346">
        <f>'2. 2016. önkormányzat'!C19</f>
        <v>75000</v>
      </c>
      <c r="D20" s="97"/>
      <c r="E20" s="97"/>
      <c r="F20" s="97"/>
      <c r="G20" s="97"/>
      <c r="H20" s="97">
        <v>75000</v>
      </c>
      <c r="I20" s="97"/>
      <c r="J20" s="97"/>
      <c r="K20" s="97"/>
      <c r="L20" s="97"/>
      <c r="M20" s="97"/>
      <c r="N20" s="97"/>
      <c r="O20" s="97"/>
      <c r="P20" s="346">
        <f t="shared" ref="P20:P25" si="21">SUM(D20:O20)</f>
        <v>75000</v>
      </c>
      <c r="Q20" s="71"/>
      <c r="R20" s="366" t="s">
        <v>238</v>
      </c>
      <c r="S20" s="346">
        <f>'2. 2016. önkormányzat'!I19+'3. 2016. hivatal'!I19+'4. 2016. műv.ház'!I19+'5. 2016. forrás'!I19+'6. 2016. szociális'!I19</f>
        <v>70253.404761904763</v>
      </c>
      <c r="T20" s="107">
        <f>1290+2840-48</f>
        <v>4082</v>
      </c>
      <c r="U20" s="107"/>
      <c r="V20" s="107">
        <v>50</v>
      </c>
      <c r="W20" s="107">
        <f>1239-686</f>
        <v>553</v>
      </c>
      <c r="X20" s="107"/>
      <c r="Y20" s="107"/>
      <c r="Z20" s="107">
        <f>3.5*35+255</f>
        <v>377.5</v>
      </c>
      <c r="AA20" s="107">
        <f>35+70</f>
        <v>105</v>
      </c>
      <c r="AB20" s="107">
        <f>2*35+140</f>
        <v>210</v>
      </c>
      <c r="AC20" s="107">
        <f>3*35+250</f>
        <v>355</v>
      </c>
      <c r="AD20" s="107">
        <v>143</v>
      </c>
      <c r="AE20" s="107">
        <f>55325+8512-1-10648</f>
        <v>53188</v>
      </c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>
        <v>684</v>
      </c>
      <c r="AR20" s="343">
        <f t="shared" si="15"/>
        <v>59747.5</v>
      </c>
      <c r="AS20" s="117"/>
    </row>
    <row r="21" spans="1:45" ht="20.25" customHeight="1" x14ac:dyDescent="0.25">
      <c r="A21" s="86"/>
      <c r="B21" s="88" t="s">
        <v>268</v>
      </c>
      <c r="C21" s="346">
        <f>'2. 2016. önkormányzat'!C20</f>
        <v>232000</v>
      </c>
      <c r="D21" s="97"/>
      <c r="E21" s="97"/>
      <c r="F21" s="97"/>
      <c r="G21" s="97"/>
      <c r="H21" s="97">
        <v>232000</v>
      </c>
      <c r="I21" s="97"/>
      <c r="J21" s="97"/>
      <c r="K21" s="97"/>
      <c r="L21" s="97"/>
      <c r="M21" s="97"/>
      <c r="N21" s="97"/>
      <c r="O21" s="97"/>
      <c r="P21" s="346">
        <f t="shared" si="21"/>
        <v>232000</v>
      </c>
      <c r="Q21" s="71"/>
      <c r="R21" s="366" t="s">
        <v>239</v>
      </c>
      <c r="S21" s="346">
        <f>'2. 2016. önkormányzat'!I20+'3. 2016. hivatal'!I20+'4. 2016. műv.ház'!I20+'5. 2016. forrás'!I20+'6. 2016. szociális'!I20</f>
        <v>11716</v>
      </c>
      <c r="T21" s="107">
        <f>3692+6105+900</f>
        <v>10697</v>
      </c>
      <c r="U21" s="107"/>
      <c r="V21" s="107">
        <v>0</v>
      </c>
      <c r="W21" s="107">
        <f>292-10</f>
        <v>282</v>
      </c>
      <c r="X21" s="107"/>
      <c r="Y21" s="107"/>
      <c r="Z21" s="107">
        <v>150</v>
      </c>
      <c r="AA21" s="107">
        <v>20</v>
      </c>
      <c r="AB21" s="107">
        <v>138</v>
      </c>
      <c r="AC21" s="107">
        <f>21*4+100</f>
        <v>184</v>
      </c>
      <c r="AD21" s="107">
        <v>25</v>
      </c>
      <c r="AE21" s="107">
        <f>535+600</f>
        <v>1135</v>
      </c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343">
        <f t="shared" si="15"/>
        <v>12631</v>
      </c>
      <c r="AS21" s="117"/>
    </row>
    <row r="22" spans="1:45" ht="20.25" customHeight="1" x14ac:dyDescent="0.25">
      <c r="A22" s="86"/>
      <c r="B22" s="88" t="s">
        <v>269</v>
      </c>
      <c r="C22" s="346">
        <f>'2. 2016. önkormányzat'!C21</f>
        <v>210000</v>
      </c>
      <c r="D22" s="97"/>
      <c r="E22" s="97"/>
      <c r="F22" s="97"/>
      <c r="G22" s="97"/>
      <c r="H22" s="97">
        <v>210000</v>
      </c>
      <c r="I22" s="97"/>
      <c r="J22" s="97"/>
      <c r="K22" s="97"/>
      <c r="L22" s="97"/>
      <c r="M22" s="97"/>
      <c r="N22" s="97"/>
      <c r="O22" s="97"/>
      <c r="P22" s="346">
        <f t="shared" si="21"/>
        <v>210000</v>
      </c>
      <c r="Q22" s="71"/>
      <c r="R22" s="366" t="s">
        <v>240</v>
      </c>
      <c r="S22" s="346">
        <f>'2. 2016. önkormányzat'!I21+'3. 2016. hivatal'!I21+'4. 2016. műv.ház'!I21+'5. 2016. forrás'!I21+'6. 2016. szociális'!I21-1</f>
        <v>114408.95406141732</v>
      </c>
      <c r="T22" s="107">
        <f>7835+66264-5861+2932+11114</f>
        <v>82284</v>
      </c>
      <c r="U22" s="107"/>
      <c r="V22" s="107">
        <v>0</v>
      </c>
      <c r="W22" s="107">
        <f>6840-730+2</f>
        <v>6112</v>
      </c>
      <c r="X22" s="107"/>
      <c r="Y22" s="107"/>
      <c r="Z22" s="107">
        <f>276+400</f>
        <v>676</v>
      </c>
      <c r="AA22" s="107">
        <v>3861</v>
      </c>
      <c r="AB22" s="107">
        <v>455</v>
      </c>
      <c r="AC22" s="107">
        <f>21*4+400</f>
        <v>484</v>
      </c>
      <c r="AD22" s="107">
        <v>1527</v>
      </c>
      <c r="AE22" s="107">
        <f>9500+16563</f>
        <v>26063</v>
      </c>
      <c r="AF22" s="107">
        <f>1672+(4049)/127%</f>
        <v>4860.1889763779527</v>
      </c>
      <c r="AG22" s="107"/>
      <c r="AH22" s="107">
        <f>250+480</f>
        <v>730</v>
      </c>
      <c r="AI22" s="107"/>
      <c r="AJ22" s="107"/>
      <c r="AK22" s="107"/>
      <c r="AL22" s="107"/>
      <c r="AM22" s="107"/>
      <c r="AN22" s="107"/>
      <c r="AO22" s="107"/>
      <c r="AP22" s="107"/>
      <c r="AQ22" s="107"/>
      <c r="AR22" s="343">
        <f t="shared" si="15"/>
        <v>127052.18897637795</v>
      </c>
      <c r="AS22" s="117"/>
    </row>
    <row r="23" spans="1:45" ht="20.25" customHeight="1" x14ac:dyDescent="0.25">
      <c r="A23" s="86"/>
      <c r="B23" s="88" t="s">
        <v>270</v>
      </c>
      <c r="C23" s="346">
        <f>'2. 2016. önkormányzat'!C22</f>
        <v>20000</v>
      </c>
      <c r="D23" s="97"/>
      <c r="E23" s="97"/>
      <c r="F23" s="97"/>
      <c r="G23" s="97"/>
      <c r="H23" s="97">
        <v>20000</v>
      </c>
      <c r="I23" s="97"/>
      <c r="J23" s="97"/>
      <c r="K23" s="97"/>
      <c r="L23" s="97"/>
      <c r="M23" s="97"/>
      <c r="N23" s="97"/>
      <c r="O23" s="97"/>
      <c r="P23" s="346">
        <f t="shared" si="21"/>
        <v>20000</v>
      </c>
      <c r="Q23" s="71"/>
      <c r="R23" s="366" t="s">
        <v>241</v>
      </c>
      <c r="S23" s="346">
        <f>'2. 2016. önkormányzat'!I22+'3. 2016. hivatal'!I22+'4. 2016. műv.ház'!I22+'5. 2016. forrás'!I22+'6. 2016. szociális'!I22</f>
        <v>9935</v>
      </c>
      <c r="T23" s="107">
        <f>400+6000</f>
        <v>6400</v>
      </c>
      <c r="U23" s="107"/>
      <c r="V23" s="107">
        <v>0</v>
      </c>
      <c r="W23" s="107">
        <v>30</v>
      </c>
      <c r="X23" s="107"/>
      <c r="Y23" s="107"/>
      <c r="Z23" s="107">
        <v>60</v>
      </c>
      <c r="AA23" s="107"/>
      <c r="AB23" s="107">
        <v>100</v>
      </c>
      <c r="AC23" s="107">
        <f>700+10</f>
        <v>710</v>
      </c>
      <c r="AD23" s="107">
        <v>0</v>
      </c>
      <c r="AE23" s="107">
        <f>515+222</f>
        <v>737</v>
      </c>
      <c r="AF23" s="107"/>
      <c r="AG23" s="107"/>
      <c r="AH23" s="107">
        <f>1908-120</f>
        <v>1788</v>
      </c>
      <c r="AI23" s="107"/>
      <c r="AJ23" s="107"/>
      <c r="AK23" s="107"/>
      <c r="AL23" s="107"/>
      <c r="AM23" s="107"/>
      <c r="AN23" s="107"/>
      <c r="AO23" s="107"/>
      <c r="AP23" s="107"/>
      <c r="AQ23" s="107"/>
      <c r="AR23" s="343">
        <f t="shared" si="15"/>
        <v>9825</v>
      </c>
      <c r="AS23" s="117"/>
    </row>
    <row r="24" spans="1:45" ht="25.5" customHeight="1" x14ac:dyDescent="0.25">
      <c r="A24" s="86"/>
      <c r="B24" s="88" t="s">
        <v>271</v>
      </c>
      <c r="C24" s="346">
        <f>'2. 2016. önkormányzat'!C23</f>
        <v>2000</v>
      </c>
      <c r="D24" s="97"/>
      <c r="E24" s="97"/>
      <c r="F24" s="97"/>
      <c r="G24" s="97"/>
      <c r="H24" s="97">
        <v>2000</v>
      </c>
      <c r="I24" s="97"/>
      <c r="J24" s="97"/>
      <c r="K24" s="97"/>
      <c r="L24" s="97"/>
      <c r="M24" s="97"/>
      <c r="N24" s="97"/>
      <c r="O24" s="97"/>
      <c r="P24" s="346">
        <f t="shared" si="21"/>
        <v>2000</v>
      </c>
      <c r="Q24" s="71"/>
      <c r="R24" s="366" t="s">
        <v>242</v>
      </c>
      <c r="S24" s="346">
        <f>'2. 2016. önkormányzat'!I23+'3. 2016. hivatal'!I23+'4. 2016. műv.ház'!I23+'5. 2016. forrás'!I23+'6. 2016. szociális'!I23+1</f>
        <v>114433.19508349683</v>
      </c>
      <c r="T24" s="107">
        <f>4333+74681-13-1582+792-676+1658</f>
        <v>79193</v>
      </c>
      <c r="U24" s="107"/>
      <c r="V24" s="107">
        <v>13</v>
      </c>
      <c r="W24" s="107">
        <f>3707-1495-34</f>
        <v>2178</v>
      </c>
      <c r="X24" s="107"/>
      <c r="Y24" s="107"/>
      <c r="Z24" s="107">
        <f>(Z20+Z21+Z22)*27%+80</f>
        <v>404.94499999999999</v>
      </c>
      <c r="AA24" s="107">
        <f t="shared" ref="AA24:AB24" si="22">(AA20+AA21+AA22)*27%</f>
        <v>1076.22</v>
      </c>
      <c r="AB24" s="107">
        <f t="shared" si="22"/>
        <v>216.81</v>
      </c>
      <c r="AC24" s="107">
        <f>(AC20+AC21+AC22)*27%-10</f>
        <v>266.21000000000004</v>
      </c>
      <c r="AD24" s="107">
        <v>404</v>
      </c>
      <c r="AE24" s="107">
        <f>22083+7133</f>
        <v>29216</v>
      </c>
      <c r="AF24" s="107">
        <f>+AF22*0.27</f>
        <v>1312.2510236220473</v>
      </c>
      <c r="AG24" s="107"/>
      <c r="AH24" s="107">
        <f>609+7+3254*27%</f>
        <v>1494.58</v>
      </c>
      <c r="AI24" s="107"/>
      <c r="AJ24" s="107"/>
      <c r="AK24" s="107"/>
      <c r="AL24" s="107"/>
      <c r="AM24" s="107"/>
      <c r="AN24" s="107"/>
      <c r="AO24" s="107"/>
      <c r="AP24" s="107"/>
      <c r="AQ24" s="107">
        <v>34</v>
      </c>
      <c r="AR24" s="343">
        <f t="shared" si="15"/>
        <v>115809.01602362205</v>
      </c>
      <c r="AS24" s="117"/>
    </row>
    <row r="25" spans="1:45" ht="20.25" customHeight="1" x14ac:dyDescent="0.25">
      <c r="A25" s="86"/>
      <c r="B25" s="88" t="s">
        <v>272</v>
      </c>
      <c r="C25" s="346">
        <f>'2. 2016. önkormányzat'!C24</f>
        <v>2500</v>
      </c>
      <c r="D25" s="97"/>
      <c r="E25" s="97"/>
      <c r="F25" s="97"/>
      <c r="G25" s="97"/>
      <c r="H25" s="97">
        <v>2500</v>
      </c>
      <c r="I25" s="97"/>
      <c r="J25" s="97"/>
      <c r="K25" s="97"/>
      <c r="L25" s="97"/>
      <c r="M25" s="97"/>
      <c r="N25" s="97"/>
      <c r="O25" s="97"/>
      <c r="P25" s="346">
        <f t="shared" si="21"/>
        <v>2500</v>
      </c>
      <c r="Q25" s="71"/>
      <c r="R25" s="116"/>
      <c r="S25" s="345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343">
        <f t="shared" si="15"/>
        <v>0</v>
      </c>
      <c r="AS25" s="117"/>
    </row>
    <row r="26" spans="1:45" ht="20.25" customHeight="1" x14ac:dyDescent="0.25">
      <c r="A26" s="86" t="s">
        <v>56</v>
      </c>
      <c r="B26" s="87" t="s">
        <v>273</v>
      </c>
      <c r="C26" s="345">
        <f>SUM(C27:C36)</f>
        <v>124091.6678</v>
      </c>
      <c r="D26" s="106">
        <f>SUM(D27:D36)</f>
        <v>0</v>
      </c>
      <c r="E26" s="106">
        <f t="shared" ref="E26:O26" si="23">SUM(E27:E36)</f>
        <v>0</v>
      </c>
      <c r="F26" s="106">
        <f t="shared" si="23"/>
        <v>0</v>
      </c>
      <c r="G26" s="106">
        <f t="shared" si="23"/>
        <v>0</v>
      </c>
      <c r="H26" s="106">
        <f t="shared" si="23"/>
        <v>0</v>
      </c>
      <c r="I26" s="106">
        <f t="shared" si="23"/>
        <v>90074</v>
      </c>
      <c r="J26" s="106">
        <f t="shared" si="23"/>
        <v>1690</v>
      </c>
      <c r="K26" s="106">
        <f t="shared" si="23"/>
        <v>3000</v>
      </c>
      <c r="L26" s="106">
        <f t="shared" si="23"/>
        <v>140</v>
      </c>
      <c r="M26" s="106">
        <f t="shared" si="23"/>
        <v>9682</v>
      </c>
      <c r="N26" s="106">
        <f t="shared" si="23"/>
        <v>7387</v>
      </c>
      <c r="O26" s="106">
        <f t="shared" si="23"/>
        <v>0</v>
      </c>
      <c r="P26" s="345">
        <f>SUM(D26:O26)</f>
        <v>111973</v>
      </c>
      <c r="Q26" s="73" t="s">
        <v>64</v>
      </c>
      <c r="R26" s="83" t="s">
        <v>216</v>
      </c>
      <c r="S26" s="345">
        <f>SUM(S27:S32)</f>
        <v>8185</v>
      </c>
      <c r="T26" s="102">
        <f t="shared" ref="T26:AN26" si="24">SUM(T27:T32)</f>
        <v>0</v>
      </c>
      <c r="U26" s="102"/>
      <c r="V26" s="102">
        <f t="shared" si="24"/>
        <v>0</v>
      </c>
      <c r="W26" s="102">
        <f t="shared" si="24"/>
        <v>0</v>
      </c>
      <c r="X26" s="102">
        <f t="shared" si="24"/>
        <v>0</v>
      </c>
      <c r="Y26" s="102">
        <f t="shared" si="24"/>
        <v>0</v>
      </c>
      <c r="Z26" s="102">
        <f t="shared" si="24"/>
        <v>0</v>
      </c>
      <c r="AA26" s="102">
        <f t="shared" si="24"/>
        <v>0</v>
      </c>
      <c r="AB26" s="102">
        <f t="shared" si="24"/>
        <v>0</v>
      </c>
      <c r="AC26" s="102">
        <f t="shared" si="24"/>
        <v>0</v>
      </c>
      <c r="AD26" s="102">
        <f t="shared" si="24"/>
        <v>0</v>
      </c>
      <c r="AE26" s="102">
        <f t="shared" si="24"/>
        <v>0</v>
      </c>
      <c r="AF26" s="102">
        <f t="shared" si="24"/>
        <v>0</v>
      </c>
      <c r="AG26" s="102">
        <f t="shared" si="24"/>
        <v>0</v>
      </c>
      <c r="AH26" s="102">
        <f t="shared" si="24"/>
        <v>0</v>
      </c>
      <c r="AI26" s="102">
        <f t="shared" si="24"/>
        <v>4000</v>
      </c>
      <c r="AJ26" s="102">
        <f t="shared" si="24"/>
        <v>0</v>
      </c>
      <c r="AK26" s="102">
        <f t="shared" si="24"/>
        <v>1500</v>
      </c>
      <c r="AL26" s="102">
        <f t="shared" si="24"/>
        <v>2685</v>
      </c>
      <c r="AM26" s="102">
        <f t="shared" si="24"/>
        <v>0</v>
      </c>
      <c r="AN26" s="102">
        <f t="shared" si="24"/>
        <v>0</v>
      </c>
      <c r="AO26" s="102"/>
      <c r="AP26" s="102">
        <f t="shared" ref="AP26" si="25">SUM(AP27:AP32)</f>
        <v>0</v>
      </c>
      <c r="AQ26" s="102">
        <f t="shared" ref="AQ26" si="26">SUM(AQ27:AQ32)</f>
        <v>0</v>
      </c>
      <c r="AR26" s="345">
        <f>SUM(AF26:AP26)</f>
        <v>8185</v>
      </c>
      <c r="AS26" s="117"/>
    </row>
    <row r="27" spans="1:45" ht="20.25" customHeight="1" x14ac:dyDescent="0.25">
      <c r="A27" s="86"/>
      <c r="B27" s="89" t="s">
        <v>274</v>
      </c>
      <c r="C27" s="343">
        <f>'2. 2016. önkormányzat'!C26+'3. 2016. hivatal'!C26+'4. 2016. műv.ház'!C26+'5. 2016. forrás'!C26+'6. 2016. szociális'!C26</f>
        <v>0</v>
      </c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346">
        <f>SUM(D27:O27)</f>
        <v>0</v>
      </c>
      <c r="Q27" s="71"/>
      <c r="R27" s="116" t="s">
        <v>202</v>
      </c>
      <c r="S27" s="346">
        <f>'2. 2016. önkormányzat'!I26</f>
        <v>4000</v>
      </c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>
        <v>4000</v>
      </c>
      <c r="AJ27" s="108"/>
      <c r="AK27" s="108"/>
      <c r="AL27" s="108"/>
      <c r="AM27" s="108"/>
      <c r="AN27" s="108"/>
      <c r="AO27" s="108"/>
      <c r="AP27" s="108"/>
      <c r="AQ27" s="108"/>
      <c r="AR27" s="343">
        <f t="shared" si="15"/>
        <v>4000</v>
      </c>
      <c r="AS27" s="117"/>
    </row>
    <row r="28" spans="1:45" ht="20.25" customHeight="1" x14ac:dyDescent="0.25">
      <c r="A28" s="86"/>
      <c r="B28" s="89" t="s">
        <v>275</v>
      </c>
      <c r="C28" s="343">
        <f>'2. 2016. önkormányzat'!C27+'3. 2016. hivatal'!C27+'4. 2016. műv.ház'!C27+'5. 2016. forrás'!C27+'6. 2016. szociális'!C27</f>
        <v>93608.14</v>
      </c>
      <c r="D28" s="103"/>
      <c r="E28" s="103"/>
      <c r="F28" s="103"/>
      <c r="G28" s="103"/>
      <c r="H28" s="103"/>
      <c r="I28" s="103">
        <f>81078+1109-61+1800-16770</f>
        <v>67156</v>
      </c>
      <c r="J28" s="103"/>
      <c r="K28" s="103"/>
      <c r="L28" s="103"/>
      <c r="M28" s="103">
        <f>61+3150+6471</f>
        <v>9682</v>
      </c>
      <c r="N28" s="103"/>
      <c r="O28" s="103"/>
      <c r="P28" s="346">
        <f t="shared" ref="P28:P36" si="27">SUM(D28:O28)</f>
        <v>76838</v>
      </c>
      <c r="Q28" s="71"/>
      <c r="R28" s="364" t="s">
        <v>203</v>
      </c>
      <c r="S28" s="346">
        <f>'2. 2016. önkormányzat'!I27</f>
        <v>0</v>
      </c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343">
        <f t="shared" si="15"/>
        <v>0</v>
      </c>
      <c r="AS28" s="117"/>
    </row>
    <row r="29" spans="1:45" ht="20.25" customHeight="1" x14ac:dyDescent="0.25">
      <c r="A29" s="86"/>
      <c r="B29" s="89" t="s">
        <v>276</v>
      </c>
      <c r="C29" s="343">
        <f>'2. 2016. önkormányzat'!C28+'3. 2016. hivatal'!C28+'4. 2016. műv.ház'!C28+'5. 2016. forrás'!C28+'6. 2016. szociális'!C28</f>
        <v>3675.5905511811025</v>
      </c>
      <c r="D29" s="103"/>
      <c r="E29" s="103"/>
      <c r="F29" s="103"/>
      <c r="G29" s="103"/>
      <c r="H29" s="103"/>
      <c r="I29" s="103">
        <v>3676</v>
      </c>
      <c r="J29" s="103"/>
      <c r="K29" s="103"/>
      <c r="L29" s="103"/>
      <c r="M29" s="103"/>
      <c r="N29" s="103"/>
      <c r="O29" s="103"/>
      <c r="P29" s="346">
        <f t="shared" si="27"/>
        <v>3676</v>
      </c>
      <c r="Q29" s="71"/>
      <c r="R29" s="116" t="s">
        <v>204</v>
      </c>
      <c r="S29" s="346">
        <f>'2. 2016. önkormányzat'!I28</f>
        <v>0</v>
      </c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343">
        <f t="shared" si="15"/>
        <v>0</v>
      </c>
      <c r="AS29" s="117"/>
    </row>
    <row r="30" spans="1:45" ht="20.25" customHeight="1" x14ac:dyDescent="0.25">
      <c r="A30" s="86"/>
      <c r="B30" s="89" t="s">
        <v>277</v>
      </c>
      <c r="C30" s="343">
        <f>'2. 2016. önkormányzat'!C29+'3. 2016. hivatal'!C29+'4. 2016. műv.ház'!C29+'5. 2016. forrás'!C29+'6. 2016. szociális'!C29</f>
        <v>0</v>
      </c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346">
        <f t="shared" si="27"/>
        <v>0</v>
      </c>
      <c r="Q30" s="71"/>
      <c r="R30" s="116" t="s">
        <v>205</v>
      </c>
      <c r="S30" s="346">
        <f>'2. 2016. önkormányzat'!I29</f>
        <v>1500</v>
      </c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>
        <v>1500</v>
      </c>
      <c r="AL30" s="108"/>
      <c r="AM30" s="108"/>
      <c r="AN30" s="108"/>
      <c r="AO30" s="108"/>
      <c r="AP30" s="108"/>
      <c r="AQ30" s="108"/>
      <c r="AR30" s="343">
        <f t="shared" si="15"/>
        <v>1500</v>
      </c>
      <c r="AS30" s="117"/>
    </row>
    <row r="31" spans="1:45" ht="20.25" customHeight="1" x14ac:dyDescent="0.25">
      <c r="A31" s="86"/>
      <c r="B31" s="89" t="s">
        <v>278</v>
      </c>
      <c r="C31" s="343">
        <f>'2. 2016. önkormányzat'!C30+'3. 2016. hivatal'!C30+'4. 2016. műv.ház'!C30+'5. 2016. forrás'!C30+'6. 2016. szociális'!C30</f>
        <v>3140</v>
      </c>
      <c r="D31" s="103"/>
      <c r="E31" s="103"/>
      <c r="F31" s="103"/>
      <c r="G31" s="103"/>
      <c r="H31" s="103"/>
      <c r="I31" s="103"/>
      <c r="J31" s="103">
        <v>1690</v>
      </c>
      <c r="K31" s="103">
        <f>3000</f>
        <v>3000</v>
      </c>
      <c r="L31" s="103">
        <v>140</v>
      </c>
      <c r="M31" s="103"/>
      <c r="N31" s="103"/>
      <c r="O31" s="103"/>
      <c r="P31" s="346">
        <f t="shared" si="27"/>
        <v>4830</v>
      </c>
      <c r="Q31" s="71"/>
      <c r="R31" s="116" t="s">
        <v>206</v>
      </c>
      <c r="S31" s="346">
        <f>'2. 2016. önkormányzat'!I30</f>
        <v>0</v>
      </c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>
        <v>210</v>
      </c>
      <c r="AM31" s="108"/>
      <c r="AN31" s="108"/>
      <c r="AO31" s="108"/>
      <c r="AP31" s="108"/>
      <c r="AQ31" s="108"/>
      <c r="AR31" s="343">
        <f t="shared" si="15"/>
        <v>210</v>
      </c>
      <c r="AS31" s="117"/>
    </row>
    <row r="32" spans="1:45" ht="20.25" customHeight="1" x14ac:dyDescent="0.25">
      <c r="A32" s="86"/>
      <c r="B32" s="89" t="s">
        <v>279</v>
      </c>
      <c r="C32" s="343">
        <f>'2. 2016. önkormányzat'!C31+'3. 2016. hivatal'!C31+'4. 2016. műv.ház'!C31+'5. 2016. forrás'!C31+'6. 2016. szociális'!C31-1</f>
        <v>23667.937248818896</v>
      </c>
      <c r="D32" s="103"/>
      <c r="E32" s="103"/>
      <c r="F32" s="103"/>
      <c r="G32" s="103"/>
      <c r="H32" s="103"/>
      <c r="I32" s="103">
        <f>23668-4426</f>
        <v>19242</v>
      </c>
      <c r="J32" s="103"/>
      <c r="K32" s="103"/>
      <c r="L32" s="103"/>
      <c r="M32" s="103"/>
      <c r="N32" s="103"/>
      <c r="O32" s="103"/>
      <c r="P32" s="346">
        <f t="shared" si="27"/>
        <v>19242</v>
      </c>
      <c r="Q32" s="71"/>
      <c r="R32" s="116" t="s">
        <v>207</v>
      </c>
      <c r="S32" s="346">
        <f>'2. 2016. önkormányzat'!I31</f>
        <v>2685</v>
      </c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>
        <f>2685-210</f>
        <v>2475</v>
      </c>
      <c r="AM32" s="108"/>
      <c r="AN32" s="108"/>
      <c r="AO32" s="108"/>
      <c r="AP32" s="108"/>
      <c r="AQ32" s="108"/>
      <c r="AR32" s="343">
        <f t="shared" si="15"/>
        <v>2475</v>
      </c>
      <c r="AS32" s="117"/>
    </row>
    <row r="33" spans="1:45" ht="20.25" customHeight="1" x14ac:dyDescent="0.25">
      <c r="A33" s="86"/>
      <c r="B33" s="89" t="s">
        <v>280</v>
      </c>
      <c r="C33" s="343">
        <f>'2. 2016. önkormányzat'!C32+'3. 2016. hivatal'!C322+'4. 2016. műv.ház'!C32+'5. 2016. forrás'!C32+'6. 2016. szociális'!C32</f>
        <v>0</v>
      </c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346">
        <f t="shared" si="27"/>
        <v>0</v>
      </c>
      <c r="Q33" s="71"/>
      <c r="R33" s="116"/>
      <c r="S33" s="345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343">
        <f t="shared" si="15"/>
        <v>0</v>
      </c>
      <c r="AS33" s="117"/>
    </row>
    <row r="34" spans="1:45" ht="20.25" customHeight="1" x14ac:dyDescent="0.25">
      <c r="A34" s="86"/>
      <c r="B34" s="89" t="s">
        <v>281</v>
      </c>
      <c r="C34" s="343">
        <f>'2. 2016. önkormányzat'!C33+'3. 2016. hivatal'!C333+'4. 2016. műv.ház'!C33+'5. 2016. forrás'!C33+'6. 2016. szociális'!C33</f>
        <v>0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>
        <v>5736</v>
      </c>
      <c r="O34" s="103"/>
      <c r="P34" s="346">
        <f t="shared" si="27"/>
        <v>5736</v>
      </c>
      <c r="Q34" s="71"/>
      <c r="R34" s="364"/>
      <c r="S34" s="346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343">
        <f t="shared" si="15"/>
        <v>0</v>
      </c>
      <c r="AS34" s="117"/>
    </row>
    <row r="35" spans="1:45" ht="20.25" customHeight="1" x14ac:dyDescent="0.25">
      <c r="A35" s="86"/>
      <c r="B35" s="89" t="s">
        <v>282</v>
      </c>
      <c r="C35" s="343">
        <f>'2. 2016. önkormányzat'!C34+'3. 2016. hivatal'!C34+'4. 2016. műv.ház'!C34+'5. 2016. forrás'!C34+'6. 2016. szociális'!C34</f>
        <v>0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346">
        <f>SUM(D35:O35)</f>
        <v>0</v>
      </c>
      <c r="Q35" s="71"/>
      <c r="R35" s="116"/>
      <c r="S35" s="345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343">
        <f t="shared" si="15"/>
        <v>0</v>
      </c>
      <c r="AS35" s="117"/>
    </row>
    <row r="36" spans="1:45" ht="20.25" customHeight="1" x14ac:dyDescent="0.25">
      <c r="A36" s="86"/>
      <c r="B36" s="89" t="s">
        <v>283</v>
      </c>
      <c r="C36" s="343">
        <f>'2. 2016. önkormányzat'!C35+'3. 2016. hivatal'!C35+'4. 2016. műv.ház'!C35+'5. 2016. forrás'!C35+'6. 2016. szociális'!C35</f>
        <v>0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>
        <v>1651</v>
      </c>
      <c r="O36" s="103"/>
      <c r="P36" s="346">
        <f t="shared" si="27"/>
        <v>1651</v>
      </c>
      <c r="Q36" s="71"/>
      <c r="R36" s="116"/>
      <c r="S36" s="345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343">
        <f t="shared" si="15"/>
        <v>0</v>
      </c>
      <c r="AS36" s="117"/>
    </row>
    <row r="37" spans="1:45" ht="23.25" customHeight="1" x14ac:dyDescent="0.25">
      <c r="A37" s="86" t="s">
        <v>64</v>
      </c>
      <c r="B37" s="87" t="s">
        <v>290</v>
      </c>
      <c r="C37" s="342">
        <f>SUM(C38:C40)</f>
        <v>8382</v>
      </c>
      <c r="D37" s="113">
        <f>SUM(D38:D40)</f>
        <v>0</v>
      </c>
      <c r="E37" s="113">
        <f t="shared" ref="E37:O37" si="28">SUM(E38:E40)</f>
        <v>0</v>
      </c>
      <c r="F37" s="113">
        <f t="shared" si="28"/>
        <v>0</v>
      </c>
      <c r="G37" s="113">
        <f t="shared" si="28"/>
        <v>0</v>
      </c>
      <c r="H37" s="113">
        <f t="shared" si="28"/>
        <v>0</v>
      </c>
      <c r="I37" s="113">
        <f t="shared" si="28"/>
        <v>12100</v>
      </c>
      <c r="J37" s="113">
        <f t="shared" si="28"/>
        <v>0</v>
      </c>
      <c r="K37" s="113">
        <f t="shared" si="28"/>
        <v>0</v>
      </c>
      <c r="L37" s="113">
        <f t="shared" si="28"/>
        <v>0</v>
      </c>
      <c r="M37" s="113">
        <f t="shared" si="28"/>
        <v>0</v>
      </c>
      <c r="N37" s="113">
        <f t="shared" si="28"/>
        <v>2857</v>
      </c>
      <c r="O37" s="113">
        <f t="shared" si="28"/>
        <v>0</v>
      </c>
      <c r="P37" s="345">
        <f>SUM(D37:O37)</f>
        <v>14957</v>
      </c>
      <c r="Q37" s="73" t="s">
        <v>100</v>
      </c>
      <c r="R37" s="83" t="s">
        <v>237</v>
      </c>
      <c r="S37" s="345">
        <f>SUM(S38:S43)</f>
        <v>34125.9</v>
      </c>
      <c r="T37" s="99">
        <f>SUM(T38:T43)</f>
        <v>39105</v>
      </c>
      <c r="U37" s="99"/>
      <c r="V37" s="99">
        <f t="shared" ref="V37:AQ37" si="29">SUM(V38:V43)</f>
        <v>0</v>
      </c>
      <c r="W37" s="99">
        <f t="shared" si="29"/>
        <v>0</v>
      </c>
      <c r="X37" s="99">
        <f t="shared" si="29"/>
        <v>0</v>
      </c>
      <c r="Y37" s="99">
        <f t="shared" si="29"/>
        <v>0</v>
      </c>
      <c r="Z37" s="99">
        <f t="shared" si="29"/>
        <v>0</v>
      </c>
      <c r="AA37" s="99">
        <f t="shared" si="29"/>
        <v>0</v>
      </c>
      <c r="AB37" s="99">
        <f t="shared" si="29"/>
        <v>0</v>
      </c>
      <c r="AC37" s="99">
        <f t="shared" si="29"/>
        <v>0</v>
      </c>
      <c r="AD37" s="99">
        <f t="shared" si="29"/>
        <v>0</v>
      </c>
      <c r="AE37" s="99">
        <f t="shared" si="29"/>
        <v>0</v>
      </c>
      <c r="AF37" s="99">
        <f t="shared" si="29"/>
        <v>0</v>
      </c>
      <c r="AG37" s="99">
        <f t="shared" si="29"/>
        <v>0</v>
      </c>
      <c r="AH37" s="99">
        <f t="shared" si="29"/>
        <v>0</v>
      </c>
      <c r="AI37" s="99">
        <f t="shared" si="29"/>
        <v>0</v>
      </c>
      <c r="AJ37" s="99">
        <f t="shared" si="29"/>
        <v>0</v>
      </c>
      <c r="AK37" s="99">
        <f t="shared" si="29"/>
        <v>0</v>
      </c>
      <c r="AL37" s="99">
        <f t="shared" si="29"/>
        <v>0</v>
      </c>
      <c r="AM37" s="99">
        <f t="shared" si="29"/>
        <v>57920</v>
      </c>
      <c r="AN37" s="99">
        <f t="shared" si="29"/>
        <v>4760</v>
      </c>
      <c r="AO37" s="99">
        <f t="shared" si="29"/>
        <v>674</v>
      </c>
      <c r="AP37" s="99">
        <f t="shared" si="29"/>
        <v>0</v>
      </c>
      <c r="AQ37" s="99">
        <f t="shared" si="29"/>
        <v>0</v>
      </c>
      <c r="AR37" s="345">
        <f t="shared" ref="AR37" si="30">SUM(T37:AP37)</f>
        <v>102459</v>
      </c>
      <c r="AS37" s="117"/>
    </row>
    <row r="38" spans="1:45" ht="30" x14ac:dyDescent="0.25">
      <c r="A38" s="86"/>
      <c r="B38" s="89" t="s">
        <v>291</v>
      </c>
      <c r="C38" s="34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346">
        <f t="shared" ref="P38:P40" si="31">SUM(D38:O38)</f>
        <v>0</v>
      </c>
      <c r="Q38" s="71"/>
      <c r="R38" s="116" t="s">
        <v>208</v>
      </c>
      <c r="S38" s="346" t="s">
        <v>253</v>
      </c>
      <c r="T38" s="107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>
        <v>12100</v>
      </c>
      <c r="AN38" s="108"/>
      <c r="AO38" s="108">
        <v>674</v>
      </c>
      <c r="AP38" s="108"/>
      <c r="AQ38" s="108"/>
      <c r="AR38" s="343">
        <f>SUM(T38:AQ38)</f>
        <v>12774</v>
      </c>
      <c r="AS38" s="117"/>
    </row>
    <row r="39" spans="1:45" ht="28.5" customHeight="1" x14ac:dyDescent="0.25">
      <c r="A39" s="86"/>
      <c r="B39" s="84" t="s">
        <v>292</v>
      </c>
      <c r="C39" s="34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346">
        <f t="shared" si="31"/>
        <v>0</v>
      </c>
      <c r="Q39" s="71"/>
      <c r="R39" s="116" t="s">
        <v>210</v>
      </c>
      <c r="S39" s="345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343">
        <f t="shared" ref="AR39:AR46" si="32">SUM(T39:AQ39)</f>
        <v>0</v>
      </c>
      <c r="AS39" s="117"/>
    </row>
    <row r="40" spans="1:45" ht="27" customHeight="1" x14ac:dyDescent="0.25">
      <c r="A40" s="86"/>
      <c r="B40" s="89" t="s">
        <v>293</v>
      </c>
      <c r="C40" s="343">
        <f>'1. 2016. mindösszesen'!C39</f>
        <v>8382</v>
      </c>
      <c r="D40" s="103"/>
      <c r="E40" s="103"/>
      <c r="F40" s="103"/>
      <c r="G40" s="103"/>
      <c r="H40" s="103"/>
      <c r="I40" s="103">
        <v>12100</v>
      </c>
      <c r="J40" s="103"/>
      <c r="K40" s="103"/>
      <c r="L40" s="103"/>
      <c r="M40" s="103"/>
      <c r="N40" s="103">
        <f>8382-5525</f>
        <v>2857</v>
      </c>
      <c r="O40" s="103"/>
      <c r="P40" s="346">
        <f t="shared" si="31"/>
        <v>14957</v>
      </c>
      <c r="Q40" s="71"/>
      <c r="R40" s="116" t="s">
        <v>209</v>
      </c>
      <c r="S40" s="346">
        <f>'2. 2016. önkormányzat'!I39</f>
        <v>21598.9</v>
      </c>
      <c r="T40" s="108">
        <f>21599-19020-1760</f>
        <v>819</v>
      </c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>
        <v>19020</v>
      </c>
      <c r="AN40" s="108">
        <v>1760</v>
      </c>
      <c r="AO40" s="108"/>
      <c r="AP40" s="108"/>
      <c r="AQ40" s="108"/>
      <c r="AR40" s="343">
        <f t="shared" si="32"/>
        <v>21599</v>
      </c>
      <c r="AS40" s="117"/>
    </row>
    <row r="41" spans="1:45" ht="39" customHeight="1" x14ac:dyDescent="0.25">
      <c r="A41" s="86"/>
      <c r="B41" s="89"/>
      <c r="C41" s="34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343"/>
      <c r="Q41" s="71"/>
      <c r="R41" s="116" t="s">
        <v>211</v>
      </c>
      <c r="S41" s="345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343">
        <f t="shared" si="32"/>
        <v>0</v>
      </c>
      <c r="AS41" s="117"/>
    </row>
    <row r="42" spans="1:45" ht="30" x14ac:dyDescent="0.25">
      <c r="A42" s="86"/>
      <c r="B42" s="89"/>
      <c r="C42" s="347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347"/>
      <c r="Q42" s="71"/>
      <c r="R42" s="116" t="s">
        <v>377</v>
      </c>
      <c r="S42" s="346">
        <f>'2. 2016. önkormányzat'!I41</f>
        <v>10336</v>
      </c>
      <c r="T42" s="108">
        <f>300+528+4000+508+2000-600+2665</f>
        <v>9401</v>
      </c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>
        <v>26800</v>
      </c>
      <c r="AN42" s="108">
        <v>3000</v>
      </c>
      <c r="AO42" s="108"/>
      <c r="AP42" s="108"/>
      <c r="AQ42" s="108"/>
      <c r="AR42" s="343">
        <f t="shared" si="32"/>
        <v>39201</v>
      </c>
      <c r="AS42" s="117"/>
    </row>
    <row r="43" spans="1:45" ht="19.5" customHeight="1" x14ac:dyDescent="0.25">
      <c r="A43" s="86"/>
      <c r="B43" s="89"/>
      <c r="C43" s="347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347"/>
      <c r="Q43" s="71"/>
      <c r="R43" s="116" t="s">
        <v>212</v>
      </c>
      <c r="S43" s="346">
        <v>2191</v>
      </c>
      <c r="T43" s="108">
        <f>2000+191+19987+6707</f>
        <v>28885</v>
      </c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343">
        <f>SUM(T43:AQ43)</f>
        <v>28885</v>
      </c>
      <c r="AS43" s="117"/>
    </row>
    <row r="44" spans="1:45" ht="19.5" customHeight="1" x14ac:dyDescent="0.25">
      <c r="A44" s="86"/>
      <c r="B44" s="89"/>
      <c r="C44" s="347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347"/>
      <c r="Q44" s="73"/>
      <c r="R44" s="83"/>
      <c r="S44" s="345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343">
        <f t="shared" si="32"/>
        <v>0</v>
      </c>
      <c r="AS44" s="117"/>
    </row>
    <row r="45" spans="1:45" ht="19.5" customHeight="1" x14ac:dyDescent="0.25">
      <c r="A45" s="86"/>
      <c r="B45" s="89"/>
      <c r="C45" s="347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347"/>
      <c r="Q45" s="71"/>
      <c r="R45" s="116"/>
      <c r="S45" s="345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343">
        <f t="shared" si="32"/>
        <v>0</v>
      </c>
      <c r="AS45" s="117"/>
    </row>
    <row r="46" spans="1:45" ht="19.5" customHeight="1" x14ac:dyDescent="0.25">
      <c r="A46" s="86"/>
      <c r="B46" s="89"/>
      <c r="C46" s="347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347"/>
      <c r="Q46" s="71"/>
      <c r="R46" s="364"/>
      <c r="S46" s="345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343">
        <f t="shared" si="32"/>
        <v>0</v>
      </c>
      <c r="AS46" s="117"/>
    </row>
    <row r="47" spans="1:45" ht="28.5" x14ac:dyDescent="0.25">
      <c r="A47" s="90"/>
      <c r="B47" s="79" t="s">
        <v>192</v>
      </c>
      <c r="C47" s="342">
        <f>C48+C54+C60</f>
        <v>540</v>
      </c>
      <c r="D47" s="96">
        <f>D48+D54+D60</f>
        <v>0</v>
      </c>
      <c r="E47" s="96">
        <f t="shared" ref="E47:O47" si="33">E48+E54+E60</f>
        <v>0</v>
      </c>
      <c r="F47" s="96">
        <f t="shared" si="33"/>
        <v>0</v>
      </c>
      <c r="G47" s="96">
        <f t="shared" si="33"/>
        <v>0</v>
      </c>
      <c r="H47" s="96">
        <f t="shared" si="33"/>
        <v>0</v>
      </c>
      <c r="I47" s="96">
        <f t="shared" si="33"/>
        <v>0</v>
      </c>
      <c r="J47" s="96">
        <f t="shared" ref="J47" si="34">J48+J54+J60</f>
        <v>0</v>
      </c>
      <c r="K47" s="96">
        <f t="shared" si="33"/>
        <v>0</v>
      </c>
      <c r="L47" s="96">
        <f>L48+L54+L60</f>
        <v>0</v>
      </c>
      <c r="M47" s="96">
        <f t="shared" si="33"/>
        <v>540</v>
      </c>
      <c r="N47" s="96">
        <f t="shared" si="33"/>
        <v>20000</v>
      </c>
      <c r="O47" s="96">
        <f t="shared" si="33"/>
        <v>0</v>
      </c>
      <c r="P47" s="342">
        <f>SUM(D47:O47)</f>
        <v>20540</v>
      </c>
      <c r="Q47" s="90"/>
      <c r="R47" s="363" t="s">
        <v>200</v>
      </c>
      <c r="S47" s="342">
        <f>S48+S56+S61</f>
        <v>153697.66</v>
      </c>
      <c r="T47" s="96">
        <f>T48+T56+T61</f>
        <v>95295</v>
      </c>
      <c r="U47" s="96">
        <f>U48+U56+U61</f>
        <v>59232</v>
      </c>
      <c r="V47" s="96">
        <f t="shared" ref="V47:AP47" si="35">V48+V56+V61</f>
        <v>0</v>
      </c>
      <c r="W47" s="96">
        <f t="shared" si="35"/>
        <v>371</v>
      </c>
      <c r="X47" s="96">
        <f t="shared" si="35"/>
        <v>0</v>
      </c>
      <c r="Y47" s="96">
        <f t="shared" si="35"/>
        <v>0</v>
      </c>
      <c r="Z47" s="96">
        <f t="shared" si="35"/>
        <v>620</v>
      </c>
      <c r="AA47" s="96">
        <f t="shared" si="35"/>
        <v>463</v>
      </c>
      <c r="AB47" s="96">
        <f t="shared" si="35"/>
        <v>0</v>
      </c>
      <c r="AC47" s="96">
        <f t="shared" si="35"/>
        <v>0</v>
      </c>
      <c r="AD47" s="96">
        <f t="shared" ref="AD47:AE47" si="36">AD48+AD56+AD61</f>
        <v>0</v>
      </c>
      <c r="AE47" s="96">
        <f t="shared" si="36"/>
        <v>9004</v>
      </c>
      <c r="AF47" s="96">
        <f t="shared" si="35"/>
        <v>0</v>
      </c>
      <c r="AG47" s="96">
        <f t="shared" si="35"/>
        <v>0</v>
      </c>
      <c r="AH47" s="96">
        <f t="shared" si="35"/>
        <v>0</v>
      </c>
      <c r="AI47" s="96">
        <f t="shared" si="35"/>
        <v>0</v>
      </c>
      <c r="AJ47" s="96">
        <f t="shared" si="35"/>
        <v>0</v>
      </c>
      <c r="AK47" s="96">
        <f t="shared" si="35"/>
        <v>0</v>
      </c>
      <c r="AL47" s="96">
        <f t="shared" si="35"/>
        <v>0</v>
      </c>
      <c r="AM47" s="96">
        <f t="shared" si="35"/>
        <v>13582</v>
      </c>
      <c r="AN47" s="96">
        <f t="shared" si="35"/>
        <v>0</v>
      </c>
      <c r="AO47" s="96">
        <f t="shared" si="35"/>
        <v>0</v>
      </c>
      <c r="AP47" s="96">
        <f t="shared" si="35"/>
        <v>0</v>
      </c>
      <c r="AQ47" s="96">
        <f t="shared" ref="AQ47" si="37">AQ48+AQ56+AQ61</f>
        <v>0</v>
      </c>
      <c r="AR47" s="342">
        <f>SUM(T47:AQ47)</f>
        <v>178567</v>
      </c>
      <c r="AS47" s="117"/>
    </row>
    <row r="48" spans="1:45" ht="20.25" customHeight="1" x14ac:dyDescent="0.25">
      <c r="A48" s="86" t="s">
        <v>100</v>
      </c>
      <c r="B48" s="91" t="s">
        <v>260</v>
      </c>
      <c r="C48" s="342">
        <f>SUM(C49:C53)</f>
        <v>0</v>
      </c>
      <c r="D48" s="113">
        <f t="shared" ref="D48:O48" si="38">SUM(D49:D53)</f>
        <v>0</v>
      </c>
      <c r="E48" s="113">
        <f t="shared" si="38"/>
        <v>0</v>
      </c>
      <c r="F48" s="113">
        <f t="shared" si="38"/>
        <v>0</v>
      </c>
      <c r="G48" s="113">
        <f t="shared" si="38"/>
        <v>0</v>
      </c>
      <c r="H48" s="113">
        <f t="shared" si="38"/>
        <v>0</v>
      </c>
      <c r="I48" s="113">
        <f t="shared" si="38"/>
        <v>0</v>
      </c>
      <c r="J48" s="113">
        <f t="shared" ref="J48" si="39">SUM(J49:J53)</f>
        <v>0</v>
      </c>
      <c r="K48" s="113">
        <f t="shared" si="38"/>
        <v>0</v>
      </c>
      <c r="L48" s="113">
        <f>SUM(L49:L53)</f>
        <v>0</v>
      </c>
      <c r="M48" s="113">
        <f t="shared" si="38"/>
        <v>0</v>
      </c>
      <c r="N48" s="113">
        <f t="shared" si="38"/>
        <v>0</v>
      </c>
      <c r="O48" s="113">
        <f t="shared" si="38"/>
        <v>0</v>
      </c>
      <c r="P48" s="342">
        <f>SUM(D48:O48)</f>
        <v>0</v>
      </c>
      <c r="Q48" s="86" t="s">
        <v>181</v>
      </c>
      <c r="R48" s="83" t="s">
        <v>217</v>
      </c>
      <c r="S48" s="345">
        <f>SUM(S49:S55)</f>
        <v>97697.66</v>
      </c>
      <c r="T48" s="106">
        <f t="shared" ref="T48:AN48" si="40">SUM(T49:T55)</f>
        <v>76509</v>
      </c>
      <c r="U48" s="106">
        <f t="shared" si="40"/>
        <v>35000</v>
      </c>
      <c r="V48" s="106">
        <f t="shared" si="40"/>
        <v>0</v>
      </c>
      <c r="W48" s="106">
        <f t="shared" si="40"/>
        <v>371</v>
      </c>
      <c r="X48" s="106">
        <f t="shared" si="40"/>
        <v>0</v>
      </c>
      <c r="Y48" s="106">
        <f t="shared" si="40"/>
        <v>0</v>
      </c>
      <c r="Z48" s="106">
        <f t="shared" si="40"/>
        <v>620</v>
      </c>
      <c r="AA48" s="106">
        <f t="shared" si="40"/>
        <v>463</v>
      </c>
      <c r="AB48" s="106">
        <f t="shared" si="40"/>
        <v>0</v>
      </c>
      <c r="AC48" s="106">
        <f t="shared" si="40"/>
        <v>0</v>
      </c>
      <c r="AD48" s="106">
        <f t="shared" ref="AD48:AE48" si="41">SUM(AD49:AD55)</f>
        <v>0</v>
      </c>
      <c r="AE48" s="106">
        <f t="shared" si="41"/>
        <v>9004</v>
      </c>
      <c r="AF48" s="106">
        <f t="shared" si="40"/>
        <v>0</v>
      </c>
      <c r="AG48" s="106">
        <f t="shared" si="40"/>
        <v>0</v>
      </c>
      <c r="AH48" s="106">
        <f t="shared" si="40"/>
        <v>0</v>
      </c>
      <c r="AI48" s="106">
        <f t="shared" si="40"/>
        <v>0</v>
      </c>
      <c r="AJ48" s="106">
        <f t="shared" si="40"/>
        <v>0</v>
      </c>
      <c r="AK48" s="106">
        <f t="shared" si="40"/>
        <v>0</v>
      </c>
      <c r="AL48" s="106">
        <f t="shared" si="40"/>
        <v>0</v>
      </c>
      <c r="AM48" s="106">
        <f t="shared" si="40"/>
        <v>0</v>
      </c>
      <c r="AN48" s="106">
        <f t="shared" si="40"/>
        <v>0</v>
      </c>
      <c r="AO48" s="106"/>
      <c r="AP48" s="106">
        <f t="shared" ref="AP48" si="42">SUM(AP49:AP55)</f>
        <v>0</v>
      </c>
      <c r="AQ48" s="106">
        <f t="shared" ref="AQ48" si="43">SUM(AQ49:AQ55)</f>
        <v>0</v>
      </c>
      <c r="AR48" s="342">
        <f t="shared" ref="AR48:AR53" si="44">SUM(T48:AQ48)</f>
        <v>121967</v>
      </c>
      <c r="AS48" s="117"/>
    </row>
    <row r="49" spans="1:45" ht="20.25" customHeight="1" x14ac:dyDescent="0.25">
      <c r="A49" s="86"/>
      <c r="B49" s="84" t="s">
        <v>261</v>
      </c>
      <c r="C49" s="343">
        <f>'2. 2016. önkormányzat'!C46+'3. 2016. hivatal'!C59+'4. 2016. műv.ház'!C59+'5. 2016. forrás'!C59+'6. 2016. szociális'!C59</f>
        <v>0</v>
      </c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343">
        <f>SUM(D49:O49)</f>
        <v>0</v>
      </c>
      <c r="Q49" s="86"/>
      <c r="R49" s="94" t="s">
        <v>218</v>
      </c>
      <c r="S49" s="346">
        <f>'2. 2016. önkormányzat'!I46+'3. 2016. hivatal'!I59+'4. 2016. műv.ház'!I59+'5. 2016. forrás'!I59+'6. 2016. szociális'!I59</f>
        <v>6850</v>
      </c>
      <c r="T49" s="97">
        <v>6850</v>
      </c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343">
        <f t="shared" si="44"/>
        <v>6850</v>
      </c>
      <c r="AS49" s="117"/>
    </row>
    <row r="50" spans="1:45" ht="29.25" customHeight="1" x14ac:dyDescent="0.25">
      <c r="A50" s="86"/>
      <c r="B50" s="84" t="s">
        <v>262</v>
      </c>
      <c r="C50" s="343">
        <f>'2. 2016. önkormányzat'!C47+'3. 2016. hivatal'!C60+'4. 2016. műv.ház'!C60+'5. 2016. forrás'!C60+'6. 2016. szociális'!C60</f>
        <v>0</v>
      </c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343">
        <f t="shared" ref="P50:P53" si="45">SUM(D50:O50)</f>
        <v>0</v>
      </c>
      <c r="Q50" s="86"/>
      <c r="R50" s="94" t="s">
        <v>219</v>
      </c>
      <c r="S50" s="346">
        <f>'2. 2016. önkormányzat'!I47+'3. 2016. hivatal'!I60+'4. 2016. műv.ház'!I60+'5. 2016. forrás'!I60+'6. 2016. szociális'!I60</f>
        <v>62650</v>
      </c>
      <c r="T50" s="97">
        <f>60150-35000+2500+19290</f>
        <v>46940</v>
      </c>
      <c r="U50" s="97">
        <v>35000</v>
      </c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343">
        <f>SUM(T50:AQ50)</f>
        <v>81940</v>
      </c>
      <c r="AS50" s="117"/>
    </row>
    <row r="51" spans="1:45" ht="29.25" customHeight="1" x14ac:dyDescent="0.25">
      <c r="A51" s="86"/>
      <c r="B51" s="84" t="s">
        <v>263</v>
      </c>
      <c r="C51" s="343">
        <f>'2. 2016. önkormányzat'!C48+'3. 2016. hivatal'!C61+'4. 2016. műv.ház'!C61+'5. 2016. forrás'!C61+'6. 2016. szociális'!C61</f>
        <v>0</v>
      </c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343">
        <f t="shared" si="45"/>
        <v>0</v>
      </c>
      <c r="Q51" s="71"/>
      <c r="R51" s="116" t="s">
        <v>220</v>
      </c>
      <c r="S51" s="343">
        <f>'2. 2016. önkormányzat'!I48+'3. 2016. hivatal'!I61+'4. 2016. műv.ház'!I61+'5. 2016. forrás'!I61+'6. 2016. szociális'!I61</f>
        <v>700</v>
      </c>
      <c r="T51" s="100">
        <f>300+210+115</f>
        <v>625</v>
      </c>
      <c r="U51" s="100"/>
      <c r="V51" s="100"/>
      <c r="W51" s="100">
        <v>150</v>
      </c>
      <c r="X51" s="100"/>
      <c r="Y51" s="100"/>
      <c r="Z51" s="100"/>
      <c r="AA51" s="100">
        <v>365</v>
      </c>
      <c r="AB51" s="100"/>
      <c r="AC51" s="100"/>
      <c r="AD51" s="100"/>
      <c r="AE51" s="100">
        <v>250</v>
      </c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343">
        <f t="shared" si="44"/>
        <v>1390</v>
      </c>
      <c r="AS51" s="117"/>
    </row>
    <row r="52" spans="1:45" ht="29.25" customHeight="1" x14ac:dyDescent="0.25">
      <c r="A52" s="86"/>
      <c r="B52" s="84" t="s">
        <v>264</v>
      </c>
      <c r="C52" s="343">
        <f>'2. 2016. önkormányzat'!C49+'3. 2016. hivatal'!C62+'4. 2016. műv.ház'!C62+'5. 2016. forrás'!C62+'6. 2016. szociális'!C62</f>
        <v>0</v>
      </c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343">
        <f t="shared" si="45"/>
        <v>0</v>
      </c>
      <c r="Q52" s="71"/>
      <c r="R52" s="116" t="s">
        <v>221</v>
      </c>
      <c r="S52" s="343">
        <f>'2. 2016. önkormányzat'!I49+'3. 2016. hivatal'!I62+'4. 2016. műv.ház'!I62+'5. 2016. forrás'!I62+'6. 2016. szociális'!I62</f>
        <v>9097.9212598425202</v>
      </c>
      <c r="T52" s="100">
        <f>865+500+2000</f>
        <v>3365</v>
      </c>
      <c r="U52" s="100"/>
      <c r="V52" s="100"/>
      <c r="W52" s="100">
        <v>142</v>
      </c>
      <c r="X52" s="100"/>
      <c r="Y52" s="100"/>
      <c r="Z52" s="100">
        <v>488</v>
      </c>
      <c r="AA52" s="100"/>
      <c r="AB52" s="100"/>
      <c r="AC52" s="100"/>
      <c r="AD52" s="100"/>
      <c r="AE52" s="109">
        <f>2275+3218+600+800</f>
        <v>6893</v>
      </c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343">
        <f t="shared" si="44"/>
        <v>10888</v>
      </c>
      <c r="AS52" s="117"/>
    </row>
    <row r="53" spans="1:45" ht="33" customHeight="1" x14ac:dyDescent="0.25">
      <c r="A53" s="86"/>
      <c r="B53" s="84" t="s">
        <v>265</v>
      </c>
      <c r="C53" s="343">
        <f>'2. 2016. önkormányzat'!C50+'3. 2016. hivatal'!C63+'4. 2016. műv.ház'!C63+'5. 2016. forrás'!C63+'6. 2016. szociális'!C63</f>
        <v>0</v>
      </c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343">
        <f t="shared" si="45"/>
        <v>0</v>
      </c>
      <c r="Q53" s="71"/>
      <c r="R53" s="116" t="s">
        <v>222</v>
      </c>
      <c r="S53" s="343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N53" s="100"/>
      <c r="AO53" s="100"/>
      <c r="AP53" s="100"/>
      <c r="AQ53" s="100"/>
      <c r="AR53" s="343">
        <f t="shared" si="44"/>
        <v>0</v>
      </c>
      <c r="AS53" s="117"/>
    </row>
    <row r="54" spans="1:45" ht="20.25" customHeight="1" x14ac:dyDescent="0.25">
      <c r="A54" s="86" t="s">
        <v>181</v>
      </c>
      <c r="B54" s="93" t="s">
        <v>284</v>
      </c>
      <c r="C54" s="342">
        <f>SUM(C55:C59)</f>
        <v>540</v>
      </c>
      <c r="D54" s="113">
        <f t="shared" ref="D54:O54" si="46">SUM(D55:D59)</f>
        <v>0</v>
      </c>
      <c r="E54" s="113">
        <f t="shared" si="46"/>
        <v>0</v>
      </c>
      <c r="F54" s="113">
        <f t="shared" si="46"/>
        <v>0</v>
      </c>
      <c r="G54" s="113">
        <f t="shared" si="46"/>
        <v>0</v>
      </c>
      <c r="H54" s="113">
        <f t="shared" si="46"/>
        <v>0</v>
      </c>
      <c r="I54" s="113">
        <f t="shared" si="46"/>
        <v>0</v>
      </c>
      <c r="J54" s="113">
        <f t="shared" ref="J54" si="47">SUM(J55:J59)</f>
        <v>0</v>
      </c>
      <c r="K54" s="113">
        <f t="shared" si="46"/>
        <v>0</v>
      </c>
      <c r="L54" s="113">
        <f>SUM(L55:L59)</f>
        <v>0</v>
      </c>
      <c r="M54" s="113">
        <f t="shared" si="46"/>
        <v>540</v>
      </c>
      <c r="N54" s="113">
        <f t="shared" si="46"/>
        <v>0</v>
      </c>
      <c r="O54" s="113">
        <f t="shared" si="46"/>
        <v>0</v>
      </c>
      <c r="P54" s="342">
        <f>SUM(D54:O54)</f>
        <v>540</v>
      </c>
      <c r="Q54" s="71"/>
      <c r="R54" s="116" t="s">
        <v>223</v>
      </c>
      <c r="S54" s="343">
        <f>'2. 2016. önkormányzat'!I51+'3. 2016. hivatal'!I64+'4. 2016. műv.ház'!I64+'5. 2016. forrás'!I64+'6. 2016. szociális'!I64</f>
        <v>0</v>
      </c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343">
        <f>SUM(AF54:AP54)</f>
        <v>0</v>
      </c>
      <c r="AS54" s="117"/>
    </row>
    <row r="55" spans="1:45" ht="20.25" customHeight="1" x14ac:dyDescent="0.25">
      <c r="A55" s="86"/>
      <c r="B55" s="89" t="s">
        <v>285</v>
      </c>
      <c r="C55" s="34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343">
        <f t="shared" ref="P55:P59" si="48">SUM(D55:O55)</f>
        <v>0</v>
      </c>
      <c r="Q55" s="71"/>
      <c r="R55" s="116" t="s">
        <v>224</v>
      </c>
      <c r="S55" s="343">
        <f>'2. 2016. önkormányzat'!I52+'3. 2016. hivatal'!I65+'4. 2016. műv.ház'!I65+'5. 2016. forrás'!I65+'6. 2016. szociális'!I65</f>
        <v>18399.738740157478</v>
      </c>
      <c r="T55" s="100">
        <f>15788+2499+442</f>
        <v>18729</v>
      </c>
      <c r="U55" s="100"/>
      <c r="V55" s="100"/>
      <c r="W55" s="100">
        <v>79</v>
      </c>
      <c r="X55" s="100"/>
      <c r="Y55" s="100"/>
      <c r="Z55" s="100">
        <v>132</v>
      </c>
      <c r="AA55" s="100">
        <v>98</v>
      </c>
      <c r="AB55" s="100"/>
      <c r="AC55" s="100"/>
      <c r="AD55" s="100"/>
      <c r="AE55" s="100">
        <v>1861</v>
      </c>
      <c r="AF55" s="100">
        <f>AF52*27%</f>
        <v>0</v>
      </c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343">
        <f>SUM(T55:AQ55)</f>
        <v>20899</v>
      </c>
      <c r="AS55" s="117"/>
    </row>
    <row r="56" spans="1:45" ht="20.25" customHeight="1" x14ac:dyDescent="0.25">
      <c r="A56" s="86"/>
      <c r="B56" s="89" t="s">
        <v>286</v>
      </c>
      <c r="C56" s="343">
        <f>'2. 2016. önkormányzat'!C53</f>
        <v>0</v>
      </c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343">
        <f t="shared" si="48"/>
        <v>0</v>
      </c>
      <c r="Q56" s="74" t="s">
        <v>191</v>
      </c>
      <c r="R56" s="367" t="s">
        <v>225</v>
      </c>
      <c r="S56" s="342">
        <f>SUM(S57:S60)</f>
        <v>56000</v>
      </c>
      <c r="T56" s="114">
        <f t="shared" ref="T56:AQ56" si="49">SUM(T57:T60)</f>
        <v>18186</v>
      </c>
      <c r="U56" s="114">
        <f t="shared" si="49"/>
        <v>24232</v>
      </c>
      <c r="V56" s="114">
        <f t="shared" si="49"/>
        <v>0</v>
      </c>
      <c r="W56" s="114">
        <f t="shared" si="49"/>
        <v>0</v>
      </c>
      <c r="X56" s="114">
        <f t="shared" si="49"/>
        <v>0</v>
      </c>
      <c r="Y56" s="114">
        <f t="shared" si="49"/>
        <v>0</v>
      </c>
      <c r="Z56" s="114">
        <f t="shared" si="49"/>
        <v>0</v>
      </c>
      <c r="AA56" s="114">
        <f t="shared" si="49"/>
        <v>0</v>
      </c>
      <c r="AB56" s="114">
        <f t="shared" si="49"/>
        <v>0</v>
      </c>
      <c r="AC56" s="114">
        <f t="shared" si="49"/>
        <v>0</v>
      </c>
      <c r="AD56" s="114">
        <f t="shared" ref="AD56" si="50">SUM(AD57:AD60)</f>
        <v>0</v>
      </c>
      <c r="AE56" s="114">
        <f t="shared" si="49"/>
        <v>0</v>
      </c>
      <c r="AF56" s="114">
        <f t="shared" si="49"/>
        <v>0</v>
      </c>
      <c r="AG56" s="114">
        <f t="shared" si="49"/>
        <v>0</v>
      </c>
      <c r="AH56" s="114">
        <f t="shared" si="49"/>
        <v>0</v>
      </c>
      <c r="AI56" s="114">
        <f t="shared" si="49"/>
        <v>0</v>
      </c>
      <c r="AJ56" s="114">
        <f t="shared" si="49"/>
        <v>0</v>
      </c>
      <c r="AK56" s="114">
        <f t="shared" si="49"/>
        <v>0</v>
      </c>
      <c r="AL56" s="114">
        <f t="shared" si="49"/>
        <v>0</v>
      </c>
      <c r="AM56" s="114">
        <f t="shared" si="49"/>
        <v>13582</v>
      </c>
      <c r="AN56" s="114">
        <f t="shared" si="49"/>
        <v>0</v>
      </c>
      <c r="AO56" s="114"/>
      <c r="AP56" s="114">
        <f t="shared" si="49"/>
        <v>0</v>
      </c>
      <c r="AQ56" s="114">
        <f t="shared" si="49"/>
        <v>0</v>
      </c>
      <c r="AR56" s="342">
        <f t="shared" ref="AR56:AR57" si="51">SUM(T56:AQ56)</f>
        <v>56000</v>
      </c>
      <c r="AS56" s="117"/>
    </row>
    <row r="57" spans="1:45" ht="20.25" customHeight="1" x14ac:dyDescent="0.25">
      <c r="A57" s="86"/>
      <c r="B57" s="89" t="s">
        <v>287</v>
      </c>
      <c r="C57" s="34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343">
        <f t="shared" si="48"/>
        <v>0</v>
      </c>
      <c r="Q57" s="71"/>
      <c r="R57" s="116" t="s">
        <v>226</v>
      </c>
      <c r="S57" s="343">
        <f>'2. 2016. önkormányzat'!I54+'3. 2016. hivatal'!I67+'4. 2016. műv.ház'!I67+'5. 2016. forrás'!I67+'6. 2016. szociális'!I67</f>
        <v>33400</v>
      </c>
      <c r="T57" s="100">
        <f>2013+1300+11007</f>
        <v>14320</v>
      </c>
      <c r="U57" s="100">
        <v>19080</v>
      </c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343">
        <f t="shared" si="51"/>
        <v>33400</v>
      </c>
      <c r="AS57" s="117"/>
    </row>
    <row r="58" spans="1:45" ht="20.25" customHeight="1" x14ac:dyDescent="0.25">
      <c r="A58" s="86"/>
      <c r="B58" s="89" t="s">
        <v>288</v>
      </c>
      <c r="C58" s="343">
        <f>'2. 2016. önkormányzat'!C55</f>
        <v>540</v>
      </c>
      <c r="D58" s="103"/>
      <c r="E58" s="103"/>
      <c r="F58" s="103"/>
      <c r="G58" s="103"/>
      <c r="H58" s="103"/>
      <c r="I58" s="103"/>
      <c r="J58" s="103"/>
      <c r="K58" s="103"/>
      <c r="L58" s="103"/>
      <c r="M58" s="103">
        <v>540</v>
      </c>
      <c r="N58" s="103"/>
      <c r="O58" s="103"/>
      <c r="P58" s="343">
        <f t="shared" si="48"/>
        <v>540</v>
      </c>
      <c r="Q58" s="71"/>
      <c r="R58" s="116" t="s">
        <v>227</v>
      </c>
      <c r="S58" s="343">
        <f>'2. 2016. önkormányzat'!I55+'3. 2016. hivatal'!I68+'4. 2016. műv.ház'!I68+'5. 2016. forrás'!I68+'6. 2016. szociális'!I68</f>
        <v>0</v>
      </c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343">
        <f t="shared" ref="AR58:AR63" si="52">SUM(T58:AQ58)</f>
        <v>0</v>
      </c>
      <c r="AS58" s="117"/>
    </row>
    <row r="59" spans="1:45" ht="20.25" customHeight="1" x14ac:dyDescent="0.25">
      <c r="A59" s="86"/>
      <c r="B59" s="89" t="s">
        <v>289</v>
      </c>
      <c r="C59" s="34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343">
        <f t="shared" si="48"/>
        <v>0</v>
      </c>
      <c r="Q59" s="71"/>
      <c r="R59" s="116" t="s">
        <v>228</v>
      </c>
      <c r="S59" s="343">
        <f>'2. 2016. önkormányzat'!I56+'3. 2016. hivatal'!I69+'4. 2016. műv.ház'!I69+'5. 2016. forrás'!I69+'6. 2016. szociális'!I69</f>
        <v>13582</v>
      </c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>
        <v>13582</v>
      </c>
      <c r="AN59" s="100"/>
      <c r="AO59" s="100"/>
      <c r="AP59" s="100"/>
      <c r="AQ59" s="100"/>
      <c r="AR59" s="343">
        <f t="shared" si="52"/>
        <v>13582</v>
      </c>
      <c r="AS59" s="117"/>
    </row>
    <row r="60" spans="1:45" ht="20.25" customHeight="1" x14ac:dyDescent="0.25">
      <c r="A60" s="86" t="s">
        <v>191</v>
      </c>
      <c r="B60" s="87" t="s">
        <v>294</v>
      </c>
      <c r="C60" s="342">
        <f>C61+C62+C63</f>
        <v>0</v>
      </c>
      <c r="D60" s="113">
        <f t="shared" ref="D60:O60" si="53">D61+D62+D63</f>
        <v>0</v>
      </c>
      <c r="E60" s="113">
        <f t="shared" si="53"/>
        <v>0</v>
      </c>
      <c r="F60" s="113">
        <f t="shared" si="53"/>
        <v>0</v>
      </c>
      <c r="G60" s="113">
        <f t="shared" si="53"/>
        <v>0</v>
      </c>
      <c r="H60" s="113">
        <f t="shared" si="53"/>
        <v>0</v>
      </c>
      <c r="I60" s="113">
        <f t="shared" si="53"/>
        <v>0</v>
      </c>
      <c r="J60" s="113">
        <f t="shared" ref="J60" si="54">J61+J62+J63</f>
        <v>0</v>
      </c>
      <c r="K60" s="113">
        <f t="shared" si="53"/>
        <v>0</v>
      </c>
      <c r="L60" s="113">
        <f>L61+L62+L63</f>
        <v>0</v>
      </c>
      <c r="M60" s="113">
        <f t="shared" si="53"/>
        <v>0</v>
      </c>
      <c r="N60" s="113">
        <f t="shared" si="53"/>
        <v>20000</v>
      </c>
      <c r="O60" s="113">
        <f t="shared" si="53"/>
        <v>0</v>
      </c>
      <c r="P60" s="342">
        <f>SUM(D60:O60)</f>
        <v>20000</v>
      </c>
      <c r="Q60" s="71"/>
      <c r="R60" s="116" t="s">
        <v>229</v>
      </c>
      <c r="S60" s="343">
        <f>'2. 2016. önkormányzat'!I57+'3. 2016. hivatal'!I70+'4. 2016. műv.ház'!I70+'5. 2016. forrás'!I70+'6. 2016. szociális'!I70</f>
        <v>9018</v>
      </c>
      <c r="T60" s="100">
        <f>9018-5152</f>
        <v>3866</v>
      </c>
      <c r="U60" s="100">
        <v>5152</v>
      </c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343">
        <f>SUM(T60:AQ60)</f>
        <v>9018</v>
      </c>
      <c r="AS60" s="117"/>
    </row>
    <row r="61" spans="1:45" ht="29.25" customHeight="1" x14ac:dyDescent="0.25">
      <c r="A61" s="86"/>
      <c r="B61" s="89" t="s">
        <v>295</v>
      </c>
      <c r="C61" s="34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343">
        <f>SUM(D61:O61)</f>
        <v>0</v>
      </c>
      <c r="Q61" s="74" t="s">
        <v>199</v>
      </c>
      <c r="R61" s="367" t="s">
        <v>230</v>
      </c>
      <c r="S61" s="342">
        <f>'2. 2016. önkormányzat'!I58+'3. 2016. hivatal'!I71+'4. 2016. műv.ház'!I71+'5. 2016. forrás'!I71+'6. 2016. szociális'!I71</f>
        <v>0</v>
      </c>
      <c r="T61" s="114">
        <v>600</v>
      </c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342">
        <f t="shared" si="52"/>
        <v>600</v>
      </c>
      <c r="AS61" s="117"/>
    </row>
    <row r="62" spans="1:45" ht="29.25" customHeight="1" x14ac:dyDescent="0.25">
      <c r="A62" s="86"/>
      <c r="B62" s="84" t="s">
        <v>296</v>
      </c>
      <c r="C62" s="34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343">
        <f t="shared" ref="P62:P65" si="55">SUM(D62:O62)</f>
        <v>0</v>
      </c>
      <c r="Q62" s="71"/>
      <c r="R62" s="116"/>
      <c r="S62" s="343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343">
        <f t="shared" si="52"/>
        <v>0</v>
      </c>
      <c r="AS62" s="117"/>
    </row>
    <row r="63" spans="1:45" ht="21" customHeight="1" x14ac:dyDescent="0.25">
      <c r="A63" s="86"/>
      <c r="B63" s="89" t="s">
        <v>297</v>
      </c>
      <c r="C63" s="343">
        <f>'2. 2016. önkormányzat'!C60</f>
        <v>0</v>
      </c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>
        <v>20000</v>
      </c>
      <c r="O63" s="103"/>
      <c r="P63" s="343">
        <f t="shared" si="55"/>
        <v>20000</v>
      </c>
      <c r="Q63" s="71"/>
      <c r="R63" s="116"/>
      <c r="S63" s="343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343">
        <f t="shared" si="52"/>
        <v>0</v>
      </c>
      <c r="AS63" s="117"/>
    </row>
    <row r="64" spans="1:45" ht="21" customHeight="1" x14ac:dyDescent="0.25">
      <c r="A64" s="86"/>
      <c r="B64" s="322" t="s">
        <v>769</v>
      </c>
      <c r="C64" s="348">
        <f t="shared" ref="C64:O64" si="56">SUM(C47,C3)</f>
        <v>575849.66779999994</v>
      </c>
      <c r="D64" s="341">
        <f t="shared" si="56"/>
        <v>145599</v>
      </c>
      <c r="E64" s="341">
        <f t="shared" si="56"/>
        <v>13641</v>
      </c>
      <c r="F64" s="341">
        <f t="shared" si="56"/>
        <v>836</v>
      </c>
      <c r="G64" s="341">
        <f t="shared" si="56"/>
        <v>13822</v>
      </c>
      <c r="H64" s="341">
        <f t="shared" si="56"/>
        <v>309500</v>
      </c>
      <c r="I64" s="341">
        <f t="shared" si="56"/>
        <v>102174</v>
      </c>
      <c r="J64" s="341">
        <f t="shared" si="56"/>
        <v>1690</v>
      </c>
      <c r="K64" s="341">
        <f t="shared" si="56"/>
        <v>3000</v>
      </c>
      <c r="L64" s="341">
        <f t="shared" si="56"/>
        <v>140</v>
      </c>
      <c r="M64" s="341">
        <f t="shared" si="56"/>
        <v>10222</v>
      </c>
      <c r="N64" s="341">
        <f t="shared" si="56"/>
        <v>35769</v>
      </c>
      <c r="O64" s="341">
        <f t="shared" si="56"/>
        <v>0</v>
      </c>
      <c r="P64" s="351">
        <f t="shared" si="55"/>
        <v>636393</v>
      </c>
      <c r="Q64" s="324"/>
      <c r="R64" s="322" t="s">
        <v>770</v>
      </c>
      <c r="S64" s="348">
        <f t="shared" ref="S64:AQ64" si="57">SUM(S47,S3)</f>
        <v>738076.40778521891</v>
      </c>
      <c r="T64" s="341">
        <f>SUM(T47,T3)</f>
        <v>426478</v>
      </c>
      <c r="U64" s="341">
        <f t="shared" si="57"/>
        <v>59232</v>
      </c>
      <c r="V64" s="341">
        <f t="shared" si="57"/>
        <v>14515</v>
      </c>
      <c r="W64" s="341">
        <f t="shared" si="57"/>
        <v>15180</v>
      </c>
      <c r="X64" s="341">
        <f t="shared" si="57"/>
        <v>1448</v>
      </c>
      <c r="Y64" s="341">
        <f t="shared" si="57"/>
        <v>0</v>
      </c>
      <c r="Z64" s="341">
        <f t="shared" si="57"/>
        <v>18501.445</v>
      </c>
      <c r="AA64" s="341">
        <f t="shared" si="57"/>
        <v>7947.22</v>
      </c>
      <c r="AB64" s="341">
        <f t="shared" si="57"/>
        <v>5843.8099999999995</v>
      </c>
      <c r="AC64" s="341">
        <f t="shared" si="57"/>
        <v>12050.21</v>
      </c>
      <c r="AD64" s="341">
        <f t="shared" ref="AD64" si="58">SUM(AD47,AD3)</f>
        <v>6857</v>
      </c>
      <c r="AE64" s="341">
        <f t="shared" si="57"/>
        <v>186424</v>
      </c>
      <c r="AF64" s="341">
        <f t="shared" si="57"/>
        <v>6172.4400000000005</v>
      </c>
      <c r="AG64" s="341">
        <f t="shared" si="57"/>
        <v>0</v>
      </c>
      <c r="AH64" s="341">
        <f t="shared" si="57"/>
        <v>4012.58</v>
      </c>
      <c r="AI64" s="341">
        <f t="shared" si="57"/>
        <v>4000</v>
      </c>
      <c r="AJ64" s="341">
        <f t="shared" si="57"/>
        <v>0</v>
      </c>
      <c r="AK64" s="341">
        <f t="shared" si="57"/>
        <v>1500</v>
      </c>
      <c r="AL64" s="341">
        <f t="shared" si="57"/>
        <v>2685</v>
      </c>
      <c r="AM64" s="341">
        <f t="shared" si="57"/>
        <v>71502</v>
      </c>
      <c r="AN64" s="341">
        <f t="shared" si="57"/>
        <v>4760</v>
      </c>
      <c r="AO64" s="341">
        <f t="shared" si="57"/>
        <v>674</v>
      </c>
      <c r="AP64" s="341">
        <f t="shared" si="57"/>
        <v>0</v>
      </c>
      <c r="AQ64" s="341">
        <f t="shared" si="57"/>
        <v>718</v>
      </c>
      <c r="AR64" s="341">
        <f>SUM(T64:AQ64)</f>
        <v>850500.70499999984</v>
      </c>
      <c r="AS64" s="117"/>
    </row>
    <row r="65" spans="1:45" ht="21" customHeight="1" x14ac:dyDescent="0.25">
      <c r="A65" s="86"/>
      <c r="B65" s="89"/>
      <c r="C65" s="34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343">
        <f t="shared" si="55"/>
        <v>0</v>
      </c>
      <c r="Q65" s="71"/>
      <c r="R65" s="116"/>
      <c r="S65" s="343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343">
        <f t="shared" ref="AR65:AR66" si="59">SUM(AF65:AP65)</f>
        <v>0</v>
      </c>
      <c r="AS65" s="117"/>
    </row>
    <row r="66" spans="1:45" ht="20.25" customHeight="1" x14ac:dyDescent="0.25">
      <c r="A66" s="90"/>
      <c r="B66" s="79" t="s">
        <v>298</v>
      </c>
      <c r="C66" s="342">
        <f>C78+C89</f>
        <v>402766.51</v>
      </c>
      <c r="D66" s="96">
        <f>D78+D89</f>
        <v>0</v>
      </c>
      <c r="E66" s="96">
        <f t="shared" ref="E66:O66" si="60">E78+E89</f>
        <v>0</v>
      </c>
      <c r="F66" s="96">
        <f t="shared" si="60"/>
        <v>0</v>
      </c>
      <c r="G66" s="96">
        <f t="shared" si="60"/>
        <v>0</v>
      </c>
      <c r="H66" s="96">
        <f t="shared" si="60"/>
        <v>0</v>
      </c>
      <c r="I66" s="96">
        <f t="shared" si="60"/>
        <v>0</v>
      </c>
      <c r="J66" s="96">
        <f t="shared" si="60"/>
        <v>0</v>
      </c>
      <c r="K66" s="96">
        <f t="shared" si="60"/>
        <v>0</v>
      </c>
      <c r="L66" s="96">
        <f t="shared" si="60"/>
        <v>0</v>
      </c>
      <c r="M66" s="96">
        <f t="shared" si="60"/>
        <v>0</v>
      </c>
      <c r="N66" s="96">
        <f t="shared" si="60"/>
        <v>218739</v>
      </c>
      <c r="O66" s="96">
        <f t="shared" si="60"/>
        <v>253980</v>
      </c>
      <c r="P66" s="342">
        <f>SUM(D66:O66)</f>
        <v>472719</v>
      </c>
      <c r="Q66" s="90"/>
      <c r="R66" s="363" t="s">
        <v>299</v>
      </c>
      <c r="S66" s="342">
        <f>S76+S88</f>
        <v>240540</v>
      </c>
      <c r="T66" s="96">
        <f t="shared" ref="T66:AQ66" si="61">T76+T88</f>
        <v>0</v>
      </c>
      <c r="U66" s="96">
        <f t="shared" si="61"/>
        <v>0</v>
      </c>
      <c r="V66" s="96">
        <f t="shared" si="61"/>
        <v>0</v>
      </c>
      <c r="W66" s="96">
        <f t="shared" si="61"/>
        <v>0</v>
      </c>
      <c r="X66" s="96">
        <f t="shared" si="61"/>
        <v>0</v>
      </c>
      <c r="Y66" s="96">
        <f t="shared" si="61"/>
        <v>0</v>
      </c>
      <c r="Z66" s="96">
        <f t="shared" si="61"/>
        <v>0</v>
      </c>
      <c r="AA66" s="96">
        <f t="shared" si="61"/>
        <v>0</v>
      </c>
      <c r="AB66" s="96">
        <f t="shared" si="61"/>
        <v>0</v>
      </c>
      <c r="AC66" s="96">
        <f t="shared" si="61"/>
        <v>0</v>
      </c>
      <c r="AD66" s="96">
        <f t="shared" ref="AD66" si="62">AD76+AD88</f>
        <v>0</v>
      </c>
      <c r="AE66" s="96">
        <f t="shared" si="61"/>
        <v>0</v>
      </c>
      <c r="AF66" s="96">
        <f t="shared" si="61"/>
        <v>0</v>
      </c>
      <c r="AG66" s="96">
        <f t="shared" si="61"/>
        <v>0</v>
      </c>
      <c r="AH66" s="96">
        <f t="shared" si="61"/>
        <v>0</v>
      </c>
      <c r="AI66" s="96">
        <f t="shared" si="61"/>
        <v>0</v>
      </c>
      <c r="AJ66" s="96">
        <f t="shared" si="61"/>
        <v>0</v>
      </c>
      <c r="AK66" s="96">
        <f t="shared" si="61"/>
        <v>0</v>
      </c>
      <c r="AL66" s="96">
        <f t="shared" si="61"/>
        <v>0</v>
      </c>
      <c r="AM66" s="96">
        <f t="shared" si="61"/>
        <v>0</v>
      </c>
      <c r="AN66" s="96">
        <f t="shared" si="61"/>
        <v>0</v>
      </c>
      <c r="AO66" s="96">
        <f>AO76+AO88</f>
        <v>4631</v>
      </c>
      <c r="AP66" s="96">
        <f>AP76+AP88</f>
        <v>253980</v>
      </c>
      <c r="AQ66" s="96">
        <f t="shared" si="61"/>
        <v>0</v>
      </c>
      <c r="AR66" s="342">
        <f t="shared" si="59"/>
        <v>258611</v>
      </c>
      <c r="AS66" s="117"/>
    </row>
    <row r="67" spans="1:45" ht="21" customHeight="1" x14ac:dyDescent="0.25">
      <c r="A67" s="75"/>
      <c r="B67" s="94" t="s">
        <v>300</v>
      </c>
      <c r="C67" s="34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343">
        <f>SUM(D67:O67)</f>
        <v>0</v>
      </c>
      <c r="Q67" s="75"/>
      <c r="R67" s="94" t="s">
        <v>231</v>
      </c>
      <c r="S67" s="34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343">
        <f>SUM(AF67:AQ67)</f>
        <v>0</v>
      </c>
      <c r="AS67" s="117"/>
    </row>
    <row r="68" spans="1:45" ht="30" customHeight="1" x14ac:dyDescent="0.25">
      <c r="A68" s="75"/>
      <c r="B68" s="94" t="s">
        <v>301</v>
      </c>
      <c r="C68" s="34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343">
        <f t="shared" ref="P68:P77" si="63">SUM(D68:O68)</f>
        <v>0</v>
      </c>
      <c r="Q68" s="75"/>
      <c r="R68" s="94" t="s">
        <v>232</v>
      </c>
      <c r="S68" s="34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343">
        <f t="shared" ref="AR68:AR90" si="64">SUM(AF68:AQ68)</f>
        <v>0</v>
      </c>
      <c r="AS68" s="117"/>
    </row>
    <row r="69" spans="1:45" ht="20.25" customHeight="1" x14ac:dyDescent="0.25">
      <c r="A69" s="75"/>
      <c r="B69" s="94" t="s">
        <v>302</v>
      </c>
      <c r="C69" s="34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343">
        <f t="shared" si="63"/>
        <v>0</v>
      </c>
      <c r="Q69" s="75"/>
      <c r="R69" s="94" t="s">
        <v>233</v>
      </c>
      <c r="S69" s="34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343">
        <f t="shared" si="64"/>
        <v>0</v>
      </c>
      <c r="AS69" s="117"/>
    </row>
    <row r="70" spans="1:45" ht="20.25" customHeight="1" x14ac:dyDescent="0.25">
      <c r="A70" s="75"/>
      <c r="B70" s="95" t="s">
        <v>303</v>
      </c>
      <c r="C70" s="343">
        <f>C67+C68+C69</f>
        <v>0</v>
      </c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343">
        <f t="shared" si="63"/>
        <v>0</v>
      </c>
      <c r="Q70" s="75"/>
      <c r="R70" s="95" t="s">
        <v>243</v>
      </c>
      <c r="S70" s="343">
        <f>S67+S68+S69</f>
        <v>0</v>
      </c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343">
        <f t="shared" si="64"/>
        <v>0</v>
      </c>
      <c r="AS70" s="117"/>
    </row>
    <row r="71" spans="1:45" ht="20.25" customHeight="1" x14ac:dyDescent="0.25">
      <c r="A71" s="75"/>
      <c r="B71" s="69" t="s">
        <v>304</v>
      </c>
      <c r="C71" s="34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343">
        <f t="shared" si="63"/>
        <v>0</v>
      </c>
      <c r="Q71" s="75"/>
      <c r="R71" s="94" t="s">
        <v>235</v>
      </c>
      <c r="S71" s="34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343">
        <f t="shared" si="64"/>
        <v>0</v>
      </c>
      <c r="AS71" s="117"/>
    </row>
    <row r="72" spans="1:45" ht="20.25" customHeight="1" x14ac:dyDescent="0.25">
      <c r="A72" s="75"/>
      <c r="B72" s="69" t="s">
        <v>305</v>
      </c>
      <c r="C72" s="34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343">
        <f t="shared" si="63"/>
        <v>0</v>
      </c>
      <c r="Q72" s="75"/>
      <c r="R72" s="94" t="s">
        <v>234</v>
      </c>
      <c r="S72" s="34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343">
        <f t="shared" si="64"/>
        <v>0</v>
      </c>
      <c r="AS72" s="117"/>
    </row>
    <row r="73" spans="1:45" ht="20.25" customHeight="1" x14ac:dyDescent="0.25">
      <c r="A73" s="75"/>
      <c r="B73" s="70" t="s">
        <v>306</v>
      </c>
      <c r="C73" s="343">
        <f>C71+C72</f>
        <v>0</v>
      </c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343">
        <f t="shared" si="63"/>
        <v>0</v>
      </c>
      <c r="Q73" s="75"/>
      <c r="R73" s="95" t="s">
        <v>244</v>
      </c>
      <c r="S73" s="343">
        <f>S71+S72</f>
        <v>0</v>
      </c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  <c r="AR73" s="343">
        <f t="shared" si="64"/>
        <v>0</v>
      </c>
      <c r="AS73" s="117"/>
    </row>
    <row r="74" spans="1:45" ht="30" x14ac:dyDescent="0.25">
      <c r="A74" s="75"/>
      <c r="B74" s="70"/>
      <c r="C74" s="34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343"/>
      <c r="Q74" s="75"/>
      <c r="R74" s="95" t="s">
        <v>1104</v>
      </c>
      <c r="S74" s="34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>
        <v>4631</v>
      </c>
      <c r="AP74" s="103"/>
      <c r="AQ74" s="103"/>
      <c r="AR74" s="343">
        <f t="shared" si="64"/>
        <v>4631</v>
      </c>
      <c r="AS74" s="117"/>
    </row>
    <row r="75" spans="1:45" ht="20.25" customHeight="1" x14ac:dyDescent="0.25">
      <c r="A75" s="75"/>
      <c r="B75" s="70" t="s">
        <v>307</v>
      </c>
      <c r="C75" s="343">
        <f>'2. 2016. önkormányzat'!C70+'3. 2016. hivatal'!C82+'4. 2016. műv.ház'!C82+'5. 2016. forrás'!C82+'6. 2016. szociális'!C82</f>
        <v>109156</v>
      </c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653">
        <f>'1. 2016. mindösszesen'!C85+24618-65035</f>
        <v>68739</v>
      </c>
      <c r="O75" s="103"/>
      <c r="P75" s="343">
        <f t="shared" si="63"/>
        <v>68739</v>
      </c>
      <c r="Q75" s="75"/>
      <c r="R75" s="95" t="s">
        <v>236</v>
      </c>
      <c r="S75" s="343">
        <f>'2. 2016. önkormányzat'!I70</f>
        <v>230766</v>
      </c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>
        <f>'2. 2016. önkormányzat'!I70+2255+11185</f>
        <v>244206</v>
      </c>
      <c r="AQ75" s="103"/>
      <c r="AR75" s="343">
        <f t="shared" si="64"/>
        <v>244206</v>
      </c>
      <c r="AS75" s="117"/>
    </row>
    <row r="76" spans="1:45" ht="20.25" customHeight="1" x14ac:dyDescent="0.25">
      <c r="A76" s="75"/>
      <c r="B76" s="70" t="s">
        <v>308</v>
      </c>
      <c r="C76" s="343">
        <f>'2. 2016. önkormányzat'!C71+'3. 2016. hivatal'!C83+'4. 2016. műv.ház'!C83+'5. 2016. forrás'!C83+'6. 2016. szociális'!C83</f>
        <v>230766</v>
      </c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>
        <f>'1. 2016. mindösszesen'!C86+2255+11185</f>
        <v>244206</v>
      </c>
      <c r="P76" s="343">
        <f t="shared" si="63"/>
        <v>244206</v>
      </c>
      <c r="Q76" s="75"/>
      <c r="R76" s="75" t="s">
        <v>245</v>
      </c>
      <c r="S76" s="342">
        <f t="shared" ref="S76:AN76" si="65">S70+S73+S75</f>
        <v>230766</v>
      </c>
      <c r="T76" s="113">
        <f t="shared" si="65"/>
        <v>0</v>
      </c>
      <c r="U76" s="113">
        <f t="shared" si="65"/>
        <v>0</v>
      </c>
      <c r="V76" s="113">
        <f t="shared" si="65"/>
        <v>0</v>
      </c>
      <c r="W76" s="113">
        <f t="shared" si="65"/>
        <v>0</v>
      </c>
      <c r="X76" s="113">
        <f t="shared" si="65"/>
        <v>0</v>
      </c>
      <c r="Y76" s="113">
        <f t="shared" si="65"/>
        <v>0</v>
      </c>
      <c r="Z76" s="113">
        <f t="shared" si="65"/>
        <v>0</v>
      </c>
      <c r="AA76" s="113">
        <f t="shared" si="65"/>
        <v>0</v>
      </c>
      <c r="AB76" s="113">
        <f t="shared" si="65"/>
        <v>0</v>
      </c>
      <c r="AC76" s="113">
        <f t="shared" si="65"/>
        <v>0</v>
      </c>
      <c r="AD76" s="113">
        <f t="shared" ref="AD76" si="66">AD70+AD73+AD75</f>
        <v>0</v>
      </c>
      <c r="AE76" s="113">
        <f t="shared" si="65"/>
        <v>0</v>
      </c>
      <c r="AF76" s="113">
        <f t="shared" si="65"/>
        <v>0</v>
      </c>
      <c r="AG76" s="113">
        <f t="shared" si="65"/>
        <v>0</v>
      </c>
      <c r="AH76" s="113">
        <f t="shared" si="65"/>
        <v>0</v>
      </c>
      <c r="AI76" s="113">
        <f t="shared" si="65"/>
        <v>0</v>
      </c>
      <c r="AJ76" s="113">
        <f t="shared" si="65"/>
        <v>0</v>
      </c>
      <c r="AK76" s="113">
        <f t="shared" si="65"/>
        <v>0</v>
      </c>
      <c r="AL76" s="113">
        <f t="shared" si="65"/>
        <v>0</v>
      </c>
      <c r="AM76" s="113">
        <f t="shared" si="65"/>
        <v>0</v>
      </c>
      <c r="AN76" s="113">
        <f t="shared" si="65"/>
        <v>0</v>
      </c>
      <c r="AO76" s="113">
        <f>AO70+AO73+AO75+AO74</f>
        <v>4631</v>
      </c>
      <c r="AP76" s="113">
        <f>AP70+AP73+AP75</f>
        <v>244206</v>
      </c>
      <c r="AQ76" s="113">
        <f>AQ70+AQ73+AQ75</f>
        <v>0</v>
      </c>
      <c r="AR76" s="342">
        <f t="shared" si="64"/>
        <v>248837</v>
      </c>
      <c r="AS76" s="117"/>
    </row>
    <row r="77" spans="1:45" ht="20.25" customHeight="1" x14ac:dyDescent="0.25">
      <c r="A77" s="75"/>
      <c r="B77" s="70" t="s">
        <v>1152</v>
      </c>
      <c r="C77" s="34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>
        <v>150000</v>
      </c>
      <c r="O77" s="103"/>
      <c r="P77" s="343">
        <f t="shared" si="63"/>
        <v>150000</v>
      </c>
      <c r="Q77" s="75"/>
      <c r="R77" s="75"/>
      <c r="S77" s="342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342"/>
      <c r="AS77" s="117"/>
    </row>
    <row r="78" spans="1:45" ht="20.25" customHeight="1" x14ac:dyDescent="0.25">
      <c r="A78" s="75"/>
      <c r="B78" s="80" t="s">
        <v>309</v>
      </c>
      <c r="C78" s="342">
        <f t="shared" ref="C78:O78" si="67">C70+C73+C75+C76</f>
        <v>339922</v>
      </c>
      <c r="D78" s="113">
        <f t="shared" si="67"/>
        <v>0</v>
      </c>
      <c r="E78" s="113">
        <f t="shared" si="67"/>
        <v>0</v>
      </c>
      <c r="F78" s="113">
        <f t="shared" si="67"/>
        <v>0</v>
      </c>
      <c r="G78" s="113">
        <f t="shared" si="67"/>
        <v>0</v>
      </c>
      <c r="H78" s="113">
        <f t="shared" si="67"/>
        <v>0</v>
      </c>
      <c r="I78" s="113">
        <f t="shared" si="67"/>
        <v>0</v>
      </c>
      <c r="J78" s="113">
        <f t="shared" ref="J78" si="68">J70+J73+J75+J76</f>
        <v>0</v>
      </c>
      <c r="K78" s="113">
        <f t="shared" si="67"/>
        <v>0</v>
      </c>
      <c r="L78" s="113">
        <f t="shared" si="67"/>
        <v>0</v>
      </c>
      <c r="M78" s="113">
        <f>M70+M73+M75+M76</f>
        <v>0</v>
      </c>
      <c r="N78" s="113">
        <f>N70+N73+N75+N76+N77</f>
        <v>218739</v>
      </c>
      <c r="O78" s="113">
        <f t="shared" si="67"/>
        <v>244206</v>
      </c>
      <c r="P78" s="342">
        <f>SUM(D78:O78)</f>
        <v>462945</v>
      </c>
      <c r="Q78" s="75"/>
      <c r="R78" s="95"/>
      <c r="S78" s="34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343">
        <f t="shared" si="64"/>
        <v>0</v>
      </c>
      <c r="AS78" s="117"/>
    </row>
    <row r="79" spans="1:45" ht="20.25" customHeight="1" x14ac:dyDescent="0.25">
      <c r="A79" s="90"/>
      <c r="B79" s="79"/>
      <c r="C79" s="343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343"/>
      <c r="Q79" s="90"/>
      <c r="R79" s="78"/>
      <c r="S79" s="343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343">
        <f t="shared" si="64"/>
        <v>0</v>
      </c>
      <c r="AS79" s="117"/>
    </row>
    <row r="80" spans="1:45" ht="20.25" customHeight="1" x14ac:dyDescent="0.25">
      <c r="A80" s="75"/>
      <c r="B80" s="94" t="s">
        <v>300</v>
      </c>
      <c r="C80" s="34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343">
        <f>SUM(D80:O80)</f>
        <v>0</v>
      </c>
      <c r="Q80" s="75"/>
      <c r="R80" s="94" t="s">
        <v>231</v>
      </c>
      <c r="S80" s="343">
        <f>'2. 2016. önkormányzat'!I75</f>
        <v>0</v>
      </c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343">
        <f t="shared" si="64"/>
        <v>0</v>
      </c>
      <c r="AS80" s="117"/>
    </row>
    <row r="81" spans="1:52" ht="33" customHeight="1" x14ac:dyDescent="0.25">
      <c r="A81" s="75"/>
      <c r="B81" s="94" t="s">
        <v>301</v>
      </c>
      <c r="C81" s="34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343">
        <f t="shared" ref="P81:P88" si="69">SUM(D81:O81)</f>
        <v>0</v>
      </c>
      <c r="Q81" s="75"/>
      <c r="R81" s="94" t="s">
        <v>232</v>
      </c>
      <c r="S81" s="343">
        <f>'2. 2016. önkormányzat'!I76</f>
        <v>0</v>
      </c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343">
        <f t="shared" si="64"/>
        <v>0</v>
      </c>
      <c r="AS81" s="117"/>
    </row>
    <row r="82" spans="1:52" ht="20.25" customHeight="1" x14ac:dyDescent="0.25">
      <c r="A82" s="75"/>
      <c r="B82" s="94" t="s">
        <v>302</v>
      </c>
      <c r="C82" s="34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343">
        <f t="shared" si="69"/>
        <v>0</v>
      </c>
      <c r="Q82" s="75"/>
      <c r="R82" s="94" t="s">
        <v>233</v>
      </c>
      <c r="S82" s="343">
        <f>'2. 2016. önkormányzat'!I77</f>
        <v>0</v>
      </c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343">
        <f t="shared" si="64"/>
        <v>0</v>
      </c>
      <c r="AS82" s="117"/>
    </row>
    <row r="83" spans="1:52" ht="20.25" customHeight="1" x14ac:dyDescent="0.25">
      <c r="A83" s="75"/>
      <c r="B83" s="95" t="s">
        <v>303</v>
      </c>
      <c r="C83" s="343">
        <f>C80+C81+C82</f>
        <v>0</v>
      </c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343">
        <f t="shared" si="69"/>
        <v>0</v>
      </c>
      <c r="Q83" s="75"/>
      <c r="R83" s="95" t="s">
        <v>243</v>
      </c>
      <c r="S83" s="343">
        <f>S80+S81+S82</f>
        <v>0</v>
      </c>
      <c r="T83" s="103"/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343">
        <f t="shared" si="64"/>
        <v>0</v>
      </c>
      <c r="AS83" s="117"/>
    </row>
    <row r="84" spans="1:52" ht="20.25" customHeight="1" x14ac:dyDescent="0.25">
      <c r="A84" s="75"/>
      <c r="B84" s="69" t="s">
        <v>304</v>
      </c>
      <c r="C84" s="34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343">
        <f t="shared" si="69"/>
        <v>0</v>
      </c>
      <c r="Q84" s="75"/>
      <c r="R84" s="94" t="s">
        <v>235</v>
      </c>
      <c r="S84" s="343">
        <f>'2. 2016. önkormányzat'!I79</f>
        <v>0</v>
      </c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  <c r="AR84" s="343">
        <f t="shared" si="64"/>
        <v>0</v>
      </c>
      <c r="AS84" s="117"/>
    </row>
    <row r="85" spans="1:52" ht="20.25" customHeight="1" x14ac:dyDescent="0.25">
      <c r="A85" s="75"/>
      <c r="B85" s="69" t="s">
        <v>305</v>
      </c>
      <c r="C85" s="34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343">
        <f t="shared" si="69"/>
        <v>0</v>
      </c>
      <c r="Q85" s="75"/>
      <c r="R85" s="94" t="s">
        <v>234</v>
      </c>
      <c r="S85" s="343">
        <f>'2. 2016. önkormányzat'!I80</f>
        <v>0</v>
      </c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343">
        <f t="shared" si="64"/>
        <v>0</v>
      </c>
      <c r="AS85" s="117"/>
    </row>
    <row r="86" spans="1:52" ht="20.25" customHeight="1" x14ac:dyDescent="0.25">
      <c r="A86" s="75"/>
      <c r="B86" s="70" t="s">
        <v>306</v>
      </c>
      <c r="C86" s="343">
        <f>C84+C85</f>
        <v>0</v>
      </c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343">
        <f t="shared" si="69"/>
        <v>0</v>
      </c>
      <c r="Q86" s="75"/>
      <c r="R86" s="95" t="s">
        <v>244</v>
      </c>
      <c r="S86" s="343">
        <f>S84+S85</f>
        <v>0</v>
      </c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343">
        <f t="shared" si="64"/>
        <v>0</v>
      </c>
      <c r="AS86" s="117"/>
    </row>
    <row r="87" spans="1:52" ht="20.25" customHeight="1" x14ac:dyDescent="0.25">
      <c r="A87" s="75"/>
      <c r="B87" s="70" t="s">
        <v>311</v>
      </c>
      <c r="C87" s="343">
        <f>'2. 2016. önkormányzat'!C82+'3. 2016. hivatal'!C93+'4. 2016. műv.ház'!C93+'5. 2016. forrás'!C93+'6. 2016. szociális'!C93</f>
        <v>53070.51</v>
      </c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>
        <v>0</v>
      </c>
      <c r="O87" s="103"/>
      <c r="P87" s="343">
        <f t="shared" si="69"/>
        <v>0</v>
      </c>
      <c r="Q87" s="75"/>
      <c r="R87" s="95" t="s">
        <v>236</v>
      </c>
      <c r="S87" s="343">
        <f>'2. 2016. önkormányzat'!I82</f>
        <v>9774</v>
      </c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>
        <f>'2. 2016. önkormányzat'!I82</f>
        <v>9774</v>
      </c>
      <c r="AQ87" s="103"/>
      <c r="AR87" s="343">
        <f t="shared" si="64"/>
        <v>9774</v>
      </c>
      <c r="AS87" s="117"/>
    </row>
    <row r="88" spans="1:52" ht="20.25" customHeight="1" x14ac:dyDescent="0.25">
      <c r="A88" s="75"/>
      <c r="B88" s="70" t="s">
        <v>308</v>
      </c>
      <c r="C88" s="343">
        <f>'2. 2016. önkormányzat'!C83+'3. 2016. hivatal'!C94+'4. 2016. műv.ház'!C94+'5. 2016. forrás'!C94+'6. 2016. szociális'!C94</f>
        <v>9774</v>
      </c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>
        <v>9774</v>
      </c>
      <c r="P88" s="343">
        <f t="shared" si="69"/>
        <v>9774</v>
      </c>
      <c r="Q88" s="75"/>
      <c r="R88" s="75" t="s">
        <v>246</v>
      </c>
      <c r="S88" s="342">
        <f>S83+S86+S87</f>
        <v>9774</v>
      </c>
      <c r="T88" s="113">
        <f t="shared" ref="T88:AQ88" si="70">T83+T86+T87</f>
        <v>0</v>
      </c>
      <c r="U88" s="113">
        <f t="shared" si="70"/>
        <v>0</v>
      </c>
      <c r="V88" s="113">
        <f t="shared" si="70"/>
        <v>0</v>
      </c>
      <c r="W88" s="113">
        <f t="shared" si="70"/>
        <v>0</v>
      </c>
      <c r="X88" s="113">
        <f t="shared" si="70"/>
        <v>0</v>
      </c>
      <c r="Y88" s="113">
        <f t="shared" si="70"/>
        <v>0</v>
      </c>
      <c r="Z88" s="113">
        <f t="shared" si="70"/>
        <v>0</v>
      </c>
      <c r="AA88" s="113">
        <f t="shared" si="70"/>
        <v>0</v>
      </c>
      <c r="AB88" s="113">
        <f t="shared" si="70"/>
        <v>0</v>
      </c>
      <c r="AC88" s="113">
        <f t="shared" si="70"/>
        <v>0</v>
      </c>
      <c r="AD88" s="113">
        <f t="shared" ref="AD88" si="71">AD83+AD86+AD87</f>
        <v>0</v>
      </c>
      <c r="AE88" s="113">
        <f t="shared" si="70"/>
        <v>0</v>
      </c>
      <c r="AF88" s="113">
        <f t="shared" si="70"/>
        <v>0</v>
      </c>
      <c r="AG88" s="113">
        <f t="shared" si="70"/>
        <v>0</v>
      </c>
      <c r="AH88" s="113">
        <f t="shared" si="70"/>
        <v>0</v>
      </c>
      <c r="AI88" s="113">
        <f t="shared" si="70"/>
        <v>0</v>
      </c>
      <c r="AJ88" s="113">
        <f t="shared" si="70"/>
        <v>0</v>
      </c>
      <c r="AK88" s="113">
        <f t="shared" si="70"/>
        <v>0</v>
      </c>
      <c r="AL88" s="113">
        <f t="shared" si="70"/>
        <v>0</v>
      </c>
      <c r="AM88" s="113">
        <f t="shared" si="70"/>
        <v>0</v>
      </c>
      <c r="AN88" s="113">
        <f t="shared" si="70"/>
        <v>0</v>
      </c>
      <c r="AO88" s="113"/>
      <c r="AP88" s="113">
        <f t="shared" si="70"/>
        <v>9774</v>
      </c>
      <c r="AQ88" s="113">
        <f t="shared" si="70"/>
        <v>0</v>
      </c>
      <c r="AR88" s="342">
        <f t="shared" si="64"/>
        <v>9774</v>
      </c>
      <c r="AS88" s="117"/>
    </row>
    <row r="89" spans="1:52" ht="20.25" customHeight="1" x14ac:dyDescent="0.25">
      <c r="A89" s="75"/>
      <c r="B89" s="80" t="s">
        <v>310</v>
      </c>
      <c r="C89" s="342">
        <f>C83+C86+C87+C88</f>
        <v>62844.51</v>
      </c>
      <c r="D89" s="113">
        <f t="shared" ref="D89:O89" si="72">D83+D86+D87+D88</f>
        <v>0</v>
      </c>
      <c r="E89" s="113">
        <f t="shared" si="72"/>
        <v>0</v>
      </c>
      <c r="F89" s="113">
        <f t="shared" si="72"/>
        <v>0</v>
      </c>
      <c r="G89" s="113">
        <f t="shared" si="72"/>
        <v>0</v>
      </c>
      <c r="H89" s="113">
        <f t="shared" si="72"/>
        <v>0</v>
      </c>
      <c r="I89" s="113">
        <f t="shared" si="72"/>
        <v>0</v>
      </c>
      <c r="J89" s="113">
        <f t="shared" ref="J89" si="73">J83+J86+J87+J88</f>
        <v>0</v>
      </c>
      <c r="K89" s="113">
        <f t="shared" si="72"/>
        <v>0</v>
      </c>
      <c r="L89" s="113">
        <f t="shared" si="72"/>
        <v>0</v>
      </c>
      <c r="M89" s="113">
        <f t="shared" si="72"/>
        <v>0</v>
      </c>
      <c r="N89" s="113">
        <f t="shared" si="72"/>
        <v>0</v>
      </c>
      <c r="O89" s="113">
        <f t="shared" si="72"/>
        <v>9774</v>
      </c>
      <c r="P89" s="342">
        <f>SUM(D89:O89)</f>
        <v>9774</v>
      </c>
      <c r="Q89" s="75"/>
      <c r="R89" s="95"/>
      <c r="S89" s="34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343">
        <f t="shared" si="64"/>
        <v>0</v>
      </c>
      <c r="AS89" s="117"/>
    </row>
    <row r="90" spans="1:52" ht="20.25" customHeight="1" x14ac:dyDescent="0.25">
      <c r="A90" s="75"/>
      <c r="B90" s="87" t="s">
        <v>666</v>
      </c>
      <c r="C90" s="342">
        <f>-(C76+C88)</f>
        <v>-240540</v>
      </c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>
        <f>-('1. 2016. mindösszesen'!F86+'1. 2016. mindösszesen'!F98)</f>
        <v>-253980</v>
      </c>
      <c r="P90" s="342">
        <f>SUM(D90:O90)</f>
        <v>-253980</v>
      </c>
      <c r="Q90" s="75"/>
      <c r="R90" s="368" t="s">
        <v>666</v>
      </c>
      <c r="S90" s="342">
        <f>-(S75+S87)</f>
        <v>-240540</v>
      </c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>
        <f>-(AP75+AP87)</f>
        <v>-253980</v>
      </c>
      <c r="AQ90" s="113"/>
      <c r="AR90" s="342">
        <f t="shared" si="64"/>
        <v>-253980</v>
      </c>
      <c r="AS90" s="117"/>
    </row>
    <row r="91" spans="1:52" ht="20.25" customHeight="1" x14ac:dyDescent="0.25">
      <c r="A91" s="858" t="s">
        <v>143</v>
      </c>
      <c r="B91" s="858"/>
      <c r="C91" s="349">
        <f>C3+C47+C66+C90+1</f>
        <v>738077.17779999995</v>
      </c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349">
        <f>P3+P47+P66+P90</f>
        <v>855132</v>
      </c>
      <c r="Q91" s="858" t="s">
        <v>144</v>
      </c>
      <c r="R91" s="858"/>
      <c r="S91" s="349">
        <f>S3+S47+S66+S90</f>
        <v>738076.40778521891</v>
      </c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349">
        <f>AR3+AR47+AR66+AR90</f>
        <v>855131.70500000007</v>
      </c>
      <c r="AS91" s="117"/>
    </row>
    <row r="92" spans="1:52" x14ac:dyDescent="0.25">
      <c r="C92" s="355"/>
      <c r="D92" s="355"/>
      <c r="E92" s="355"/>
      <c r="F92" s="355"/>
      <c r="G92" s="355"/>
      <c r="H92" s="355"/>
      <c r="I92" s="355"/>
      <c r="J92" s="355"/>
      <c r="K92" s="355"/>
      <c r="L92" s="355"/>
      <c r="M92" s="355"/>
      <c r="N92" s="355"/>
      <c r="O92" s="355"/>
      <c r="P92" s="355"/>
      <c r="Q92" s="355"/>
      <c r="R92" s="369"/>
      <c r="S92" s="355"/>
      <c r="T92" s="354"/>
      <c r="U92" s="354"/>
      <c r="V92" s="354"/>
      <c r="W92" s="354"/>
      <c r="X92" s="354"/>
      <c r="Y92" s="354"/>
      <c r="Z92" s="354"/>
      <c r="AA92" s="354"/>
      <c r="AB92" s="354"/>
      <c r="AC92" s="354"/>
      <c r="AD92" s="354"/>
      <c r="AE92" s="354"/>
      <c r="AF92" s="354"/>
      <c r="AG92" s="354"/>
      <c r="AH92" s="354"/>
      <c r="AI92" s="354"/>
      <c r="AJ92" s="354"/>
      <c r="AK92" s="354"/>
      <c r="AL92" s="354"/>
      <c r="AM92" s="354"/>
      <c r="AN92" s="354"/>
      <c r="AO92" s="354"/>
      <c r="AP92" s="354"/>
      <c r="AQ92" s="354"/>
      <c r="AR92" s="354"/>
    </row>
    <row r="93" spans="1:52" x14ac:dyDescent="0.25">
      <c r="C93" s="354"/>
      <c r="D93" s="354"/>
      <c r="E93" s="354"/>
      <c r="F93" s="354"/>
      <c r="G93" s="354"/>
      <c r="H93" s="354"/>
      <c r="I93" s="354"/>
      <c r="J93" s="354"/>
      <c r="K93" s="354"/>
      <c r="L93" s="354"/>
      <c r="M93" s="354"/>
      <c r="N93" s="354"/>
      <c r="O93" s="354"/>
      <c r="P93" s="354"/>
      <c r="Q93" s="354"/>
      <c r="R93" s="370"/>
      <c r="S93" s="354"/>
      <c r="T93" s="354"/>
      <c r="U93" s="354"/>
      <c r="V93" s="354"/>
      <c r="W93" s="354"/>
      <c r="X93" s="354"/>
      <c r="Y93" s="354"/>
      <c r="Z93" s="354"/>
      <c r="AA93" s="354"/>
      <c r="AB93" s="354"/>
      <c r="AC93" s="354"/>
      <c r="AD93" s="354"/>
      <c r="AE93" s="354"/>
      <c r="AF93" s="354"/>
      <c r="AG93" s="354"/>
      <c r="AH93" s="354"/>
      <c r="AI93" s="354"/>
      <c r="AJ93" s="354"/>
      <c r="AK93" s="354"/>
      <c r="AL93" s="354"/>
      <c r="AM93" s="354"/>
      <c r="AN93" s="354"/>
      <c r="AO93" s="354"/>
      <c r="AP93" s="354"/>
      <c r="AQ93" s="354"/>
      <c r="AR93" s="354"/>
      <c r="AS93" s="354"/>
      <c r="AT93" s="354"/>
      <c r="AU93" s="354"/>
      <c r="AV93" s="354"/>
      <c r="AW93" s="354"/>
      <c r="AX93" s="354"/>
      <c r="AY93" s="354"/>
      <c r="AZ93" s="354"/>
    </row>
    <row r="94" spans="1:52" x14ac:dyDescent="0.25">
      <c r="C94" s="338">
        <f>C91-S91</f>
        <v>0.77001478103920817</v>
      </c>
      <c r="D94" s="338"/>
      <c r="E94" s="338"/>
      <c r="F94" s="338"/>
      <c r="G94" s="338"/>
      <c r="H94" s="338"/>
      <c r="I94" s="338"/>
      <c r="J94" s="338"/>
      <c r="K94" s="338"/>
      <c r="L94" s="338"/>
      <c r="M94" s="338"/>
      <c r="N94" s="338"/>
      <c r="O94" s="338"/>
      <c r="P94" s="338"/>
      <c r="Q94" s="354"/>
      <c r="R94" s="370"/>
      <c r="S94" s="354"/>
      <c r="T94" s="354"/>
      <c r="U94" s="354"/>
      <c r="V94" s="354"/>
      <c r="W94" s="354"/>
      <c r="X94" s="354"/>
      <c r="Y94" s="354"/>
      <c r="Z94" s="354"/>
      <c r="AA94" s="354"/>
      <c r="AB94" s="354"/>
      <c r="AC94" s="354"/>
      <c r="AD94" s="354"/>
      <c r="AE94" s="354"/>
      <c r="AF94" s="354"/>
      <c r="AG94" s="354"/>
      <c r="AH94" s="354"/>
      <c r="AI94" s="354"/>
      <c r="AJ94" s="354"/>
      <c r="AK94" s="354"/>
      <c r="AL94" s="354"/>
      <c r="AM94" s="354"/>
      <c r="AN94" s="354"/>
      <c r="AO94" s="354"/>
      <c r="AP94" s="354"/>
      <c r="AQ94" s="354"/>
      <c r="AR94" s="338"/>
      <c r="AS94" s="354"/>
      <c r="AT94" s="354"/>
      <c r="AU94" s="354"/>
      <c r="AV94" s="354"/>
      <c r="AW94" s="354"/>
      <c r="AX94" s="354"/>
      <c r="AY94" s="354"/>
      <c r="AZ94" s="354"/>
    </row>
    <row r="95" spans="1:52" x14ac:dyDescent="0.25">
      <c r="C95" s="354"/>
      <c r="D95" s="354"/>
      <c r="E95" s="354"/>
      <c r="F95" s="354"/>
      <c r="G95" s="354"/>
      <c r="H95" s="354"/>
      <c r="I95" s="354"/>
      <c r="J95" s="354"/>
      <c r="K95" s="354"/>
      <c r="L95" s="354"/>
      <c r="M95" s="354"/>
      <c r="N95" s="354"/>
      <c r="O95" s="354"/>
      <c r="P95" s="354"/>
      <c r="Q95" s="354"/>
      <c r="R95" s="370"/>
      <c r="S95" s="354"/>
      <c r="T95" s="354"/>
      <c r="U95" s="354"/>
      <c r="V95" s="354"/>
      <c r="W95" s="354"/>
      <c r="X95" s="354"/>
      <c r="Y95" s="354"/>
      <c r="Z95" s="354"/>
      <c r="AA95" s="354"/>
      <c r="AB95" s="354"/>
      <c r="AC95" s="354"/>
      <c r="AD95" s="354"/>
      <c r="AE95" s="354"/>
      <c r="AF95" s="354"/>
      <c r="AG95" s="354"/>
      <c r="AH95" s="354"/>
      <c r="AI95" s="354"/>
      <c r="AJ95" s="354"/>
      <c r="AK95" s="354"/>
      <c r="AL95" s="354"/>
      <c r="AM95" s="354"/>
      <c r="AN95" s="354"/>
      <c r="AO95" s="354"/>
      <c r="AP95" s="354"/>
      <c r="AQ95" s="354"/>
      <c r="AR95" s="354"/>
      <c r="AS95" s="354"/>
      <c r="AT95" s="354"/>
      <c r="AU95" s="354"/>
      <c r="AV95" s="354"/>
      <c r="AW95" s="354"/>
      <c r="AX95" s="354"/>
      <c r="AY95" s="354"/>
      <c r="AZ95" s="354"/>
    </row>
    <row r="96" spans="1:52" x14ac:dyDescent="0.25">
      <c r="C96" s="354"/>
      <c r="D96" s="354"/>
      <c r="E96" s="354"/>
      <c r="F96" s="354"/>
      <c r="G96" s="354"/>
      <c r="H96" s="354"/>
      <c r="I96" s="354"/>
      <c r="J96" s="354"/>
      <c r="K96" s="354"/>
      <c r="L96" s="354"/>
      <c r="M96" s="354"/>
      <c r="N96" s="354"/>
      <c r="O96" s="354"/>
      <c r="P96" s="354"/>
      <c r="Q96" s="354"/>
      <c r="R96" s="370"/>
      <c r="S96" s="354"/>
      <c r="T96" s="354"/>
      <c r="U96" s="354"/>
      <c r="V96" s="354"/>
      <c r="W96" s="354"/>
      <c r="X96" s="354"/>
      <c r="Y96" s="354"/>
      <c r="Z96" s="354"/>
      <c r="AA96" s="354"/>
      <c r="AB96" s="354"/>
      <c r="AC96" s="354"/>
      <c r="AD96" s="354"/>
      <c r="AE96" s="354"/>
      <c r="AF96" s="354"/>
      <c r="AG96" s="354"/>
      <c r="AH96" s="354"/>
      <c r="AI96" s="354"/>
      <c r="AJ96" s="354"/>
      <c r="AK96" s="354"/>
      <c r="AL96" s="354"/>
      <c r="AM96" s="354"/>
      <c r="AN96" s="354"/>
      <c r="AO96" s="354"/>
      <c r="AP96" s="354"/>
      <c r="AQ96" s="354"/>
      <c r="AR96" s="354"/>
      <c r="AS96" s="354"/>
      <c r="AT96" s="354"/>
      <c r="AU96" s="354"/>
      <c r="AV96" s="354"/>
      <c r="AW96" s="354"/>
      <c r="AX96" s="354"/>
      <c r="AY96" s="354"/>
      <c r="AZ96" s="354"/>
    </row>
    <row r="97" spans="3:52" x14ac:dyDescent="0.25">
      <c r="C97" s="354"/>
      <c r="D97" s="354"/>
      <c r="E97" s="354"/>
      <c r="F97" s="354"/>
      <c r="G97" s="354"/>
      <c r="H97" s="354"/>
      <c r="I97" s="354"/>
      <c r="J97" s="354"/>
      <c r="K97" s="354"/>
      <c r="L97" s="354"/>
      <c r="M97" s="354"/>
      <c r="N97" s="354"/>
      <c r="O97" s="354"/>
      <c r="P97" s="354"/>
      <c r="Q97" s="354"/>
      <c r="R97" s="370"/>
      <c r="S97" s="354"/>
      <c r="T97" s="354"/>
      <c r="U97" s="354"/>
      <c r="V97" s="354"/>
      <c r="W97" s="354"/>
      <c r="X97" s="354"/>
      <c r="Y97" s="354"/>
      <c r="Z97" s="354"/>
      <c r="AA97" s="354"/>
      <c r="AB97" s="354"/>
      <c r="AC97" s="354"/>
      <c r="AD97" s="354"/>
      <c r="AE97" s="354"/>
      <c r="AF97" s="354"/>
      <c r="AG97" s="354"/>
      <c r="AH97" s="354"/>
      <c r="AI97" s="354"/>
      <c r="AJ97" s="354"/>
      <c r="AK97" s="354"/>
      <c r="AL97" s="354"/>
      <c r="AM97" s="354"/>
      <c r="AN97" s="354"/>
      <c r="AO97" s="354"/>
      <c r="AP97" s="354"/>
      <c r="AQ97" s="354"/>
      <c r="AR97" s="354"/>
      <c r="AS97" s="354"/>
      <c r="AT97" s="354"/>
      <c r="AU97" s="354"/>
      <c r="AV97" s="354"/>
      <c r="AW97" s="354"/>
      <c r="AX97" s="354"/>
      <c r="AY97" s="354"/>
      <c r="AZ97" s="354"/>
    </row>
    <row r="98" spans="3:52" x14ac:dyDescent="0.25">
      <c r="C98" s="354"/>
      <c r="D98" s="354"/>
      <c r="E98" s="354"/>
      <c r="F98" s="354"/>
      <c r="G98" s="354"/>
      <c r="H98" s="354"/>
      <c r="I98" s="354"/>
      <c r="J98" s="354"/>
      <c r="K98" s="354"/>
      <c r="L98" s="354"/>
      <c r="M98" s="354"/>
      <c r="N98" s="354"/>
      <c r="O98" s="354"/>
      <c r="P98" s="354"/>
      <c r="Q98" s="354"/>
      <c r="R98" s="370"/>
      <c r="S98" s="354"/>
      <c r="T98" s="354"/>
      <c r="U98" s="354"/>
      <c r="V98" s="354"/>
      <c r="W98" s="354"/>
      <c r="X98" s="354"/>
      <c r="Y98" s="354"/>
      <c r="Z98" s="354"/>
      <c r="AA98" s="354"/>
      <c r="AB98" s="354"/>
      <c r="AC98" s="354"/>
      <c r="AD98" s="354"/>
      <c r="AE98" s="354"/>
      <c r="AF98" s="354"/>
      <c r="AG98" s="354"/>
      <c r="AH98" s="354"/>
      <c r="AI98" s="354"/>
      <c r="AJ98" s="354"/>
      <c r="AK98" s="354"/>
      <c r="AL98" s="354"/>
      <c r="AM98" s="354"/>
      <c r="AN98" s="354"/>
      <c r="AO98" s="354"/>
      <c r="AP98" s="354"/>
      <c r="AQ98" s="354"/>
      <c r="AR98" s="354"/>
      <c r="AS98" s="354"/>
      <c r="AT98" s="354"/>
      <c r="AU98" s="354"/>
      <c r="AV98" s="354"/>
      <c r="AW98" s="354"/>
      <c r="AX98" s="354"/>
      <c r="AY98" s="354"/>
      <c r="AZ98" s="354"/>
    </row>
    <row r="99" spans="3:52" x14ac:dyDescent="0.25">
      <c r="C99" s="354"/>
      <c r="D99" s="354"/>
      <c r="E99" s="354"/>
      <c r="F99" s="354"/>
      <c r="G99" s="354"/>
      <c r="H99" s="354"/>
      <c r="I99" s="354"/>
      <c r="J99" s="354"/>
      <c r="K99" s="354"/>
      <c r="L99" s="354"/>
      <c r="M99" s="354"/>
      <c r="N99" s="354"/>
      <c r="O99" s="354"/>
      <c r="P99" s="354"/>
      <c r="Q99" s="354"/>
      <c r="R99" s="370"/>
      <c r="S99" s="354"/>
      <c r="T99" s="354"/>
      <c r="U99" s="354"/>
      <c r="V99" s="354"/>
      <c r="W99" s="354"/>
      <c r="X99" s="354"/>
      <c r="Y99" s="354"/>
      <c r="Z99" s="354"/>
      <c r="AA99" s="354"/>
      <c r="AB99" s="354"/>
      <c r="AC99" s="354"/>
      <c r="AD99" s="354"/>
      <c r="AE99" s="354"/>
      <c r="AF99" s="354"/>
      <c r="AG99" s="354"/>
      <c r="AH99" s="354"/>
      <c r="AI99" s="354"/>
      <c r="AJ99" s="354"/>
      <c r="AK99" s="354"/>
      <c r="AL99" s="354"/>
      <c r="AM99" s="354"/>
      <c r="AN99" s="354"/>
      <c r="AO99" s="354"/>
      <c r="AP99" s="354"/>
      <c r="AQ99" s="354"/>
      <c r="AR99" s="354"/>
      <c r="AS99" s="354"/>
      <c r="AT99" s="354"/>
      <c r="AU99" s="354"/>
      <c r="AV99" s="354"/>
      <c r="AW99" s="354"/>
      <c r="AX99" s="354"/>
      <c r="AY99" s="354"/>
      <c r="AZ99" s="354"/>
    </row>
    <row r="100" spans="3:52" x14ac:dyDescent="0.25">
      <c r="C100" s="354"/>
      <c r="D100" s="354"/>
      <c r="E100" s="354"/>
      <c r="F100" s="354"/>
      <c r="G100" s="354"/>
      <c r="H100" s="354"/>
      <c r="I100" s="354"/>
      <c r="J100" s="354"/>
      <c r="K100" s="354"/>
      <c r="L100" s="354"/>
      <c r="M100" s="354"/>
      <c r="N100" s="354"/>
      <c r="O100" s="354"/>
      <c r="P100" s="354"/>
      <c r="Q100" s="354"/>
      <c r="R100" s="370"/>
      <c r="S100" s="354"/>
      <c r="T100" s="354"/>
      <c r="U100" s="354"/>
      <c r="V100" s="354"/>
      <c r="W100" s="354"/>
      <c r="X100" s="354"/>
      <c r="Y100" s="354"/>
      <c r="Z100" s="354"/>
      <c r="AA100" s="354"/>
      <c r="AB100" s="354"/>
      <c r="AC100" s="354"/>
      <c r="AD100" s="354"/>
      <c r="AE100" s="354"/>
      <c r="AF100" s="354"/>
      <c r="AG100" s="354"/>
      <c r="AH100" s="354"/>
      <c r="AI100" s="354"/>
      <c r="AJ100" s="354"/>
      <c r="AK100" s="354"/>
      <c r="AL100" s="354"/>
      <c r="AM100" s="354"/>
      <c r="AN100" s="354"/>
      <c r="AO100" s="354"/>
      <c r="AP100" s="354"/>
      <c r="AQ100" s="354"/>
      <c r="AR100" s="354"/>
      <c r="AS100" s="354"/>
      <c r="AT100" s="354"/>
      <c r="AU100" s="354"/>
      <c r="AV100" s="354"/>
      <c r="AW100" s="354"/>
      <c r="AX100" s="354"/>
      <c r="AY100" s="354"/>
      <c r="AZ100" s="354"/>
    </row>
    <row r="101" spans="3:52" x14ac:dyDescent="0.25">
      <c r="C101" s="354"/>
      <c r="D101" s="354"/>
      <c r="E101" s="354"/>
      <c r="F101" s="354"/>
      <c r="G101" s="354"/>
      <c r="H101" s="354"/>
      <c r="I101" s="354"/>
      <c r="J101" s="354"/>
      <c r="K101" s="354"/>
      <c r="L101" s="354"/>
      <c r="M101" s="354"/>
      <c r="N101" s="354"/>
      <c r="O101" s="354"/>
      <c r="P101" s="354"/>
      <c r="Q101" s="354"/>
      <c r="R101" s="370"/>
      <c r="S101" s="354"/>
      <c r="T101" s="354"/>
      <c r="U101" s="354"/>
      <c r="V101" s="354"/>
      <c r="W101" s="354"/>
      <c r="X101" s="354"/>
      <c r="Y101" s="354"/>
      <c r="Z101" s="354"/>
      <c r="AA101" s="354"/>
      <c r="AB101" s="354"/>
      <c r="AC101" s="354"/>
      <c r="AD101" s="354"/>
      <c r="AE101" s="354"/>
      <c r="AF101" s="354"/>
      <c r="AG101" s="354"/>
      <c r="AH101" s="354"/>
      <c r="AI101" s="354"/>
      <c r="AJ101" s="354"/>
      <c r="AK101" s="354"/>
      <c r="AL101" s="354"/>
      <c r="AM101" s="354"/>
      <c r="AN101" s="354"/>
      <c r="AO101" s="354"/>
      <c r="AP101" s="354"/>
      <c r="AQ101" s="354"/>
      <c r="AR101" s="354"/>
      <c r="AS101" s="354"/>
      <c r="AT101" s="354"/>
      <c r="AU101" s="354"/>
      <c r="AV101" s="354"/>
      <c r="AW101" s="354"/>
      <c r="AX101" s="354"/>
      <c r="AY101" s="354"/>
      <c r="AZ101" s="354"/>
    </row>
    <row r="102" spans="3:52" x14ac:dyDescent="0.25">
      <c r="C102" s="354"/>
      <c r="D102" s="354"/>
      <c r="E102" s="354"/>
      <c r="F102" s="354"/>
      <c r="G102" s="354"/>
      <c r="H102" s="354"/>
      <c r="I102" s="354"/>
      <c r="J102" s="354"/>
      <c r="K102" s="354"/>
      <c r="L102" s="354"/>
      <c r="M102" s="354"/>
      <c r="N102" s="354"/>
      <c r="O102" s="354"/>
      <c r="P102" s="354"/>
      <c r="Q102" s="354"/>
      <c r="R102" s="370"/>
      <c r="S102" s="354"/>
      <c r="T102" s="354"/>
      <c r="U102" s="354"/>
      <c r="V102" s="354"/>
      <c r="W102" s="354"/>
      <c r="X102" s="354"/>
      <c r="Y102" s="354"/>
      <c r="Z102" s="354"/>
      <c r="AA102" s="354"/>
      <c r="AB102" s="354"/>
      <c r="AC102" s="354"/>
      <c r="AD102" s="354"/>
      <c r="AE102" s="354"/>
      <c r="AF102" s="354"/>
      <c r="AG102" s="354"/>
      <c r="AH102" s="354"/>
      <c r="AI102" s="354"/>
      <c r="AJ102" s="354"/>
      <c r="AK102" s="354"/>
      <c r="AL102" s="354"/>
      <c r="AM102" s="354"/>
      <c r="AN102" s="354"/>
      <c r="AO102" s="354"/>
      <c r="AP102" s="354"/>
      <c r="AQ102" s="354"/>
      <c r="AR102" s="354"/>
      <c r="AS102" s="354"/>
      <c r="AT102" s="354"/>
      <c r="AU102" s="354"/>
      <c r="AV102" s="354"/>
      <c r="AW102" s="354"/>
      <c r="AX102" s="354"/>
      <c r="AY102" s="354"/>
      <c r="AZ102" s="354"/>
    </row>
    <row r="103" spans="3:52" x14ac:dyDescent="0.25">
      <c r="C103" s="354"/>
      <c r="D103" s="354"/>
      <c r="E103" s="354"/>
      <c r="F103" s="354"/>
      <c r="G103" s="354"/>
      <c r="H103" s="354"/>
      <c r="I103" s="354"/>
      <c r="J103" s="354"/>
      <c r="K103" s="354"/>
      <c r="L103" s="354"/>
      <c r="M103" s="354"/>
      <c r="N103" s="354"/>
      <c r="O103" s="354"/>
      <c r="P103" s="354"/>
      <c r="Q103" s="354"/>
      <c r="R103" s="370"/>
      <c r="S103" s="354"/>
      <c r="T103" s="354"/>
      <c r="U103" s="354"/>
      <c r="V103" s="354"/>
      <c r="W103" s="354"/>
      <c r="X103" s="354"/>
      <c r="Y103" s="354"/>
      <c r="Z103" s="354"/>
      <c r="AA103" s="354"/>
      <c r="AB103" s="354"/>
      <c r="AC103" s="354"/>
      <c r="AD103" s="354"/>
      <c r="AE103" s="354"/>
      <c r="AF103" s="354"/>
      <c r="AG103" s="354"/>
      <c r="AH103" s="354"/>
      <c r="AI103" s="354"/>
      <c r="AJ103" s="354"/>
      <c r="AK103" s="354"/>
      <c r="AL103" s="354"/>
      <c r="AM103" s="354"/>
      <c r="AN103" s="354"/>
      <c r="AO103" s="354"/>
      <c r="AP103" s="354"/>
      <c r="AQ103" s="354"/>
      <c r="AR103" s="354"/>
      <c r="AS103" s="354"/>
      <c r="AT103" s="354"/>
      <c r="AU103" s="354"/>
      <c r="AV103" s="354"/>
      <c r="AW103" s="354"/>
      <c r="AX103" s="354"/>
      <c r="AY103" s="354"/>
      <c r="AZ103" s="354"/>
    </row>
    <row r="104" spans="3:52" x14ac:dyDescent="0.25">
      <c r="C104" s="354"/>
      <c r="D104" s="354"/>
      <c r="E104" s="354"/>
      <c r="F104" s="354"/>
      <c r="G104" s="354"/>
      <c r="H104" s="354"/>
      <c r="I104" s="354"/>
      <c r="J104" s="354"/>
      <c r="K104" s="354"/>
      <c r="L104" s="354"/>
      <c r="M104" s="354"/>
      <c r="N104" s="354"/>
      <c r="O104" s="354"/>
      <c r="P104" s="354"/>
      <c r="Q104" s="354"/>
      <c r="R104" s="370"/>
      <c r="S104" s="354"/>
      <c r="T104" s="354"/>
      <c r="U104" s="354"/>
      <c r="V104" s="354"/>
      <c r="W104" s="354"/>
      <c r="X104" s="354"/>
      <c r="Y104" s="354"/>
      <c r="Z104" s="354"/>
      <c r="AA104" s="354"/>
      <c r="AB104" s="354"/>
      <c r="AC104" s="354"/>
      <c r="AD104" s="354"/>
      <c r="AE104" s="354"/>
      <c r="AF104" s="354"/>
      <c r="AG104" s="354"/>
      <c r="AH104" s="354"/>
      <c r="AI104" s="354"/>
      <c r="AJ104" s="354"/>
      <c r="AK104" s="354"/>
      <c r="AL104" s="354"/>
      <c r="AM104" s="354"/>
      <c r="AN104" s="354"/>
      <c r="AO104" s="354"/>
      <c r="AP104" s="354"/>
      <c r="AQ104" s="354"/>
      <c r="AR104" s="354"/>
      <c r="AS104" s="354"/>
      <c r="AT104" s="354"/>
      <c r="AU104" s="354"/>
      <c r="AV104" s="354"/>
      <c r="AW104" s="354"/>
      <c r="AX104" s="354"/>
      <c r="AY104" s="354"/>
      <c r="AZ104" s="354"/>
    </row>
    <row r="105" spans="3:52" x14ac:dyDescent="0.25">
      <c r="C105" s="354"/>
      <c r="D105" s="354"/>
      <c r="E105" s="354"/>
      <c r="F105" s="354"/>
      <c r="G105" s="354"/>
      <c r="H105" s="354"/>
      <c r="I105" s="354"/>
      <c r="J105" s="354"/>
      <c r="K105" s="354"/>
      <c r="L105" s="354"/>
      <c r="M105" s="354"/>
      <c r="N105" s="354"/>
      <c r="O105" s="354"/>
      <c r="P105" s="354"/>
      <c r="Q105" s="354"/>
      <c r="R105" s="370"/>
      <c r="S105" s="354"/>
      <c r="T105" s="354"/>
      <c r="U105" s="354"/>
      <c r="V105" s="354"/>
      <c r="W105" s="354"/>
      <c r="X105" s="354"/>
      <c r="Y105" s="354"/>
      <c r="Z105" s="354"/>
      <c r="AA105" s="354"/>
      <c r="AB105" s="354"/>
      <c r="AC105" s="354"/>
      <c r="AD105" s="354"/>
      <c r="AE105" s="354"/>
      <c r="AF105" s="354"/>
      <c r="AG105" s="354"/>
      <c r="AH105" s="354"/>
      <c r="AI105" s="354"/>
      <c r="AJ105" s="354"/>
      <c r="AK105" s="354"/>
      <c r="AL105" s="354"/>
      <c r="AM105" s="354"/>
      <c r="AN105" s="354"/>
      <c r="AO105" s="354"/>
      <c r="AP105" s="354"/>
      <c r="AQ105" s="354"/>
      <c r="AR105" s="354"/>
      <c r="AS105" s="354"/>
      <c r="AT105" s="354"/>
      <c r="AU105" s="354"/>
      <c r="AV105" s="354"/>
      <c r="AW105" s="354"/>
      <c r="AX105" s="354"/>
      <c r="AY105" s="354"/>
      <c r="AZ105" s="354"/>
    </row>
    <row r="106" spans="3:52" x14ac:dyDescent="0.25">
      <c r="C106" s="354"/>
      <c r="D106" s="354"/>
      <c r="E106" s="354"/>
      <c r="F106" s="354"/>
      <c r="G106" s="354"/>
      <c r="H106" s="354"/>
      <c r="I106" s="354"/>
      <c r="J106" s="354"/>
      <c r="K106" s="354"/>
      <c r="L106" s="354"/>
      <c r="M106" s="354"/>
      <c r="N106" s="354"/>
      <c r="O106" s="354"/>
      <c r="P106" s="354"/>
      <c r="Q106" s="354"/>
      <c r="R106" s="370"/>
      <c r="S106" s="354"/>
      <c r="T106" s="354"/>
      <c r="U106" s="354"/>
      <c r="V106" s="354"/>
      <c r="W106" s="354"/>
      <c r="X106" s="354"/>
      <c r="Y106" s="354"/>
      <c r="Z106" s="354"/>
      <c r="AA106" s="354"/>
      <c r="AB106" s="354"/>
      <c r="AC106" s="354"/>
      <c r="AD106" s="354"/>
      <c r="AE106" s="354"/>
      <c r="AF106" s="354"/>
      <c r="AG106" s="354"/>
      <c r="AH106" s="354"/>
      <c r="AI106" s="354"/>
      <c r="AJ106" s="354"/>
      <c r="AK106" s="354"/>
      <c r="AL106" s="354"/>
      <c r="AM106" s="354"/>
      <c r="AN106" s="354"/>
      <c r="AO106" s="354"/>
      <c r="AP106" s="354"/>
      <c r="AQ106" s="354"/>
      <c r="AR106" s="354"/>
      <c r="AS106" s="354"/>
      <c r="AT106" s="354"/>
      <c r="AU106" s="354"/>
      <c r="AV106" s="354"/>
      <c r="AW106" s="354"/>
      <c r="AX106" s="354"/>
      <c r="AY106" s="354"/>
      <c r="AZ106" s="354"/>
    </row>
    <row r="107" spans="3:52" x14ac:dyDescent="0.25">
      <c r="C107" s="354"/>
      <c r="D107" s="354"/>
      <c r="E107" s="354"/>
      <c r="F107" s="354"/>
      <c r="G107" s="354"/>
      <c r="H107" s="354"/>
      <c r="I107" s="354"/>
      <c r="J107" s="354"/>
      <c r="K107" s="354"/>
      <c r="L107" s="354"/>
      <c r="M107" s="354"/>
      <c r="N107" s="354"/>
      <c r="O107" s="354"/>
      <c r="P107" s="354"/>
      <c r="Q107" s="354"/>
      <c r="R107" s="370"/>
      <c r="S107" s="354"/>
      <c r="T107" s="354"/>
      <c r="U107" s="354"/>
      <c r="V107" s="354"/>
      <c r="W107" s="354"/>
      <c r="X107" s="354"/>
      <c r="Y107" s="354"/>
      <c r="Z107" s="354"/>
      <c r="AA107" s="354"/>
      <c r="AB107" s="354"/>
      <c r="AC107" s="354"/>
      <c r="AD107" s="354"/>
      <c r="AE107" s="354"/>
      <c r="AF107" s="354"/>
      <c r="AG107" s="354"/>
      <c r="AH107" s="354"/>
      <c r="AI107" s="354"/>
      <c r="AJ107" s="354"/>
      <c r="AK107" s="354"/>
      <c r="AL107" s="354"/>
      <c r="AM107" s="354"/>
      <c r="AN107" s="354"/>
      <c r="AO107" s="354"/>
      <c r="AP107" s="354"/>
      <c r="AQ107" s="354"/>
      <c r="AR107" s="354"/>
      <c r="AS107" s="354"/>
      <c r="AT107" s="354"/>
      <c r="AU107" s="354"/>
      <c r="AV107" s="354"/>
      <c r="AW107" s="354"/>
      <c r="AX107" s="354"/>
      <c r="AY107" s="354"/>
      <c r="AZ107" s="354"/>
    </row>
    <row r="108" spans="3:52" x14ac:dyDescent="0.25">
      <c r="C108" s="354"/>
      <c r="D108" s="354"/>
      <c r="E108" s="354"/>
      <c r="F108" s="354"/>
      <c r="G108" s="354"/>
      <c r="H108" s="354"/>
      <c r="I108" s="354"/>
      <c r="J108" s="354"/>
      <c r="K108" s="354"/>
      <c r="L108" s="354"/>
      <c r="M108" s="354"/>
      <c r="N108" s="354"/>
      <c r="O108" s="354"/>
      <c r="P108" s="354"/>
      <c r="Q108" s="354"/>
      <c r="R108" s="370"/>
      <c r="S108" s="354"/>
      <c r="T108" s="354"/>
      <c r="U108" s="354"/>
      <c r="V108" s="354"/>
      <c r="W108" s="354"/>
      <c r="X108" s="354"/>
      <c r="Y108" s="354"/>
      <c r="Z108" s="354"/>
      <c r="AA108" s="354"/>
      <c r="AB108" s="354"/>
      <c r="AC108" s="354"/>
      <c r="AD108" s="354"/>
      <c r="AE108" s="354"/>
      <c r="AF108" s="354"/>
      <c r="AG108" s="354"/>
      <c r="AH108" s="354"/>
      <c r="AI108" s="354"/>
      <c r="AJ108" s="354"/>
      <c r="AK108" s="354"/>
      <c r="AL108" s="354"/>
      <c r="AM108" s="354"/>
      <c r="AN108" s="354"/>
      <c r="AO108" s="354"/>
      <c r="AP108" s="354"/>
      <c r="AQ108" s="354"/>
      <c r="AR108" s="354"/>
      <c r="AS108" s="354"/>
      <c r="AT108" s="354"/>
      <c r="AU108" s="354"/>
      <c r="AV108" s="354"/>
      <c r="AW108" s="354"/>
      <c r="AX108" s="354"/>
      <c r="AY108" s="354"/>
      <c r="AZ108" s="354"/>
    </row>
    <row r="109" spans="3:52" x14ac:dyDescent="0.25">
      <c r="C109" s="354"/>
      <c r="D109" s="354"/>
      <c r="E109" s="354"/>
      <c r="F109" s="354"/>
      <c r="G109" s="354"/>
      <c r="H109" s="354"/>
      <c r="I109" s="354"/>
      <c r="J109" s="354"/>
      <c r="K109" s="354"/>
      <c r="L109" s="354"/>
      <c r="M109" s="354"/>
      <c r="N109" s="354"/>
      <c r="O109" s="354"/>
      <c r="P109" s="354"/>
      <c r="Q109" s="354"/>
      <c r="R109" s="370"/>
      <c r="S109" s="354"/>
      <c r="T109" s="354"/>
      <c r="U109" s="354"/>
      <c r="V109" s="354"/>
      <c r="W109" s="354"/>
      <c r="X109" s="354"/>
      <c r="Y109" s="354"/>
      <c r="Z109" s="354"/>
      <c r="AA109" s="354"/>
      <c r="AB109" s="354"/>
      <c r="AC109" s="354"/>
      <c r="AD109" s="354"/>
      <c r="AE109" s="354"/>
      <c r="AF109" s="354"/>
      <c r="AG109" s="354"/>
      <c r="AH109" s="354"/>
      <c r="AI109" s="354"/>
      <c r="AJ109" s="354"/>
      <c r="AK109" s="354"/>
      <c r="AL109" s="354"/>
      <c r="AM109" s="354"/>
      <c r="AN109" s="354"/>
      <c r="AO109" s="354"/>
      <c r="AP109" s="354"/>
      <c r="AQ109" s="354"/>
      <c r="AR109" s="354"/>
      <c r="AS109" s="354"/>
      <c r="AT109" s="354"/>
      <c r="AU109" s="354"/>
      <c r="AV109" s="354"/>
      <c r="AW109" s="354"/>
      <c r="AX109" s="354"/>
      <c r="AY109" s="354"/>
      <c r="AZ109" s="354"/>
    </row>
    <row r="110" spans="3:52" x14ac:dyDescent="0.25">
      <c r="C110" s="354"/>
      <c r="D110" s="354"/>
      <c r="E110" s="354"/>
      <c r="F110" s="354"/>
      <c r="G110" s="354"/>
      <c r="H110" s="354"/>
      <c r="I110" s="354"/>
      <c r="J110" s="354"/>
      <c r="K110" s="354"/>
      <c r="L110" s="354"/>
      <c r="M110" s="354"/>
      <c r="N110" s="354"/>
      <c r="O110" s="354"/>
      <c r="P110" s="354"/>
      <c r="Q110" s="354"/>
      <c r="R110" s="370"/>
      <c r="S110" s="354"/>
      <c r="T110" s="354"/>
      <c r="U110" s="354"/>
      <c r="V110" s="354"/>
      <c r="W110" s="354"/>
      <c r="X110" s="354"/>
      <c r="Y110" s="354"/>
      <c r="Z110" s="354"/>
      <c r="AA110" s="354"/>
      <c r="AB110" s="354"/>
      <c r="AC110" s="354"/>
      <c r="AD110" s="354"/>
      <c r="AE110" s="354"/>
      <c r="AF110" s="354"/>
      <c r="AG110" s="354"/>
      <c r="AH110" s="354"/>
      <c r="AI110" s="354"/>
      <c r="AJ110" s="354"/>
      <c r="AK110" s="354"/>
      <c r="AL110" s="354"/>
      <c r="AM110" s="354"/>
      <c r="AN110" s="354"/>
      <c r="AO110" s="354"/>
      <c r="AP110" s="354"/>
      <c r="AQ110" s="354"/>
      <c r="AR110" s="354"/>
      <c r="AS110" s="354"/>
      <c r="AT110" s="354"/>
      <c r="AU110" s="354"/>
      <c r="AV110" s="354"/>
      <c r="AW110" s="354"/>
      <c r="AX110" s="354"/>
      <c r="AY110" s="354"/>
      <c r="AZ110" s="354"/>
    </row>
    <row r="111" spans="3:52" x14ac:dyDescent="0.25">
      <c r="C111" s="354"/>
      <c r="D111" s="354"/>
      <c r="E111" s="354"/>
      <c r="F111" s="354"/>
      <c r="G111" s="354"/>
      <c r="H111" s="354"/>
      <c r="I111" s="354"/>
      <c r="J111" s="354"/>
      <c r="K111" s="354"/>
      <c r="L111" s="354"/>
      <c r="M111" s="354"/>
      <c r="N111" s="354"/>
      <c r="O111" s="354"/>
      <c r="P111" s="354"/>
      <c r="Q111" s="354"/>
      <c r="R111" s="370"/>
      <c r="S111" s="354"/>
      <c r="T111" s="354"/>
      <c r="U111" s="354"/>
      <c r="V111" s="354"/>
      <c r="W111" s="354"/>
      <c r="X111" s="354"/>
      <c r="Y111" s="354"/>
      <c r="Z111" s="354"/>
      <c r="AA111" s="354"/>
      <c r="AB111" s="354"/>
      <c r="AC111" s="354"/>
      <c r="AD111" s="354"/>
      <c r="AE111" s="354"/>
      <c r="AF111" s="354"/>
      <c r="AG111" s="354"/>
      <c r="AH111" s="354"/>
      <c r="AI111" s="354"/>
      <c r="AJ111" s="354"/>
      <c r="AK111" s="354"/>
      <c r="AL111" s="354"/>
      <c r="AM111" s="354"/>
      <c r="AN111" s="354"/>
      <c r="AO111" s="354"/>
      <c r="AP111" s="354"/>
      <c r="AQ111" s="354"/>
      <c r="AR111" s="354"/>
      <c r="AS111" s="354"/>
      <c r="AT111" s="354"/>
      <c r="AU111" s="354"/>
      <c r="AV111" s="354"/>
      <c r="AW111" s="354"/>
      <c r="AX111" s="354"/>
      <c r="AY111" s="354"/>
      <c r="AZ111" s="354"/>
    </row>
    <row r="112" spans="3:52" x14ac:dyDescent="0.25">
      <c r="C112" s="354"/>
      <c r="D112" s="354"/>
      <c r="E112" s="354"/>
      <c r="F112" s="354"/>
      <c r="G112" s="354"/>
      <c r="H112" s="354"/>
      <c r="I112" s="354"/>
      <c r="J112" s="354"/>
      <c r="K112" s="354"/>
      <c r="L112" s="354"/>
      <c r="M112" s="354"/>
      <c r="N112" s="354"/>
      <c r="O112" s="354"/>
      <c r="P112" s="354"/>
      <c r="Q112" s="354"/>
      <c r="R112" s="370"/>
      <c r="S112" s="354"/>
      <c r="T112" s="354"/>
      <c r="U112" s="354"/>
      <c r="V112" s="354"/>
      <c r="W112" s="354"/>
      <c r="X112" s="354"/>
      <c r="Y112" s="354"/>
      <c r="Z112" s="354"/>
      <c r="AA112" s="354"/>
      <c r="AB112" s="354"/>
      <c r="AC112" s="354"/>
      <c r="AD112" s="354"/>
      <c r="AE112" s="354"/>
      <c r="AF112" s="354"/>
      <c r="AG112" s="354"/>
      <c r="AH112" s="354"/>
      <c r="AI112" s="354"/>
      <c r="AJ112" s="354"/>
      <c r="AK112" s="354"/>
      <c r="AL112" s="354"/>
      <c r="AM112" s="354"/>
      <c r="AN112" s="354"/>
      <c r="AO112" s="354"/>
      <c r="AP112" s="354"/>
      <c r="AQ112" s="354"/>
      <c r="AR112" s="354"/>
      <c r="AS112" s="354"/>
      <c r="AT112" s="354"/>
      <c r="AU112" s="354"/>
      <c r="AV112" s="354"/>
      <c r="AW112" s="354"/>
      <c r="AX112" s="354"/>
      <c r="AY112" s="354"/>
      <c r="AZ112" s="354"/>
    </row>
    <row r="113" spans="3:52" x14ac:dyDescent="0.25">
      <c r="C113" s="354"/>
      <c r="D113" s="354"/>
      <c r="E113" s="354"/>
      <c r="F113" s="354"/>
      <c r="G113" s="354"/>
      <c r="H113" s="354"/>
      <c r="I113" s="354"/>
      <c r="J113" s="354"/>
      <c r="K113" s="354"/>
      <c r="L113" s="354"/>
      <c r="M113" s="354"/>
      <c r="N113" s="354"/>
      <c r="O113" s="354"/>
      <c r="P113" s="354"/>
      <c r="Q113" s="354"/>
      <c r="R113" s="370"/>
      <c r="S113" s="354"/>
      <c r="T113" s="354"/>
      <c r="U113" s="354"/>
      <c r="V113" s="354"/>
      <c r="W113" s="354"/>
      <c r="X113" s="354"/>
      <c r="Y113" s="354"/>
      <c r="Z113" s="354"/>
      <c r="AA113" s="354"/>
      <c r="AB113" s="354"/>
      <c r="AC113" s="354"/>
      <c r="AD113" s="354"/>
      <c r="AE113" s="354"/>
      <c r="AF113" s="354"/>
      <c r="AG113" s="354"/>
      <c r="AH113" s="354"/>
      <c r="AI113" s="354"/>
      <c r="AJ113" s="354"/>
      <c r="AK113" s="354"/>
      <c r="AL113" s="354"/>
      <c r="AM113" s="354"/>
      <c r="AN113" s="354"/>
      <c r="AO113" s="354"/>
      <c r="AP113" s="354"/>
      <c r="AQ113" s="354"/>
      <c r="AR113" s="354"/>
      <c r="AS113" s="354"/>
      <c r="AT113" s="354"/>
      <c r="AU113" s="354"/>
      <c r="AV113" s="354"/>
      <c r="AW113" s="354"/>
      <c r="AX113" s="354"/>
      <c r="AY113" s="354"/>
      <c r="AZ113" s="354"/>
    </row>
    <row r="114" spans="3:52" x14ac:dyDescent="0.25">
      <c r="C114" s="354"/>
      <c r="D114" s="354"/>
      <c r="E114" s="354"/>
      <c r="F114" s="354"/>
      <c r="G114" s="354"/>
      <c r="H114" s="354"/>
      <c r="I114" s="354"/>
      <c r="J114" s="354"/>
      <c r="K114" s="354"/>
      <c r="L114" s="354"/>
      <c r="M114" s="354"/>
      <c r="N114" s="354"/>
      <c r="O114" s="354"/>
      <c r="P114" s="354"/>
      <c r="Q114" s="354"/>
      <c r="R114" s="370"/>
      <c r="S114" s="354"/>
      <c r="T114" s="354"/>
      <c r="U114" s="354"/>
      <c r="V114" s="354"/>
      <c r="W114" s="354"/>
      <c r="X114" s="354"/>
      <c r="Y114" s="354"/>
      <c r="Z114" s="354"/>
      <c r="AA114" s="354"/>
      <c r="AB114" s="354"/>
      <c r="AC114" s="354"/>
      <c r="AD114" s="354"/>
      <c r="AE114" s="354"/>
      <c r="AF114" s="354"/>
      <c r="AG114" s="354"/>
      <c r="AH114" s="354"/>
      <c r="AI114" s="354"/>
      <c r="AJ114" s="354"/>
      <c r="AK114" s="354"/>
      <c r="AL114" s="354"/>
      <c r="AM114" s="354"/>
      <c r="AN114" s="354"/>
      <c r="AO114" s="354"/>
      <c r="AP114" s="354"/>
      <c r="AQ114" s="354"/>
      <c r="AR114" s="354"/>
      <c r="AS114" s="354"/>
      <c r="AT114" s="354"/>
      <c r="AU114" s="354"/>
      <c r="AV114" s="354"/>
      <c r="AW114" s="354"/>
      <c r="AX114" s="354"/>
      <c r="AY114" s="354"/>
      <c r="AZ114" s="354"/>
    </row>
    <row r="115" spans="3:52" x14ac:dyDescent="0.25">
      <c r="C115" s="354"/>
      <c r="D115" s="354"/>
      <c r="E115" s="354"/>
      <c r="F115" s="354"/>
      <c r="G115" s="354"/>
      <c r="H115" s="354"/>
      <c r="I115" s="354"/>
      <c r="J115" s="354"/>
      <c r="K115" s="354"/>
      <c r="L115" s="354"/>
      <c r="M115" s="354"/>
      <c r="N115" s="354"/>
      <c r="O115" s="354"/>
      <c r="P115" s="354"/>
      <c r="Q115" s="354"/>
      <c r="R115" s="370"/>
      <c r="S115" s="354"/>
      <c r="T115" s="354"/>
      <c r="U115" s="354"/>
      <c r="V115" s="354"/>
      <c r="W115" s="354"/>
      <c r="X115" s="354"/>
      <c r="Y115" s="354"/>
      <c r="Z115" s="354"/>
      <c r="AA115" s="354"/>
      <c r="AB115" s="354"/>
      <c r="AC115" s="354"/>
      <c r="AD115" s="354"/>
      <c r="AE115" s="354"/>
      <c r="AF115" s="354"/>
      <c r="AG115" s="354"/>
      <c r="AH115" s="354"/>
      <c r="AI115" s="354"/>
      <c r="AJ115" s="354"/>
      <c r="AK115" s="354"/>
      <c r="AL115" s="354"/>
      <c r="AM115" s="354"/>
      <c r="AN115" s="354"/>
      <c r="AO115" s="354"/>
      <c r="AP115" s="354"/>
      <c r="AQ115" s="354"/>
      <c r="AR115" s="354"/>
      <c r="AS115" s="354"/>
      <c r="AT115" s="354"/>
      <c r="AU115" s="354"/>
      <c r="AV115" s="354"/>
      <c r="AW115" s="354"/>
      <c r="AX115" s="354"/>
      <c r="AY115" s="354"/>
      <c r="AZ115" s="354"/>
    </row>
    <row r="116" spans="3:52" x14ac:dyDescent="0.25">
      <c r="C116" s="354"/>
      <c r="D116" s="354"/>
      <c r="E116" s="354"/>
      <c r="F116" s="354"/>
      <c r="G116" s="354"/>
      <c r="H116" s="354"/>
      <c r="I116" s="354"/>
      <c r="J116" s="354"/>
      <c r="K116" s="354"/>
      <c r="L116" s="354"/>
      <c r="M116" s="354"/>
      <c r="N116" s="354"/>
      <c r="O116" s="354"/>
      <c r="P116" s="354"/>
      <c r="Q116" s="354"/>
      <c r="R116" s="370"/>
      <c r="S116" s="354"/>
      <c r="T116" s="354"/>
      <c r="U116" s="354"/>
      <c r="V116" s="354"/>
      <c r="W116" s="354"/>
      <c r="X116" s="354"/>
      <c r="Y116" s="354"/>
      <c r="Z116" s="354"/>
      <c r="AA116" s="354"/>
      <c r="AB116" s="354"/>
      <c r="AC116" s="354"/>
      <c r="AD116" s="354"/>
      <c r="AE116" s="354"/>
      <c r="AF116" s="354"/>
      <c r="AG116" s="354"/>
      <c r="AH116" s="354"/>
      <c r="AI116" s="354"/>
      <c r="AJ116" s="354"/>
      <c r="AK116" s="354"/>
      <c r="AL116" s="354"/>
      <c r="AM116" s="354"/>
      <c r="AN116" s="354"/>
      <c r="AO116" s="354"/>
      <c r="AP116" s="354"/>
      <c r="AQ116" s="354"/>
      <c r="AR116" s="354"/>
      <c r="AS116" s="354"/>
      <c r="AT116" s="354"/>
      <c r="AU116" s="354"/>
      <c r="AV116" s="354"/>
      <c r="AW116" s="354"/>
      <c r="AX116" s="354"/>
      <c r="AY116" s="354"/>
      <c r="AZ116" s="354"/>
    </row>
    <row r="117" spans="3:52" x14ac:dyDescent="0.25">
      <c r="C117" s="354"/>
      <c r="D117" s="354"/>
      <c r="E117" s="354"/>
      <c r="F117" s="354"/>
      <c r="G117" s="354"/>
      <c r="H117" s="354"/>
      <c r="I117" s="354"/>
      <c r="J117" s="354"/>
      <c r="K117" s="354"/>
      <c r="L117" s="354"/>
      <c r="M117" s="354"/>
      <c r="N117" s="354"/>
      <c r="O117" s="354"/>
      <c r="P117" s="354"/>
      <c r="Q117" s="354"/>
      <c r="R117" s="370"/>
      <c r="S117" s="354"/>
      <c r="T117" s="354"/>
      <c r="U117" s="354"/>
      <c r="V117" s="354"/>
      <c r="W117" s="354"/>
      <c r="X117" s="354"/>
      <c r="Y117" s="354"/>
      <c r="Z117" s="354"/>
      <c r="AA117" s="354"/>
      <c r="AB117" s="354"/>
      <c r="AC117" s="354"/>
      <c r="AD117" s="354"/>
      <c r="AE117" s="354"/>
      <c r="AF117" s="354"/>
      <c r="AG117" s="354"/>
      <c r="AH117" s="354"/>
      <c r="AI117" s="354"/>
      <c r="AJ117" s="354"/>
      <c r="AK117" s="354"/>
      <c r="AL117" s="354"/>
      <c r="AM117" s="354"/>
      <c r="AN117" s="354"/>
      <c r="AO117" s="354"/>
      <c r="AP117" s="354"/>
      <c r="AQ117" s="354"/>
      <c r="AR117" s="354"/>
      <c r="AS117" s="354"/>
      <c r="AT117" s="354"/>
      <c r="AU117" s="354"/>
      <c r="AV117" s="354"/>
      <c r="AW117" s="354"/>
      <c r="AX117" s="354"/>
      <c r="AY117" s="354"/>
      <c r="AZ117" s="354"/>
    </row>
    <row r="118" spans="3:52" x14ac:dyDescent="0.25">
      <c r="C118" s="354"/>
      <c r="D118" s="354"/>
      <c r="E118" s="354"/>
      <c r="F118" s="354"/>
      <c r="G118" s="354"/>
      <c r="H118" s="354"/>
      <c r="I118" s="354"/>
      <c r="J118" s="354"/>
      <c r="K118" s="354"/>
      <c r="L118" s="354"/>
      <c r="M118" s="354"/>
      <c r="N118" s="354"/>
      <c r="O118" s="354"/>
      <c r="P118" s="354"/>
      <c r="Q118" s="354"/>
      <c r="R118" s="370"/>
      <c r="S118" s="354"/>
      <c r="T118" s="354"/>
      <c r="U118" s="354"/>
      <c r="V118" s="354"/>
      <c r="W118" s="354"/>
      <c r="X118" s="354"/>
      <c r="Y118" s="354"/>
      <c r="Z118" s="354"/>
      <c r="AA118" s="354"/>
      <c r="AB118" s="354"/>
      <c r="AC118" s="354"/>
      <c r="AD118" s="354"/>
      <c r="AE118" s="354"/>
      <c r="AF118" s="354"/>
      <c r="AG118" s="354"/>
      <c r="AH118" s="354"/>
      <c r="AI118" s="354"/>
      <c r="AJ118" s="354"/>
      <c r="AK118" s="354"/>
      <c r="AL118" s="354"/>
      <c r="AM118" s="354"/>
      <c r="AN118" s="354"/>
      <c r="AO118" s="354"/>
      <c r="AP118" s="354"/>
      <c r="AQ118" s="354"/>
      <c r="AR118" s="354"/>
      <c r="AS118" s="354"/>
      <c r="AT118" s="354"/>
      <c r="AU118" s="354"/>
      <c r="AV118" s="354"/>
      <c r="AW118" s="354"/>
      <c r="AX118" s="354"/>
      <c r="AY118" s="354"/>
      <c r="AZ118" s="354"/>
    </row>
    <row r="119" spans="3:52" x14ac:dyDescent="0.25">
      <c r="C119" s="354"/>
      <c r="D119" s="354"/>
      <c r="E119" s="354"/>
      <c r="F119" s="354"/>
      <c r="G119" s="354"/>
      <c r="H119" s="354"/>
      <c r="I119" s="354"/>
      <c r="J119" s="354"/>
      <c r="K119" s="354"/>
      <c r="L119" s="354"/>
      <c r="M119" s="354"/>
      <c r="N119" s="354"/>
      <c r="O119" s="354"/>
      <c r="P119" s="354"/>
      <c r="Q119" s="354"/>
      <c r="R119" s="370"/>
      <c r="S119" s="354"/>
      <c r="T119" s="354"/>
      <c r="U119" s="354"/>
      <c r="V119" s="354"/>
      <c r="W119" s="354"/>
      <c r="X119" s="354"/>
      <c r="Y119" s="354"/>
      <c r="Z119" s="354"/>
      <c r="AA119" s="354"/>
      <c r="AB119" s="354"/>
      <c r="AC119" s="354"/>
      <c r="AD119" s="354"/>
      <c r="AE119" s="354"/>
      <c r="AF119" s="354"/>
      <c r="AG119" s="354"/>
      <c r="AH119" s="354"/>
      <c r="AI119" s="354"/>
      <c r="AJ119" s="354"/>
      <c r="AK119" s="354"/>
      <c r="AL119" s="354"/>
      <c r="AM119" s="354"/>
      <c r="AN119" s="354"/>
      <c r="AO119" s="354"/>
      <c r="AP119" s="354"/>
      <c r="AQ119" s="354"/>
      <c r="AR119" s="354"/>
      <c r="AS119" s="354"/>
      <c r="AT119" s="354"/>
      <c r="AU119" s="354"/>
      <c r="AV119" s="354"/>
      <c r="AW119" s="354"/>
      <c r="AX119" s="354"/>
      <c r="AY119" s="354"/>
      <c r="AZ119" s="354"/>
    </row>
    <row r="120" spans="3:52" x14ac:dyDescent="0.25">
      <c r="C120" s="354"/>
      <c r="D120" s="354"/>
      <c r="E120" s="354"/>
      <c r="F120" s="354"/>
      <c r="G120" s="354"/>
      <c r="H120" s="354"/>
      <c r="I120" s="354"/>
      <c r="J120" s="354"/>
      <c r="K120" s="354"/>
      <c r="L120" s="354"/>
      <c r="M120" s="354"/>
      <c r="N120" s="354"/>
      <c r="O120" s="354"/>
      <c r="P120" s="354"/>
      <c r="Q120" s="354"/>
      <c r="R120" s="370"/>
      <c r="S120" s="354"/>
      <c r="T120" s="354"/>
      <c r="U120" s="354"/>
      <c r="V120" s="354"/>
      <c r="W120" s="354"/>
      <c r="X120" s="354"/>
      <c r="Y120" s="354"/>
      <c r="Z120" s="354"/>
      <c r="AA120" s="354"/>
      <c r="AB120" s="354"/>
      <c r="AC120" s="354"/>
      <c r="AD120" s="354"/>
      <c r="AE120" s="354"/>
      <c r="AF120" s="354"/>
      <c r="AG120" s="354"/>
      <c r="AH120" s="354"/>
      <c r="AI120" s="354"/>
      <c r="AJ120" s="354"/>
      <c r="AK120" s="354"/>
      <c r="AL120" s="354"/>
      <c r="AM120" s="354"/>
      <c r="AN120" s="354"/>
      <c r="AO120" s="354"/>
      <c r="AP120" s="354"/>
      <c r="AQ120" s="354"/>
      <c r="AR120" s="354"/>
      <c r="AS120" s="354"/>
      <c r="AT120" s="354"/>
      <c r="AU120" s="354"/>
      <c r="AV120" s="354"/>
      <c r="AW120" s="354"/>
      <c r="AX120" s="354"/>
      <c r="AY120" s="354"/>
      <c r="AZ120" s="354"/>
    </row>
    <row r="121" spans="3:52" x14ac:dyDescent="0.25">
      <c r="C121" s="354"/>
      <c r="D121" s="354"/>
      <c r="E121" s="354"/>
      <c r="F121" s="354"/>
      <c r="G121" s="354"/>
      <c r="H121" s="354"/>
      <c r="I121" s="354"/>
      <c r="J121" s="354"/>
      <c r="K121" s="354"/>
      <c r="L121" s="354"/>
      <c r="M121" s="354"/>
      <c r="N121" s="354"/>
      <c r="O121" s="354"/>
      <c r="P121" s="354"/>
      <c r="Q121" s="354"/>
      <c r="R121" s="370"/>
      <c r="S121" s="354"/>
      <c r="T121" s="354"/>
      <c r="U121" s="354"/>
      <c r="V121" s="354"/>
      <c r="W121" s="354"/>
      <c r="X121" s="354"/>
      <c r="Y121" s="354"/>
      <c r="Z121" s="354"/>
      <c r="AA121" s="354"/>
      <c r="AB121" s="354"/>
      <c r="AC121" s="354"/>
      <c r="AD121" s="354"/>
      <c r="AE121" s="354"/>
      <c r="AF121" s="354"/>
      <c r="AG121" s="354"/>
      <c r="AH121" s="354"/>
      <c r="AI121" s="354"/>
      <c r="AJ121" s="354"/>
      <c r="AK121" s="354"/>
      <c r="AL121" s="354"/>
      <c r="AM121" s="354"/>
      <c r="AN121" s="354"/>
      <c r="AO121" s="354"/>
      <c r="AP121" s="354"/>
      <c r="AQ121" s="354"/>
      <c r="AR121" s="354"/>
      <c r="AS121" s="354"/>
      <c r="AT121" s="354"/>
      <c r="AU121" s="354"/>
      <c r="AV121" s="354"/>
      <c r="AW121" s="354"/>
      <c r="AX121" s="354"/>
      <c r="AY121" s="354"/>
      <c r="AZ121" s="354"/>
    </row>
    <row r="122" spans="3:52" x14ac:dyDescent="0.25">
      <c r="C122" s="354"/>
      <c r="D122" s="354"/>
      <c r="E122" s="354"/>
      <c r="F122" s="354"/>
      <c r="G122" s="354"/>
      <c r="H122" s="354"/>
      <c r="I122" s="354"/>
      <c r="J122" s="354"/>
      <c r="K122" s="354"/>
      <c r="L122" s="354"/>
      <c r="M122" s="354"/>
      <c r="N122" s="354"/>
      <c r="O122" s="354"/>
      <c r="P122" s="354"/>
      <c r="Q122" s="354"/>
      <c r="R122" s="370"/>
      <c r="S122" s="354"/>
      <c r="T122" s="354"/>
      <c r="U122" s="354"/>
      <c r="V122" s="354"/>
      <c r="W122" s="354"/>
      <c r="X122" s="354"/>
      <c r="Y122" s="354"/>
      <c r="Z122" s="354"/>
      <c r="AA122" s="354"/>
      <c r="AB122" s="354"/>
      <c r="AC122" s="354"/>
      <c r="AD122" s="354"/>
      <c r="AE122" s="354"/>
      <c r="AF122" s="354"/>
      <c r="AG122" s="354"/>
      <c r="AH122" s="354"/>
      <c r="AI122" s="354"/>
      <c r="AJ122" s="354"/>
      <c r="AK122" s="354"/>
      <c r="AL122" s="354"/>
      <c r="AM122" s="354"/>
      <c r="AN122" s="354"/>
      <c r="AO122" s="354"/>
      <c r="AP122" s="354"/>
      <c r="AQ122" s="354"/>
      <c r="AR122" s="354"/>
      <c r="AS122" s="354"/>
      <c r="AT122" s="354"/>
      <c r="AU122" s="354"/>
      <c r="AV122" s="354"/>
      <c r="AW122" s="354"/>
      <c r="AX122" s="354"/>
      <c r="AY122" s="354"/>
      <c r="AZ122" s="354"/>
    </row>
    <row r="123" spans="3:52" x14ac:dyDescent="0.25">
      <c r="C123" s="354"/>
      <c r="D123" s="354"/>
      <c r="E123" s="354"/>
      <c r="F123" s="354"/>
      <c r="G123" s="354"/>
      <c r="H123" s="354"/>
      <c r="I123" s="354"/>
      <c r="J123" s="354"/>
      <c r="K123" s="354"/>
      <c r="L123" s="354"/>
      <c r="M123" s="354"/>
      <c r="N123" s="354"/>
      <c r="O123" s="354"/>
      <c r="P123" s="354"/>
      <c r="Q123" s="354"/>
      <c r="R123" s="370"/>
      <c r="S123" s="354"/>
      <c r="T123" s="354"/>
      <c r="U123" s="354"/>
      <c r="V123" s="354"/>
      <c r="W123" s="354"/>
      <c r="X123" s="354"/>
      <c r="Y123" s="354"/>
      <c r="Z123" s="354"/>
      <c r="AA123" s="354"/>
      <c r="AB123" s="354"/>
      <c r="AC123" s="354"/>
      <c r="AD123" s="354"/>
      <c r="AE123" s="354"/>
      <c r="AF123" s="354"/>
      <c r="AG123" s="354"/>
      <c r="AH123" s="354"/>
      <c r="AI123" s="354"/>
      <c r="AJ123" s="354"/>
      <c r="AK123" s="354"/>
      <c r="AL123" s="354"/>
      <c r="AM123" s="354"/>
      <c r="AN123" s="354"/>
      <c r="AO123" s="354"/>
      <c r="AP123" s="354"/>
      <c r="AQ123" s="354"/>
      <c r="AR123" s="354"/>
      <c r="AS123" s="354"/>
      <c r="AT123" s="354"/>
      <c r="AU123" s="354"/>
      <c r="AV123" s="354"/>
      <c r="AW123" s="354"/>
      <c r="AX123" s="354"/>
      <c r="AY123" s="354"/>
      <c r="AZ123" s="354"/>
    </row>
    <row r="124" spans="3:52" x14ac:dyDescent="0.25">
      <c r="C124" s="354"/>
      <c r="D124" s="354"/>
      <c r="E124" s="354"/>
      <c r="F124" s="354"/>
      <c r="G124" s="354"/>
      <c r="H124" s="354"/>
      <c r="I124" s="354"/>
      <c r="J124" s="354"/>
      <c r="K124" s="354"/>
      <c r="L124" s="354"/>
      <c r="M124" s="354"/>
      <c r="N124" s="354"/>
      <c r="O124" s="354"/>
      <c r="P124" s="354"/>
      <c r="Q124" s="354"/>
      <c r="R124" s="370"/>
      <c r="S124" s="354"/>
      <c r="T124" s="354"/>
      <c r="U124" s="354"/>
      <c r="V124" s="354"/>
      <c r="W124" s="354"/>
      <c r="X124" s="354"/>
      <c r="Y124" s="354"/>
      <c r="Z124" s="354"/>
      <c r="AA124" s="354"/>
      <c r="AB124" s="354"/>
      <c r="AC124" s="354"/>
      <c r="AD124" s="354"/>
      <c r="AE124" s="354"/>
      <c r="AF124" s="354"/>
      <c r="AG124" s="354"/>
      <c r="AH124" s="354"/>
      <c r="AI124" s="354"/>
      <c r="AJ124" s="354"/>
      <c r="AK124" s="354"/>
      <c r="AL124" s="354"/>
      <c r="AM124" s="354"/>
      <c r="AN124" s="354"/>
      <c r="AO124" s="354"/>
      <c r="AP124" s="354"/>
      <c r="AQ124" s="354"/>
      <c r="AR124" s="354"/>
      <c r="AS124" s="354"/>
      <c r="AT124" s="354"/>
      <c r="AU124" s="354"/>
      <c r="AV124" s="354"/>
      <c r="AW124" s="354"/>
      <c r="AX124" s="354"/>
      <c r="AY124" s="354"/>
      <c r="AZ124" s="354"/>
    </row>
    <row r="125" spans="3:52" x14ac:dyDescent="0.25">
      <c r="C125" s="354"/>
      <c r="D125" s="354"/>
      <c r="E125" s="354"/>
      <c r="F125" s="354"/>
      <c r="G125" s="354"/>
      <c r="H125" s="354"/>
      <c r="I125" s="354"/>
      <c r="J125" s="354"/>
      <c r="K125" s="354"/>
      <c r="L125" s="354"/>
      <c r="M125" s="354"/>
      <c r="N125" s="354"/>
      <c r="O125" s="354"/>
      <c r="P125" s="354"/>
      <c r="Q125" s="354"/>
      <c r="R125" s="370"/>
      <c r="S125" s="354"/>
      <c r="T125" s="354"/>
      <c r="U125" s="354"/>
      <c r="V125" s="354"/>
      <c r="W125" s="354"/>
      <c r="X125" s="354"/>
      <c r="Y125" s="354"/>
      <c r="Z125" s="354"/>
      <c r="AA125" s="354"/>
      <c r="AB125" s="354"/>
      <c r="AC125" s="354"/>
      <c r="AD125" s="354"/>
      <c r="AE125" s="354"/>
      <c r="AF125" s="354"/>
      <c r="AG125" s="354"/>
      <c r="AH125" s="354"/>
      <c r="AI125" s="354"/>
      <c r="AJ125" s="354"/>
      <c r="AK125" s="354"/>
      <c r="AL125" s="354"/>
      <c r="AM125" s="354"/>
      <c r="AN125" s="354"/>
      <c r="AO125" s="354"/>
      <c r="AP125" s="354"/>
      <c r="AQ125" s="354"/>
      <c r="AR125" s="354"/>
      <c r="AS125" s="354"/>
      <c r="AT125" s="354"/>
      <c r="AU125" s="354"/>
      <c r="AV125" s="354"/>
      <c r="AW125" s="354"/>
      <c r="AX125" s="354"/>
      <c r="AY125" s="354"/>
      <c r="AZ125" s="354"/>
    </row>
    <row r="126" spans="3:52" x14ac:dyDescent="0.25">
      <c r="C126" s="354"/>
      <c r="D126" s="354"/>
      <c r="E126" s="354"/>
      <c r="F126" s="354"/>
      <c r="G126" s="354"/>
      <c r="H126" s="354"/>
      <c r="I126" s="354"/>
      <c r="J126" s="354"/>
      <c r="K126" s="354"/>
      <c r="L126" s="354"/>
      <c r="M126" s="354"/>
      <c r="N126" s="354"/>
      <c r="O126" s="354"/>
      <c r="P126" s="354"/>
      <c r="Q126" s="354"/>
      <c r="R126" s="370"/>
      <c r="S126" s="354"/>
      <c r="T126" s="354"/>
      <c r="U126" s="354"/>
      <c r="V126" s="354"/>
      <c r="W126" s="354"/>
      <c r="X126" s="354"/>
      <c r="Y126" s="354"/>
      <c r="Z126" s="354"/>
      <c r="AA126" s="354"/>
      <c r="AB126" s="354"/>
      <c r="AC126" s="354"/>
      <c r="AD126" s="354"/>
      <c r="AE126" s="354"/>
      <c r="AF126" s="354"/>
      <c r="AG126" s="354"/>
      <c r="AH126" s="354"/>
      <c r="AI126" s="354"/>
      <c r="AJ126" s="354"/>
      <c r="AK126" s="354"/>
      <c r="AL126" s="354"/>
      <c r="AM126" s="354"/>
      <c r="AN126" s="354"/>
      <c r="AO126" s="354"/>
      <c r="AP126" s="354"/>
      <c r="AQ126" s="354"/>
      <c r="AR126" s="354"/>
      <c r="AS126" s="354"/>
      <c r="AT126" s="354"/>
      <c r="AU126" s="354"/>
      <c r="AV126" s="354"/>
      <c r="AW126" s="354"/>
      <c r="AX126" s="354"/>
      <c r="AY126" s="354"/>
      <c r="AZ126" s="354"/>
    </row>
    <row r="127" spans="3:52" x14ac:dyDescent="0.25">
      <c r="C127" s="354"/>
      <c r="D127" s="354"/>
      <c r="E127" s="354"/>
      <c r="F127" s="354"/>
      <c r="G127" s="354"/>
      <c r="H127" s="354"/>
      <c r="I127" s="354"/>
      <c r="J127" s="354"/>
      <c r="K127" s="354"/>
      <c r="L127" s="354"/>
      <c r="M127" s="354"/>
      <c r="N127" s="354"/>
      <c r="O127" s="354"/>
      <c r="P127" s="354"/>
      <c r="Q127" s="354"/>
      <c r="R127" s="370"/>
      <c r="S127" s="354"/>
      <c r="T127" s="354"/>
      <c r="U127" s="354"/>
      <c r="V127" s="354"/>
      <c r="W127" s="354"/>
      <c r="X127" s="354"/>
      <c r="Y127" s="354"/>
      <c r="Z127" s="354"/>
      <c r="AA127" s="354"/>
      <c r="AB127" s="354"/>
      <c r="AC127" s="354"/>
      <c r="AD127" s="354"/>
      <c r="AE127" s="354"/>
      <c r="AF127" s="354"/>
      <c r="AG127" s="354"/>
      <c r="AH127" s="354"/>
      <c r="AI127" s="354"/>
      <c r="AJ127" s="354"/>
      <c r="AK127" s="354"/>
      <c r="AL127" s="354"/>
      <c r="AM127" s="354"/>
      <c r="AN127" s="354"/>
      <c r="AO127" s="354"/>
      <c r="AP127" s="354"/>
      <c r="AQ127" s="354"/>
      <c r="AR127" s="354"/>
      <c r="AS127" s="354"/>
      <c r="AT127" s="354"/>
      <c r="AU127" s="354"/>
      <c r="AV127" s="354"/>
      <c r="AW127" s="354"/>
      <c r="AX127" s="354"/>
      <c r="AY127" s="354"/>
      <c r="AZ127" s="354"/>
    </row>
    <row r="128" spans="3:52" x14ac:dyDescent="0.25">
      <c r="C128" s="354"/>
      <c r="D128" s="354"/>
      <c r="E128" s="354"/>
      <c r="F128" s="354"/>
      <c r="G128" s="354"/>
      <c r="H128" s="354"/>
      <c r="I128" s="354"/>
      <c r="J128" s="354"/>
      <c r="K128" s="354"/>
      <c r="L128" s="354"/>
      <c r="M128" s="354"/>
      <c r="N128" s="354"/>
      <c r="O128" s="354"/>
      <c r="P128" s="354"/>
      <c r="Q128" s="354"/>
      <c r="R128" s="370"/>
      <c r="S128" s="354"/>
      <c r="T128" s="354"/>
      <c r="U128" s="354"/>
      <c r="V128" s="354"/>
      <c r="W128" s="354"/>
      <c r="X128" s="354"/>
      <c r="Y128" s="354"/>
      <c r="Z128" s="354"/>
      <c r="AA128" s="354"/>
      <c r="AB128" s="354"/>
      <c r="AC128" s="354"/>
      <c r="AD128" s="354"/>
      <c r="AE128" s="354"/>
      <c r="AF128" s="354"/>
      <c r="AG128" s="354"/>
      <c r="AH128" s="354"/>
      <c r="AI128" s="354"/>
      <c r="AJ128" s="354"/>
      <c r="AK128" s="354"/>
      <c r="AL128" s="354"/>
      <c r="AM128" s="354"/>
      <c r="AN128" s="354"/>
      <c r="AO128" s="354"/>
      <c r="AP128" s="354"/>
      <c r="AQ128" s="354"/>
      <c r="AR128" s="354"/>
      <c r="AS128" s="354"/>
      <c r="AT128" s="354"/>
      <c r="AU128" s="354"/>
      <c r="AV128" s="354"/>
      <c r="AW128" s="354"/>
      <c r="AX128" s="354"/>
      <c r="AY128" s="354"/>
      <c r="AZ128" s="354"/>
    </row>
    <row r="129" spans="3:52" x14ac:dyDescent="0.25">
      <c r="C129" s="354"/>
      <c r="D129" s="354"/>
      <c r="E129" s="354"/>
      <c r="F129" s="354"/>
      <c r="G129" s="354"/>
      <c r="H129" s="354"/>
      <c r="I129" s="354"/>
      <c r="J129" s="354"/>
      <c r="K129" s="354"/>
      <c r="L129" s="354"/>
      <c r="M129" s="354"/>
      <c r="N129" s="354"/>
      <c r="O129" s="354"/>
      <c r="P129" s="354"/>
      <c r="Q129" s="354"/>
      <c r="R129" s="370"/>
      <c r="S129" s="354"/>
      <c r="T129" s="354"/>
      <c r="U129" s="354"/>
      <c r="V129" s="354"/>
      <c r="W129" s="354"/>
      <c r="X129" s="354"/>
      <c r="Y129" s="354"/>
      <c r="Z129" s="354"/>
      <c r="AA129" s="354"/>
      <c r="AB129" s="354"/>
      <c r="AC129" s="354"/>
      <c r="AD129" s="354"/>
      <c r="AE129" s="354"/>
      <c r="AF129" s="354"/>
      <c r="AG129" s="354"/>
      <c r="AH129" s="354"/>
      <c r="AI129" s="354"/>
      <c r="AJ129" s="354"/>
      <c r="AK129" s="354"/>
      <c r="AL129" s="354"/>
      <c r="AM129" s="354"/>
      <c r="AN129" s="354"/>
      <c r="AO129" s="354"/>
      <c r="AP129" s="354"/>
      <c r="AQ129" s="354"/>
      <c r="AR129" s="354"/>
      <c r="AS129" s="354"/>
      <c r="AT129" s="354"/>
      <c r="AU129" s="354"/>
      <c r="AV129" s="354"/>
      <c r="AW129" s="354"/>
      <c r="AX129" s="354"/>
      <c r="AY129" s="354"/>
      <c r="AZ129" s="354"/>
    </row>
    <row r="130" spans="3:52" x14ac:dyDescent="0.25">
      <c r="C130" s="354"/>
      <c r="D130" s="354"/>
      <c r="E130" s="354"/>
      <c r="F130" s="354"/>
      <c r="G130" s="354"/>
      <c r="H130" s="354"/>
      <c r="I130" s="354"/>
      <c r="J130" s="354"/>
      <c r="K130" s="354"/>
      <c r="L130" s="354"/>
      <c r="M130" s="354"/>
      <c r="N130" s="354"/>
      <c r="O130" s="354"/>
      <c r="P130" s="354"/>
      <c r="Q130" s="354"/>
      <c r="R130" s="370"/>
      <c r="S130" s="354"/>
      <c r="T130" s="354"/>
      <c r="U130" s="354"/>
      <c r="V130" s="354"/>
      <c r="W130" s="354"/>
      <c r="X130" s="354"/>
      <c r="Y130" s="354"/>
      <c r="Z130" s="354"/>
      <c r="AA130" s="354"/>
      <c r="AB130" s="354"/>
      <c r="AC130" s="354"/>
      <c r="AD130" s="354"/>
      <c r="AE130" s="354"/>
      <c r="AF130" s="354"/>
      <c r="AG130" s="354"/>
      <c r="AH130" s="354"/>
      <c r="AI130" s="354"/>
      <c r="AJ130" s="354"/>
      <c r="AK130" s="354"/>
      <c r="AL130" s="354"/>
      <c r="AM130" s="354"/>
      <c r="AN130" s="354"/>
      <c r="AO130" s="354"/>
      <c r="AP130" s="354"/>
      <c r="AQ130" s="354"/>
      <c r="AR130" s="354"/>
      <c r="AS130" s="354"/>
      <c r="AT130" s="354"/>
      <c r="AU130" s="354"/>
      <c r="AV130" s="354"/>
      <c r="AW130" s="354"/>
      <c r="AX130" s="354"/>
      <c r="AY130" s="354"/>
      <c r="AZ130" s="354"/>
    </row>
    <row r="131" spans="3:52" x14ac:dyDescent="0.25">
      <c r="C131" s="354"/>
      <c r="D131" s="354"/>
      <c r="E131" s="354"/>
      <c r="F131" s="354"/>
      <c r="G131" s="354"/>
      <c r="H131" s="354"/>
      <c r="I131" s="354"/>
      <c r="J131" s="354"/>
      <c r="K131" s="354"/>
      <c r="L131" s="354"/>
      <c r="M131" s="354"/>
      <c r="N131" s="354"/>
      <c r="O131" s="354"/>
      <c r="P131" s="354"/>
      <c r="Q131" s="354"/>
      <c r="R131" s="370"/>
      <c r="S131" s="354"/>
      <c r="T131" s="354"/>
      <c r="U131" s="354"/>
      <c r="V131" s="354"/>
      <c r="W131" s="354"/>
      <c r="X131" s="354"/>
      <c r="Y131" s="354"/>
      <c r="Z131" s="354"/>
      <c r="AA131" s="354"/>
      <c r="AB131" s="354"/>
      <c r="AC131" s="354"/>
      <c r="AD131" s="354"/>
      <c r="AE131" s="354"/>
      <c r="AF131" s="354"/>
      <c r="AG131" s="354"/>
      <c r="AH131" s="354"/>
      <c r="AI131" s="354"/>
      <c r="AJ131" s="354"/>
      <c r="AK131" s="354"/>
      <c r="AL131" s="354"/>
      <c r="AM131" s="354"/>
      <c r="AN131" s="354"/>
      <c r="AO131" s="354"/>
      <c r="AP131" s="354"/>
      <c r="AQ131" s="354"/>
      <c r="AR131" s="354"/>
      <c r="AS131" s="354"/>
      <c r="AT131" s="354"/>
      <c r="AU131" s="354"/>
      <c r="AV131" s="354"/>
      <c r="AW131" s="354"/>
      <c r="AX131" s="354"/>
      <c r="AY131" s="354"/>
      <c r="AZ131" s="354"/>
    </row>
    <row r="132" spans="3:52" x14ac:dyDescent="0.25">
      <c r="C132" s="354"/>
      <c r="D132" s="354"/>
      <c r="E132" s="354"/>
      <c r="F132" s="354"/>
      <c r="G132" s="354"/>
      <c r="H132" s="354"/>
      <c r="I132" s="354"/>
      <c r="J132" s="354"/>
      <c r="K132" s="354"/>
      <c r="L132" s="354"/>
      <c r="M132" s="354"/>
      <c r="N132" s="354"/>
      <c r="O132" s="354"/>
      <c r="P132" s="354"/>
      <c r="Q132" s="354"/>
      <c r="R132" s="370"/>
      <c r="S132" s="354"/>
      <c r="T132" s="354"/>
      <c r="U132" s="354"/>
      <c r="V132" s="354"/>
      <c r="W132" s="354"/>
      <c r="X132" s="354"/>
      <c r="Y132" s="354"/>
      <c r="Z132" s="354"/>
      <c r="AA132" s="354"/>
      <c r="AB132" s="354"/>
      <c r="AC132" s="354"/>
      <c r="AD132" s="354"/>
      <c r="AE132" s="354"/>
      <c r="AF132" s="354"/>
      <c r="AG132" s="354"/>
      <c r="AH132" s="354"/>
      <c r="AI132" s="354"/>
      <c r="AJ132" s="354"/>
      <c r="AK132" s="354"/>
      <c r="AL132" s="354"/>
      <c r="AM132" s="354"/>
      <c r="AN132" s="354"/>
      <c r="AO132" s="354"/>
      <c r="AP132" s="354"/>
      <c r="AQ132" s="354"/>
      <c r="AR132" s="354"/>
      <c r="AS132" s="354"/>
      <c r="AT132" s="354"/>
      <c r="AU132" s="354"/>
      <c r="AV132" s="354"/>
      <c r="AW132" s="354"/>
      <c r="AX132" s="354"/>
      <c r="AY132" s="354"/>
      <c r="AZ132" s="354"/>
    </row>
    <row r="133" spans="3:52" x14ac:dyDescent="0.25">
      <c r="C133" s="354"/>
      <c r="D133" s="354"/>
      <c r="E133" s="354"/>
      <c r="F133" s="354"/>
      <c r="G133" s="354"/>
      <c r="H133" s="354"/>
      <c r="I133" s="354"/>
      <c r="J133" s="354"/>
      <c r="K133" s="354"/>
      <c r="L133" s="354"/>
      <c r="M133" s="354"/>
      <c r="N133" s="354"/>
      <c r="O133" s="354"/>
      <c r="P133" s="354"/>
      <c r="Q133" s="354"/>
      <c r="R133" s="370"/>
      <c r="S133" s="354"/>
      <c r="T133" s="354"/>
      <c r="U133" s="354"/>
      <c r="V133" s="354"/>
      <c r="W133" s="354"/>
      <c r="X133" s="354"/>
      <c r="Y133" s="354"/>
      <c r="Z133" s="354"/>
      <c r="AA133" s="354"/>
      <c r="AB133" s="354"/>
      <c r="AC133" s="354"/>
      <c r="AD133" s="354"/>
      <c r="AE133" s="354"/>
      <c r="AF133" s="354"/>
      <c r="AG133" s="354"/>
      <c r="AH133" s="354"/>
      <c r="AI133" s="354"/>
      <c r="AJ133" s="354"/>
      <c r="AK133" s="354"/>
      <c r="AL133" s="354"/>
      <c r="AM133" s="354"/>
      <c r="AN133" s="354"/>
      <c r="AO133" s="354"/>
      <c r="AP133" s="354"/>
      <c r="AQ133" s="354"/>
      <c r="AR133" s="354"/>
      <c r="AS133" s="354"/>
      <c r="AT133" s="354"/>
      <c r="AU133" s="354"/>
      <c r="AV133" s="354"/>
      <c r="AW133" s="354"/>
      <c r="AX133" s="354"/>
      <c r="AY133" s="354"/>
      <c r="AZ133" s="354"/>
    </row>
    <row r="134" spans="3:52" x14ac:dyDescent="0.25">
      <c r="C134" s="354"/>
      <c r="D134" s="354"/>
      <c r="E134" s="354"/>
      <c r="F134" s="354"/>
      <c r="G134" s="354"/>
      <c r="H134" s="354"/>
      <c r="I134" s="354"/>
      <c r="J134" s="354"/>
      <c r="K134" s="354"/>
      <c r="L134" s="354"/>
      <c r="M134" s="354"/>
      <c r="N134" s="354"/>
      <c r="O134" s="354"/>
      <c r="P134" s="354"/>
      <c r="Q134" s="354"/>
      <c r="R134" s="370"/>
      <c r="S134" s="354"/>
      <c r="T134" s="354"/>
      <c r="U134" s="354"/>
      <c r="V134" s="354"/>
      <c r="W134" s="354"/>
      <c r="X134" s="354"/>
      <c r="Y134" s="354"/>
      <c r="Z134" s="354"/>
      <c r="AA134" s="354"/>
      <c r="AB134" s="354"/>
      <c r="AC134" s="354"/>
      <c r="AD134" s="354"/>
      <c r="AE134" s="354"/>
      <c r="AF134" s="354"/>
      <c r="AG134" s="354"/>
      <c r="AH134" s="354"/>
      <c r="AI134" s="354"/>
      <c r="AJ134" s="354"/>
      <c r="AK134" s="354"/>
      <c r="AL134" s="354"/>
      <c r="AM134" s="354"/>
      <c r="AN134" s="354"/>
      <c r="AO134" s="354"/>
      <c r="AP134" s="354"/>
      <c r="AQ134" s="354"/>
      <c r="AR134" s="354"/>
      <c r="AS134" s="354"/>
      <c r="AT134" s="354"/>
      <c r="AU134" s="354"/>
      <c r="AV134" s="354"/>
      <c r="AW134" s="354"/>
      <c r="AX134" s="354"/>
      <c r="AY134" s="354"/>
      <c r="AZ134" s="354"/>
    </row>
    <row r="135" spans="3:52" x14ac:dyDescent="0.25">
      <c r="C135" s="354"/>
      <c r="D135" s="354"/>
      <c r="E135" s="354"/>
      <c r="F135" s="354"/>
      <c r="G135" s="354"/>
      <c r="H135" s="354"/>
      <c r="I135" s="354"/>
      <c r="J135" s="354"/>
      <c r="K135" s="354"/>
      <c r="L135" s="354"/>
      <c r="M135" s="354"/>
      <c r="N135" s="354"/>
      <c r="O135" s="354"/>
      <c r="P135" s="354"/>
      <c r="Q135" s="354"/>
      <c r="R135" s="370"/>
      <c r="S135" s="354"/>
      <c r="T135" s="354"/>
      <c r="U135" s="354"/>
      <c r="V135" s="354"/>
      <c r="W135" s="354"/>
      <c r="X135" s="354"/>
      <c r="Y135" s="354"/>
      <c r="Z135" s="354"/>
      <c r="AA135" s="354"/>
      <c r="AB135" s="354"/>
      <c r="AC135" s="354"/>
      <c r="AD135" s="354"/>
      <c r="AE135" s="354"/>
      <c r="AF135" s="354"/>
      <c r="AG135" s="354"/>
      <c r="AH135" s="354"/>
      <c r="AI135" s="354"/>
      <c r="AJ135" s="354"/>
      <c r="AK135" s="354"/>
      <c r="AL135" s="354"/>
      <c r="AM135" s="354"/>
      <c r="AN135" s="354"/>
      <c r="AO135" s="354"/>
      <c r="AP135" s="354"/>
      <c r="AQ135" s="354"/>
      <c r="AR135" s="354"/>
      <c r="AS135" s="354"/>
      <c r="AT135" s="354"/>
      <c r="AU135" s="354"/>
      <c r="AV135" s="354"/>
      <c r="AW135" s="354"/>
      <c r="AX135" s="354"/>
      <c r="AY135" s="354"/>
      <c r="AZ135" s="354"/>
    </row>
    <row r="136" spans="3:52" x14ac:dyDescent="0.25">
      <c r="C136" s="354"/>
      <c r="D136" s="354"/>
      <c r="E136" s="354"/>
      <c r="F136" s="354"/>
      <c r="G136" s="354"/>
      <c r="H136" s="354"/>
      <c r="I136" s="354"/>
      <c r="J136" s="354"/>
      <c r="K136" s="354"/>
      <c r="L136" s="354"/>
      <c r="M136" s="354"/>
      <c r="N136" s="354"/>
      <c r="O136" s="354"/>
      <c r="P136" s="354"/>
      <c r="Q136" s="354"/>
      <c r="R136" s="370"/>
      <c r="S136" s="354"/>
      <c r="T136" s="354"/>
      <c r="U136" s="354"/>
      <c r="V136" s="354"/>
      <c r="W136" s="354"/>
      <c r="X136" s="354"/>
      <c r="Y136" s="354"/>
      <c r="Z136" s="354"/>
      <c r="AA136" s="354"/>
      <c r="AB136" s="354"/>
      <c r="AC136" s="354"/>
      <c r="AD136" s="354"/>
      <c r="AE136" s="354"/>
      <c r="AF136" s="354"/>
      <c r="AG136" s="354"/>
      <c r="AH136" s="354"/>
      <c r="AI136" s="354"/>
      <c r="AJ136" s="354"/>
      <c r="AK136" s="354"/>
      <c r="AL136" s="354"/>
      <c r="AM136" s="354"/>
      <c r="AN136" s="354"/>
      <c r="AO136" s="354"/>
      <c r="AP136" s="354"/>
      <c r="AQ136" s="354"/>
      <c r="AR136" s="354"/>
      <c r="AS136" s="354"/>
      <c r="AT136" s="354"/>
      <c r="AU136" s="354"/>
      <c r="AV136" s="354"/>
      <c r="AW136" s="354"/>
      <c r="AX136" s="354"/>
      <c r="AY136" s="354"/>
      <c r="AZ136" s="354"/>
    </row>
    <row r="137" spans="3:52" x14ac:dyDescent="0.25">
      <c r="C137" s="354"/>
      <c r="D137" s="354"/>
      <c r="E137" s="354"/>
      <c r="F137" s="354"/>
      <c r="G137" s="354"/>
      <c r="H137" s="354"/>
      <c r="I137" s="354"/>
      <c r="J137" s="354"/>
      <c r="K137" s="354"/>
      <c r="L137" s="354"/>
      <c r="M137" s="354"/>
      <c r="N137" s="354"/>
      <c r="O137" s="354"/>
      <c r="P137" s="354"/>
      <c r="Q137" s="354"/>
      <c r="R137" s="370"/>
      <c r="S137" s="354"/>
      <c r="T137" s="354"/>
      <c r="U137" s="354"/>
      <c r="V137" s="354"/>
      <c r="W137" s="354"/>
      <c r="X137" s="354"/>
      <c r="Y137" s="354"/>
      <c r="Z137" s="354"/>
      <c r="AA137" s="354"/>
      <c r="AB137" s="354"/>
      <c r="AC137" s="354"/>
      <c r="AD137" s="354"/>
      <c r="AE137" s="354"/>
      <c r="AF137" s="354"/>
      <c r="AG137" s="354"/>
      <c r="AH137" s="354"/>
      <c r="AI137" s="354"/>
      <c r="AJ137" s="354"/>
      <c r="AK137" s="354"/>
      <c r="AL137" s="354"/>
      <c r="AM137" s="354"/>
      <c r="AN137" s="354"/>
      <c r="AO137" s="354"/>
      <c r="AP137" s="354"/>
      <c r="AQ137" s="354"/>
      <c r="AR137" s="354"/>
      <c r="AS137" s="354"/>
      <c r="AT137" s="354"/>
      <c r="AU137" s="354"/>
      <c r="AV137" s="354"/>
      <c r="AW137" s="354"/>
      <c r="AX137" s="354"/>
      <c r="AY137" s="354"/>
      <c r="AZ137" s="354"/>
    </row>
    <row r="138" spans="3:52" x14ac:dyDescent="0.25">
      <c r="C138" s="354"/>
      <c r="D138" s="354"/>
      <c r="E138" s="354"/>
      <c r="F138" s="354"/>
      <c r="G138" s="354"/>
      <c r="H138" s="354"/>
      <c r="I138" s="354"/>
      <c r="J138" s="354"/>
      <c r="K138" s="354"/>
      <c r="L138" s="354"/>
      <c r="M138" s="354"/>
      <c r="N138" s="354"/>
      <c r="O138" s="354"/>
      <c r="P138" s="354"/>
      <c r="Q138" s="354"/>
      <c r="R138" s="370"/>
      <c r="S138" s="354"/>
      <c r="T138" s="354"/>
      <c r="U138" s="354"/>
      <c r="V138" s="354"/>
      <c r="W138" s="354"/>
      <c r="X138" s="354"/>
      <c r="Y138" s="354"/>
      <c r="Z138" s="354"/>
      <c r="AA138" s="354"/>
      <c r="AB138" s="354"/>
      <c r="AC138" s="354"/>
      <c r="AD138" s="354"/>
      <c r="AE138" s="354"/>
      <c r="AF138" s="354"/>
      <c r="AG138" s="354"/>
      <c r="AH138" s="354"/>
      <c r="AI138" s="354"/>
      <c r="AJ138" s="354"/>
      <c r="AK138" s="354"/>
      <c r="AL138" s="354"/>
      <c r="AM138" s="354"/>
      <c r="AN138" s="354"/>
      <c r="AO138" s="354"/>
      <c r="AP138" s="354"/>
      <c r="AQ138" s="354"/>
      <c r="AR138" s="354"/>
      <c r="AS138" s="354"/>
      <c r="AT138" s="354"/>
      <c r="AU138" s="354"/>
      <c r="AV138" s="354"/>
      <c r="AW138" s="354"/>
      <c r="AX138" s="354"/>
      <c r="AY138" s="354"/>
      <c r="AZ138" s="354"/>
    </row>
    <row r="139" spans="3:52" x14ac:dyDescent="0.25">
      <c r="C139" s="354"/>
      <c r="D139" s="354"/>
      <c r="E139" s="354"/>
      <c r="F139" s="354"/>
      <c r="G139" s="354"/>
      <c r="H139" s="354"/>
      <c r="I139" s="354"/>
      <c r="J139" s="354"/>
      <c r="K139" s="354"/>
      <c r="L139" s="354"/>
      <c r="M139" s="354"/>
      <c r="N139" s="354"/>
      <c r="O139" s="354"/>
      <c r="P139" s="354"/>
      <c r="Q139" s="354"/>
      <c r="R139" s="370"/>
      <c r="S139" s="354"/>
      <c r="T139" s="354"/>
      <c r="U139" s="354"/>
      <c r="V139" s="354"/>
      <c r="W139" s="354"/>
      <c r="X139" s="354"/>
      <c r="Y139" s="354"/>
      <c r="Z139" s="354"/>
      <c r="AA139" s="354"/>
      <c r="AB139" s="354"/>
      <c r="AC139" s="354"/>
      <c r="AD139" s="354"/>
      <c r="AE139" s="354"/>
      <c r="AF139" s="354"/>
      <c r="AG139" s="354"/>
      <c r="AH139" s="354"/>
      <c r="AI139" s="354"/>
      <c r="AJ139" s="354"/>
      <c r="AK139" s="354"/>
      <c r="AL139" s="354"/>
      <c r="AM139" s="354"/>
      <c r="AN139" s="354"/>
      <c r="AO139" s="354"/>
      <c r="AP139" s="354"/>
      <c r="AQ139" s="354"/>
      <c r="AR139" s="354"/>
      <c r="AS139" s="354"/>
      <c r="AT139" s="354"/>
      <c r="AU139" s="354"/>
      <c r="AV139" s="354"/>
      <c r="AW139" s="354"/>
      <c r="AX139" s="354"/>
      <c r="AY139" s="354"/>
      <c r="AZ139" s="354"/>
    </row>
    <row r="140" spans="3:52" x14ac:dyDescent="0.25">
      <c r="C140" s="354"/>
      <c r="D140" s="354"/>
      <c r="E140" s="354"/>
      <c r="F140" s="354"/>
      <c r="G140" s="354"/>
      <c r="H140" s="354"/>
      <c r="I140" s="354"/>
      <c r="J140" s="354"/>
      <c r="K140" s="354"/>
      <c r="L140" s="354"/>
      <c r="M140" s="354"/>
      <c r="N140" s="354"/>
      <c r="O140" s="354"/>
      <c r="P140" s="354"/>
      <c r="Q140" s="354"/>
      <c r="R140" s="370"/>
      <c r="S140" s="354"/>
      <c r="T140" s="354"/>
      <c r="U140" s="354"/>
      <c r="V140" s="354"/>
      <c r="W140" s="354"/>
      <c r="X140" s="354"/>
      <c r="Y140" s="354"/>
      <c r="Z140" s="354"/>
      <c r="AA140" s="354"/>
      <c r="AB140" s="354"/>
      <c r="AC140" s="354"/>
      <c r="AD140" s="354"/>
      <c r="AE140" s="354"/>
      <c r="AF140" s="354"/>
      <c r="AG140" s="354"/>
      <c r="AH140" s="354"/>
      <c r="AI140" s="354"/>
      <c r="AJ140" s="354"/>
      <c r="AK140" s="354"/>
      <c r="AL140" s="354"/>
      <c r="AM140" s="354"/>
      <c r="AN140" s="354"/>
      <c r="AO140" s="354"/>
      <c r="AP140" s="354"/>
      <c r="AQ140" s="354"/>
      <c r="AR140" s="354"/>
      <c r="AS140" s="354"/>
      <c r="AT140" s="354"/>
      <c r="AU140" s="354"/>
      <c r="AV140" s="354"/>
      <c r="AW140" s="354"/>
      <c r="AX140" s="354"/>
      <c r="AY140" s="354"/>
      <c r="AZ140" s="354"/>
    </row>
    <row r="141" spans="3:52" x14ac:dyDescent="0.25">
      <c r="C141" s="354"/>
      <c r="D141" s="354"/>
      <c r="E141" s="354"/>
      <c r="F141" s="354"/>
      <c r="G141" s="354"/>
      <c r="H141" s="354"/>
      <c r="I141" s="354"/>
      <c r="J141" s="354"/>
      <c r="K141" s="354"/>
      <c r="L141" s="354"/>
      <c r="M141" s="354"/>
      <c r="N141" s="354"/>
      <c r="O141" s="354"/>
      <c r="P141" s="354"/>
      <c r="Q141" s="354"/>
      <c r="R141" s="370"/>
      <c r="S141" s="354"/>
      <c r="T141" s="354"/>
      <c r="U141" s="354"/>
      <c r="V141" s="354"/>
      <c r="W141" s="354"/>
      <c r="X141" s="354"/>
      <c r="Y141" s="354"/>
      <c r="Z141" s="354"/>
      <c r="AA141" s="354"/>
      <c r="AB141" s="354"/>
      <c r="AC141" s="354"/>
      <c r="AD141" s="354"/>
      <c r="AE141" s="354"/>
      <c r="AF141" s="354"/>
      <c r="AG141" s="354"/>
      <c r="AH141" s="354"/>
      <c r="AI141" s="354"/>
      <c r="AJ141" s="354"/>
      <c r="AK141" s="354"/>
      <c r="AL141" s="354"/>
      <c r="AM141" s="354"/>
      <c r="AN141" s="354"/>
      <c r="AO141" s="354"/>
      <c r="AP141" s="354"/>
      <c r="AQ141" s="354"/>
      <c r="AR141" s="354"/>
      <c r="AS141" s="354"/>
      <c r="AT141" s="354"/>
      <c r="AU141" s="354"/>
      <c r="AV141" s="354"/>
      <c r="AW141" s="354"/>
      <c r="AX141" s="354"/>
      <c r="AY141" s="354"/>
      <c r="AZ141" s="354"/>
    </row>
    <row r="142" spans="3:52" x14ac:dyDescent="0.25">
      <c r="C142" s="354"/>
      <c r="D142" s="354"/>
      <c r="E142" s="354"/>
      <c r="F142" s="354"/>
      <c r="G142" s="354"/>
      <c r="H142" s="354"/>
      <c r="I142" s="354"/>
      <c r="J142" s="354"/>
      <c r="K142" s="354"/>
      <c r="L142" s="354"/>
      <c r="M142" s="354"/>
      <c r="N142" s="354"/>
      <c r="O142" s="354"/>
      <c r="P142" s="354"/>
      <c r="Q142" s="354"/>
      <c r="R142" s="370"/>
      <c r="S142" s="354"/>
      <c r="T142" s="354"/>
      <c r="U142" s="354"/>
      <c r="V142" s="354"/>
      <c r="W142" s="354"/>
      <c r="X142" s="354"/>
      <c r="Y142" s="354"/>
      <c r="Z142" s="354"/>
      <c r="AA142" s="354"/>
      <c r="AB142" s="354"/>
      <c r="AC142" s="354"/>
      <c r="AD142" s="354"/>
      <c r="AE142" s="354"/>
      <c r="AF142" s="354"/>
      <c r="AG142" s="354"/>
      <c r="AH142" s="354"/>
      <c r="AI142" s="354"/>
      <c r="AJ142" s="354"/>
      <c r="AK142" s="354"/>
      <c r="AL142" s="354"/>
      <c r="AM142" s="354"/>
      <c r="AN142" s="354"/>
      <c r="AO142" s="354"/>
      <c r="AP142" s="354"/>
      <c r="AQ142" s="354"/>
      <c r="AR142" s="354"/>
      <c r="AS142" s="354"/>
      <c r="AT142" s="354"/>
      <c r="AU142" s="354"/>
      <c r="AV142" s="354"/>
      <c r="AW142" s="354"/>
      <c r="AX142" s="354"/>
      <c r="AY142" s="354"/>
      <c r="AZ142" s="354"/>
    </row>
    <row r="143" spans="3:52" x14ac:dyDescent="0.25">
      <c r="C143" s="354"/>
      <c r="D143" s="354"/>
      <c r="E143" s="354"/>
      <c r="F143" s="354"/>
      <c r="G143" s="354"/>
      <c r="H143" s="354"/>
      <c r="I143" s="354"/>
      <c r="J143" s="354"/>
      <c r="K143" s="354"/>
      <c r="L143" s="354"/>
      <c r="M143" s="354"/>
      <c r="N143" s="354"/>
      <c r="O143" s="354"/>
      <c r="P143" s="354"/>
      <c r="Q143" s="354"/>
      <c r="R143" s="370"/>
      <c r="S143" s="354"/>
      <c r="T143" s="354"/>
      <c r="U143" s="354"/>
      <c r="V143" s="354"/>
      <c r="W143" s="354"/>
      <c r="X143" s="354"/>
      <c r="Y143" s="354"/>
      <c r="Z143" s="354"/>
      <c r="AA143" s="354"/>
      <c r="AB143" s="354"/>
      <c r="AC143" s="354"/>
      <c r="AD143" s="354"/>
      <c r="AE143" s="354"/>
      <c r="AF143" s="354"/>
      <c r="AG143" s="354"/>
      <c r="AH143" s="354"/>
      <c r="AI143" s="354"/>
      <c r="AJ143" s="354"/>
      <c r="AK143" s="354"/>
      <c r="AL143" s="354"/>
      <c r="AM143" s="354"/>
      <c r="AN143" s="354"/>
      <c r="AO143" s="354"/>
      <c r="AP143" s="354"/>
      <c r="AQ143" s="354"/>
      <c r="AR143" s="354"/>
      <c r="AS143" s="354"/>
      <c r="AT143" s="354"/>
      <c r="AU143" s="354"/>
      <c r="AV143" s="354"/>
      <c r="AW143" s="354"/>
      <c r="AX143" s="354"/>
      <c r="AY143" s="354"/>
      <c r="AZ143" s="354"/>
    </row>
    <row r="144" spans="3:52" x14ac:dyDescent="0.25">
      <c r="C144" s="354"/>
      <c r="D144" s="354"/>
      <c r="E144" s="354"/>
      <c r="F144" s="354"/>
      <c r="G144" s="354"/>
      <c r="H144" s="354"/>
      <c r="I144" s="354"/>
      <c r="J144" s="354"/>
      <c r="K144" s="354"/>
      <c r="L144" s="354"/>
      <c r="M144" s="354"/>
      <c r="N144" s="354"/>
      <c r="O144" s="354"/>
      <c r="P144" s="354"/>
      <c r="Q144" s="354"/>
      <c r="R144" s="370"/>
      <c r="S144" s="354"/>
      <c r="T144" s="354"/>
      <c r="U144" s="354"/>
      <c r="V144" s="354"/>
      <c r="W144" s="354"/>
      <c r="X144" s="354"/>
      <c r="Y144" s="354"/>
      <c r="Z144" s="354"/>
      <c r="AA144" s="354"/>
      <c r="AB144" s="354"/>
      <c r="AC144" s="354"/>
      <c r="AD144" s="354"/>
      <c r="AE144" s="354"/>
      <c r="AF144" s="354"/>
      <c r="AG144" s="354"/>
      <c r="AH144" s="354"/>
      <c r="AI144" s="354"/>
      <c r="AJ144" s="354"/>
      <c r="AK144" s="354"/>
      <c r="AL144" s="354"/>
      <c r="AM144" s="354"/>
      <c r="AN144" s="354"/>
      <c r="AO144" s="354"/>
      <c r="AP144" s="354"/>
      <c r="AQ144" s="354"/>
      <c r="AR144" s="354"/>
      <c r="AS144" s="354"/>
      <c r="AT144" s="354"/>
      <c r="AU144" s="354"/>
      <c r="AV144" s="354"/>
      <c r="AW144" s="354"/>
      <c r="AX144" s="354"/>
      <c r="AY144" s="354"/>
      <c r="AZ144" s="354"/>
    </row>
    <row r="145" spans="3:52" x14ac:dyDescent="0.25">
      <c r="C145" s="354"/>
      <c r="D145" s="354"/>
      <c r="E145" s="354"/>
      <c r="F145" s="354"/>
      <c r="G145" s="354"/>
      <c r="H145" s="354"/>
      <c r="I145" s="354"/>
      <c r="J145" s="354"/>
      <c r="K145" s="354"/>
      <c r="L145" s="354"/>
      <c r="M145" s="354"/>
      <c r="N145" s="354"/>
      <c r="O145" s="354"/>
      <c r="P145" s="354"/>
      <c r="Q145" s="354"/>
      <c r="R145" s="370"/>
      <c r="S145" s="354"/>
      <c r="T145" s="354"/>
      <c r="U145" s="354"/>
      <c r="V145" s="354"/>
      <c r="W145" s="354"/>
      <c r="X145" s="354"/>
      <c r="Y145" s="354"/>
      <c r="Z145" s="354"/>
      <c r="AA145" s="354"/>
      <c r="AB145" s="354"/>
      <c r="AC145" s="354"/>
      <c r="AD145" s="354"/>
      <c r="AE145" s="354"/>
      <c r="AF145" s="354"/>
      <c r="AG145" s="354"/>
      <c r="AH145" s="354"/>
      <c r="AI145" s="354"/>
      <c r="AJ145" s="354"/>
      <c r="AK145" s="354"/>
      <c r="AL145" s="354"/>
      <c r="AM145" s="354"/>
      <c r="AN145" s="354"/>
      <c r="AO145" s="354"/>
      <c r="AP145" s="354"/>
      <c r="AQ145" s="354"/>
      <c r="AR145" s="354"/>
      <c r="AS145" s="354"/>
      <c r="AT145" s="354"/>
      <c r="AU145" s="354"/>
      <c r="AV145" s="354"/>
      <c r="AW145" s="354"/>
      <c r="AX145" s="354"/>
      <c r="AY145" s="354"/>
      <c r="AZ145" s="354"/>
    </row>
    <row r="146" spans="3:52" x14ac:dyDescent="0.25">
      <c r="C146" s="354"/>
      <c r="D146" s="354"/>
      <c r="E146" s="354"/>
      <c r="F146" s="354"/>
      <c r="G146" s="354"/>
      <c r="H146" s="354"/>
      <c r="I146" s="354"/>
      <c r="J146" s="354"/>
      <c r="K146" s="354"/>
      <c r="L146" s="354"/>
      <c r="M146" s="354"/>
      <c r="N146" s="354"/>
      <c r="O146" s="354"/>
      <c r="P146" s="354"/>
      <c r="Q146" s="354"/>
      <c r="R146" s="370"/>
      <c r="S146" s="354"/>
      <c r="T146" s="354"/>
      <c r="U146" s="354"/>
      <c r="V146" s="354"/>
      <c r="W146" s="354"/>
      <c r="X146" s="354"/>
      <c r="Y146" s="354"/>
      <c r="Z146" s="354"/>
      <c r="AA146" s="354"/>
      <c r="AB146" s="354"/>
      <c r="AC146" s="354"/>
      <c r="AD146" s="354"/>
      <c r="AE146" s="354"/>
      <c r="AF146" s="354"/>
      <c r="AG146" s="354"/>
      <c r="AH146" s="354"/>
      <c r="AI146" s="354"/>
      <c r="AJ146" s="354"/>
      <c r="AK146" s="354"/>
      <c r="AL146" s="354"/>
      <c r="AM146" s="354"/>
      <c r="AN146" s="354"/>
      <c r="AO146" s="354"/>
      <c r="AP146" s="354"/>
      <c r="AQ146" s="354"/>
      <c r="AR146" s="354"/>
      <c r="AS146" s="354"/>
      <c r="AT146" s="354"/>
      <c r="AU146" s="354"/>
      <c r="AV146" s="354"/>
      <c r="AW146" s="354"/>
      <c r="AX146" s="354"/>
      <c r="AY146" s="354"/>
      <c r="AZ146" s="354"/>
    </row>
    <row r="147" spans="3:52" x14ac:dyDescent="0.25">
      <c r="C147" s="354"/>
      <c r="D147" s="354"/>
      <c r="E147" s="354"/>
      <c r="F147" s="354"/>
      <c r="G147" s="354"/>
      <c r="H147" s="354"/>
      <c r="I147" s="354"/>
      <c r="J147" s="354"/>
      <c r="K147" s="354"/>
      <c r="L147" s="354"/>
      <c r="M147" s="354"/>
      <c r="N147" s="354"/>
      <c r="O147" s="354"/>
      <c r="P147" s="354"/>
      <c r="Q147" s="354"/>
      <c r="R147" s="370"/>
      <c r="S147" s="354"/>
      <c r="T147" s="354"/>
      <c r="U147" s="354"/>
      <c r="V147" s="354"/>
      <c r="W147" s="354"/>
      <c r="X147" s="354"/>
      <c r="Y147" s="354"/>
      <c r="Z147" s="354"/>
      <c r="AA147" s="354"/>
      <c r="AB147" s="354"/>
      <c r="AC147" s="354"/>
      <c r="AD147" s="354"/>
      <c r="AE147" s="354"/>
      <c r="AF147" s="354"/>
      <c r="AG147" s="354"/>
      <c r="AH147" s="354"/>
      <c r="AI147" s="354"/>
      <c r="AJ147" s="354"/>
      <c r="AK147" s="354"/>
      <c r="AL147" s="354"/>
      <c r="AM147" s="354"/>
      <c r="AN147" s="354"/>
      <c r="AO147" s="354"/>
      <c r="AP147" s="354"/>
      <c r="AQ147" s="354"/>
      <c r="AR147" s="354"/>
      <c r="AS147" s="354"/>
      <c r="AT147" s="354"/>
      <c r="AU147" s="354"/>
      <c r="AV147" s="354"/>
      <c r="AW147" s="354"/>
      <c r="AX147" s="354"/>
      <c r="AY147" s="354"/>
      <c r="AZ147" s="354"/>
    </row>
    <row r="148" spans="3:52" x14ac:dyDescent="0.25">
      <c r="C148" s="354"/>
      <c r="D148" s="354"/>
      <c r="E148" s="354"/>
      <c r="F148" s="354"/>
      <c r="G148" s="354"/>
      <c r="H148" s="354"/>
      <c r="I148" s="354"/>
      <c r="J148" s="354"/>
      <c r="K148" s="354"/>
      <c r="L148" s="354"/>
      <c r="M148" s="354"/>
      <c r="N148" s="354"/>
      <c r="O148" s="354"/>
      <c r="P148" s="354"/>
      <c r="Q148" s="354"/>
      <c r="R148" s="370"/>
      <c r="S148" s="354"/>
      <c r="T148" s="354"/>
      <c r="U148" s="354"/>
      <c r="V148" s="354"/>
      <c r="W148" s="354"/>
      <c r="X148" s="354"/>
      <c r="Y148" s="354"/>
      <c r="Z148" s="354"/>
      <c r="AA148" s="354"/>
      <c r="AB148" s="354"/>
      <c r="AC148" s="354"/>
      <c r="AD148" s="354"/>
      <c r="AE148" s="354"/>
      <c r="AF148" s="354"/>
      <c r="AG148" s="354"/>
      <c r="AH148" s="354"/>
      <c r="AI148" s="354"/>
      <c r="AJ148" s="354"/>
      <c r="AK148" s="354"/>
      <c r="AL148" s="354"/>
      <c r="AM148" s="354"/>
      <c r="AN148" s="354"/>
      <c r="AO148" s="354"/>
      <c r="AP148" s="354"/>
      <c r="AQ148" s="354"/>
      <c r="AR148" s="354"/>
      <c r="AS148" s="354"/>
      <c r="AT148" s="354"/>
      <c r="AU148" s="354"/>
      <c r="AV148" s="354"/>
      <c r="AW148" s="354"/>
      <c r="AX148" s="354"/>
      <c r="AY148" s="354"/>
      <c r="AZ148" s="354"/>
    </row>
    <row r="149" spans="3:52" x14ac:dyDescent="0.25">
      <c r="C149" s="354"/>
      <c r="D149" s="354"/>
      <c r="E149" s="354"/>
      <c r="F149" s="354"/>
      <c r="G149" s="354"/>
      <c r="H149" s="354"/>
      <c r="I149" s="354"/>
      <c r="J149" s="354"/>
      <c r="K149" s="354"/>
      <c r="L149" s="354"/>
      <c r="M149" s="354"/>
      <c r="N149" s="354"/>
      <c r="O149" s="354"/>
      <c r="P149" s="354"/>
      <c r="Q149" s="354"/>
      <c r="R149" s="370"/>
      <c r="S149" s="354"/>
      <c r="T149" s="354"/>
      <c r="U149" s="354"/>
      <c r="V149" s="354"/>
      <c r="W149" s="354"/>
      <c r="X149" s="354"/>
      <c r="Y149" s="354"/>
      <c r="Z149" s="354"/>
      <c r="AA149" s="354"/>
      <c r="AB149" s="354"/>
      <c r="AC149" s="354"/>
      <c r="AD149" s="354"/>
      <c r="AE149" s="354"/>
      <c r="AF149" s="354"/>
      <c r="AG149" s="354"/>
      <c r="AH149" s="354"/>
      <c r="AI149" s="354"/>
      <c r="AJ149" s="354"/>
      <c r="AK149" s="354"/>
      <c r="AL149" s="354"/>
      <c r="AM149" s="354"/>
      <c r="AN149" s="354"/>
      <c r="AO149" s="354"/>
      <c r="AP149" s="354"/>
      <c r="AQ149" s="354"/>
      <c r="AR149" s="354"/>
      <c r="AS149" s="354"/>
      <c r="AT149" s="354"/>
      <c r="AU149" s="354"/>
      <c r="AV149" s="354"/>
      <c r="AW149" s="354"/>
      <c r="AX149" s="354"/>
      <c r="AY149" s="354"/>
      <c r="AZ149" s="354"/>
    </row>
    <row r="150" spans="3:52" x14ac:dyDescent="0.25">
      <c r="C150" s="354"/>
      <c r="D150" s="354"/>
      <c r="E150" s="354"/>
      <c r="F150" s="354"/>
      <c r="G150" s="354"/>
      <c r="H150" s="354"/>
      <c r="I150" s="354"/>
      <c r="J150" s="354"/>
      <c r="K150" s="354"/>
      <c r="L150" s="354"/>
      <c r="M150" s="354"/>
      <c r="N150" s="354"/>
      <c r="O150" s="354"/>
      <c r="P150" s="354"/>
      <c r="Q150" s="354"/>
      <c r="R150" s="370"/>
      <c r="S150" s="354"/>
      <c r="T150" s="354"/>
      <c r="U150" s="354"/>
      <c r="V150" s="354"/>
      <c r="W150" s="354"/>
      <c r="X150" s="354"/>
      <c r="Y150" s="354"/>
      <c r="Z150" s="354"/>
      <c r="AA150" s="354"/>
      <c r="AB150" s="354"/>
      <c r="AC150" s="354"/>
      <c r="AD150" s="354"/>
      <c r="AE150" s="354"/>
      <c r="AF150" s="354"/>
      <c r="AG150" s="354"/>
      <c r="AH150" s="354"/>
      <c r="AI150" s="354"/>
      <c r="AJ150" s="354"/>
      <c r="AK150" s="354"/>
      <c r="AL150" s="354"/>
      <c r="AM150" s="354"/>
      <c r="AN150" s="354"/>
      <c r="AO150" s="354"/>
      <c r="AP150" s="354"/>
      <c r="AQ150" s="354"/>
      <c r="AR150" s="354"/>
      <c r="AS150" s="354"/>
      <c r="AT150" s="354"/>
      <c r="AU150" s="354"/>
      <c r="AV150" s="354"/>
      <c r="AW150" s="354"/>
      <c r="AX150" s="354"/>
      <c r="AY150" s="354"/>
      <c r="AZ150" s="354"/>
    </row>
    <row r="151" spans="3:52" x14ac:dyDescent="0.25">
      <c r="C151" s="354"/>
      <c r="D151" s="354"/>
      <c r="E151" s="354"/>
      <c r="F151" s="354"/>
      <c r="G151" s="354"/>
      <c r="H151" s="354"/>
      <c r="I151" s="354"/>
      <c r="J151" s="354"/>
      <c r="K151" s="354"/>
      <c r="L151" s="354"/>
      <c r="M151" s="354"/>
      <c r="N151" s="354"/>
      <c r="O151" s="354"/>
      <c r="P151" s="354"/>
      <c r="Q151" s="354"/>
      <c r="R151" s="370"/>
      <c r="S151" s="354"/>
      <c r="T151" s="354"/>
      <c r="U151" s="354"/>
      <c r="V151" s="354"/>
      <c r="W151" s="354"/>
      <c r="X151" s="354"/>
      <c r="Y151" s="354"/>
      <c r="Z151" s="354"/>
      <c r="AA151" s="354"/>
      <c r="AB151" s="354"/>
      <c r="AC151" s="354"/>
      <c r="AD151" s="354"/>
      <c r="AE151" s="354"/>
      <c r="AF151" s="354"/>
      <c r="AG151" s="354"/>
      <c r="AH151" s="354"/>
      <c r="AI151" s="354"/>
      <c r="AJ151" s="354"/>
      <c r="AK151" s="354"/>
      <c r="AL151" s="354"/>
      <c r="AM151" s="354"/>
      <c r="AN151" s="354"/>
      <c r="AO151" s="354"/>
      <c r="AP151" s="354"/>
      <c r="AQ151" s="354"/>
      <c r="AR151" s="354"/>
      <c r="AS151" s="354"/>
      <c r="AT151" s="354"/>
      <c r="AU151" s="354"/>
      <c r="AV151" s="354"/>
      <c r="AW151" s="354"/>
      <c r="AX151" s="354"/>
      <c r="AY151" s="354"/>
      <c r="AZ151" s="354"/>
    </row>
    <row r="152" spans="3:52" x14ac:dyDescent="0.25">
      <c r="C152" s="354"/>
      <c r="D152" s="354"/>
      <c r="E152" s="354"/>
      <c r="F152" s="354"/>
      <c r="G152" s="354"/>
      <c r="H152" s="354"/>
      <c r="I152" s="354"/>
      <c r="J152" s="354"/>
      <c r="K152" s="354"/>
      <c r="L152" s="354"/>
      <c r="M152" s="354"/>
      <c r="N152" s="354"/>
      <c r="O152" s="354"/>
      <c r="P152" s="354"/>
      <c r="Q152" s="354"/>
      <c r="R152" s="370"/>
      <c r="S152" s="354"/>
      <c r="T152" s="354"/>
      <c r="U152" s="354"/>
      <c r="V152" s="354"/>
      <c r="W152" s="354"/>
      <c r="X152" s="354"/>
      <c r="Y152" s="354"/>
      <c r="Z152" s="354"/>
      <c r="AA152" s="354"/>
      <c r="AB152" s="354"/>
      <c r="AC152" s="354"/>
      <c r="AD152" s="354"/>
      <c r="AE152" s="354"/>
      <c r="AF152" s="354"/>
      <c r="AG152" s="354"/>
      <c r="AH152" s="354"/>
      <c r="AI152" s="354"/>
      <c r="AJ152" s="354"/>
      <c r="AK152" s="354"/>
      <c r="AL152" s="354"/>
      <c r="AM152" s="354"/>
      <c r="AN152" s="354"/>
      <c r="AO152" s="354"/>
      <c r="AP152" s="354"/>
      <c r="AQ152" s="354"/>
      <c r="AR152" s="354"/>
      <c r="AS152" s="354"/>
      <c r="AT152" s="354"/>
      <c r="AU152" s="354"/>
      <c r="AV152" s="354"/>
      <c r="AW152" s="354"/>
      <c r="AX152" s="354"/>
      <c r="AY152" s="354"/>
      <c r="AZ152" s="354"/>
    </row>
    <row r="153" spans="3:52" x14ac:dyDescent="0.25">
      <c r="C153" s="354"/>
      <c r="D153" s="354"/>
      <c r="E153" s="354"/>
      <c r="F153" s="354"/>
      <c r="G153" s="354"/>
      <c r="H153" s="354"/>
      <c r="I153" s="354"/>
      <c r="J153" s="354"/>
      <c r="K153" s="354"/>
      <c r="L153" s="354"/>
      <c r="M153" s="354"/>
      <c r="N153" s="354"/>
      <c r="O153" s="354"/>
      <c r="P153" s="354"/>
      <c r="Q153" s="354"/>
      <c r="R153" s="370"/>
      <c r="S153" s="354"/>
      <c r="T153" s="354"/>
      <c r="U153" s="354"/>
      <c r="V153" s="354"/>
      <c r="W153" s="354"/>
      <c r="X153" s="354"/>
      <c r="Y153" s="354"/>
      <c r="Z153" s="354"/>
      <c r="AA153" s="354"/>
      <c r="AB153" s="354"/>
      <c r="AC153" s="354"/>
      <c r="AD153" s="354"/>
      <c r="AE153" s="354"/>
      <c r="AF153" s="354"/>
      <c r="AG153" s="354"/>
      <c r="AH153" s="354"/>
      <c r="AI153" s="354"/>
      <c r="AJ153" s="354"/>
      <c r="AK153" s="354"/>
      <c r="AL153" s="354"/>
      <c r="AM153" s="354"/>
      <c r="AN153" s="354"/>
      <c r="AO153" s="354"/>
      <c r="AP153" s="354"/>
      <c r="AQ153" s="354"/>
      <c r="AR153" s="354"/>
      <c r="AS153" s="354"/>
      <c r="AT153" s="354"/>
      <c r="AU153" s="354"/>
      <c r="AV153" s="354"/>
      <c r="AW153" s="354"/>
      <c r="AX153" s="354"/>
      <c r="AY153" s="354"/>
      <c r="AZ153" s="354"/>
    </row>
    <row r="154" spans="3:52" x14ac:dyDescent="0.25">
      <c r="C154" s="354"/>
      <c r="D154" s="354"/>
      <c r="E154" s="354"/>
      <c r="F154" s="354"/>
      <c r="G154" s="354"/>
      <c r="H154" s="354"/>
      <c r="I154" s="354"/>
      <c r="J154" s="354"/>
      <c r="K154" s="354"/>
      <c r="L154" s="354"/>
      <c r="M154" s="354"/>
      <c r="N154" s="354"/>
      <c r="O154" s="354"/>
      <c r="P154" s="354"/>
      <c r="Q154" s="354"/>
      <c r="R154" s="370"/>
      <c r="S154" s="354"/>
      <c r="T154" s="354"/>
      <c r="U154" s="354"/>
      <c r="V154" s="354"/>
      <c r="W154" s="354"/>
      <c r="X154" s="354"/>
      <c r="Y154" s="354"/>
      <c r="Z154" s="354"/>
      <c r="AA154" s="354"/>
      <c r="AB154" s="354"/>
      <c r="AC154" s="354"/>
      <c r="AD154" s="354"/>
      <c r="AE154" s="354"/>
      <c r="AF154" s="354"/>
      <c r="AG154" s="354"/>
      <c r="AH154" s="354"/>
      <c r="AI154" s="354"/>
      <c r="AJ154" s="354"/>
      <c r="AK154" s="354"/>
      <c r="AL154" s="354"/>
      <c r="AM154" s="354"/>
      <c r="AN154" s="354"/>
      <c r="AO154" s="354"/>
      <c r="AP154" s="354"/>
      <c r="AQ154" s="354"/>
      <c r="AR154" s="354"/>
      <c r="AS154" s="354"/>
      <c r="AT154" s="354"/>
      <c r="AU154" s="354"/>
      <c r="AV154" s="354"/>
      <c r="AW154" s="354"/>
      <c r="AX154" s="354"/>
      <c r="AY154" s="354"/>
      <c r="AZ154" s="354"/>
    </row>
    <row r="155" spans="3:52" x14ac:dyDescent="0.25">
      <c r="C155" s="354"/>
      <c r="D155" s="354"/>
      <c r="E155" s="354"/>
      <c r="F155" s="354"/>
      <c r="G155" s="354"/>
      <c r="H155" s="354"/>
      <c r="I155" s="354"/>
      <c r="J155" s="354"/>
      <c r="K155" s="354"/>
      <c r="L155" s="354"/>
      <c r="M155" s="354"/>
      <c r="N155" s="354"/>
      <c r="O155" s="354"/>
      <c r="P155" s="354"/>
      <c r="Q155" s="354"/>
      <c r="R155" s="370"/>
      <c r="S155" s="354"/>
      <c r="T155" s="354"/>
      <c r="U155" s="354"/>
      <c r="V155" s="354"/>
      <c r="W155" s="354"/>
      <c r="X155" s="354"/>
      <c r="Y155" s="354"/>
      <c r="Z155" s="354"/>
      <c r="AA155" s="354"/>
      <c r="AB155" s="354"/>
      <c r="AC155" s="354"/>
      <c r="AD155" s="354"/>
      <c r="AE155" s="354"/>
      <c r="AF155" s="354"/>
      <c r="AG155" s="354"/>
      <c r="AH155" s="354"/>
      <c r="AI155" s="354"/>
      <c r="AJ155" s="354"/>
      <c r="AK155" s="354"/>
      <c r="AL155" s="354"/>
      <c r="AM155" s="354"/>
      <c r="AN155" s="354"/>
      <c r="AO155" s="354"/>
      <c r="AP155" s="354"/>
      <c r="AQ155" s="354"/>
      <c r="AR155" s="354"/>
      <c r="AS155" s="354"/>
      <c r="AT155" s="354"/>
      <c r="AU155" s="354"/>
      <c r="AV155" s="354"/>
      <c r="AW155" s="354"/>
      <c r="AX155" s="354"/>
      <c r="AY155" s="354"/>
      <c r="AZ155" s="354"/>
    </row>
    <row r="156" spans="3:52" x14ac:dyDescent="0.25">
      <c r="C156" s="354"/>
      <c r="D156" s="354"/>
      <c r="E156" s="354"/>
      <c r="F156" s="354"/>
      <c r="G156" s="354"/>
      <c r="H156" s="354"/>
      <c r="I156" s="354"/>
      <c r="J156" s="354"/>
      <c r="K156" s="354"/>
      <c r="L156" s="354"/>
      <c r="M156" s="354"/>
      <c r="N156" s="354"/>
      <c r="O156" s="354"/>
      <c r="P156" s="354"/>
      <c r="Q156" s="354"/>
      <c r="R156" s="370"/>
      <c r="S156" s="354"/>
      <c r="T156" s="354"/>
      <c r="U156" s="354"/>
      <c r="V156" s="354"/>
      <c r="W156" s="354"/>
      <c r="X156" s="354"/>
      <c r="Y156" s="354"/>
      <c r="Z156" s="354"/>
      <c r="AA156" s="354"/>
      <c r="AB156" s="354"/>
      <c r="AC156" s="354"/>
      <c r="AD156" s="354"/>
      <c r="AE156" s="354"/>
      <c r="AF156" s="354"/>
      <c r="AG156" s="354"/>
      <c r="AH156" s="354"/>
      <c r="AI156" s="354"/>
      <c r="AJ156" s="354"/>
      <c r="AK156" s="354"/>
      <c r="AL156" s="354"/>
      <c r="AM156" s="354"/>
      <c r="AN156" s="354"/>
      <c r="AO156" s="354"/>
      <c r="AP156" s="354"/>
      <c r="AQ156" s="354"/>
      <c r="AR156" s="354"/>
      <c r="AS156" s="354"/>
      <c r="AT156" s="354"/>
      <c r="AU156" s="354"/>
      <c r="AV156" s="354"/>
      <c r="AW156" s="354"/>
      <c r="AX156" s="354"/>
      <c r="AY156" s="354"/>
      <c r="AZ156" s="354"/>
    </row>
    <row r="157" spans="3:52" x14ac:dyDescent="0.25">
      <c r="C157" s="354"/>
      <c r="D157" s="354"/>
      <c r="E157" s="354"/>
      <c r="F157" s="354"/>
      <c r="G157" s="354"/>
      <c r="H157" s="354"/>
      <c r="I157" s="354"/>
      <c r="J157" s="354"/>
      <c r="K157" s="354"/>
      <c r="L157" s="354"/>
      <c r="M157" s="354"/>
      <c r="N157" s="354"/>
      <c r="O157" s="354"/>
      <c r="P157" s="354"/>
      <c r="Q157" s="354"/>
      <c r="R157" s="370"/>
      <c r="S157" s="354"/>
      <c r="T157" s="354"/>
      <c r="U157" s="354"/>
      <c r="V157" s="354"/>
      <c r="W157" s="354"/>
      <c r="X157" s="354"/>
      <c r="Y157" s="354"/>
      <c r="Z157" s="354"/>
      <c r="AA157" s="354"/>
      <c r="AB157" s="354"/>
      <c r="AC157" s="354"/>
      <c r="AD157" s="354"/>
      <c r="AE157" s="354"/>
      <c r="AF157" s="354"/>
      <c r="AG157" s="354"/>
      <c r="AH157" s="354"/>
      <c r="AI157" s="354"/>
      <c r="AJ157" s="354"/>
      <c r="AK157" s="354"/>
      <c r="AL157" s="354"/>
      <c r="AM157" s="354"/>
      <c r="AN157" s="354"/>
      <c r="AO157" s="354"/>
      <c r="AP157" s="354"/>
      <c r="AQ157" s="354"/>
      <c r="AR157" s="354"/>
      <c r="AS157" s="354"/>
      <c r="AT157" s="354"/>
      <c r="AU157" s="354"/>
      <c r="AV157" s="354"/>
      <c r="AW157" s="354"/>
      <c r="AX157" s="354"/>
      <c r="AY157" s="354"/>
      <c r="AZ157" s="354"/>
    </row>
    <row r="158" spans="3:52" x14ac:dyDescent="0.25">
      <c r="C158" s="354"/>
      <c r="D158" s="354"/>
      <c r="E158" s="354"/>
      <c r="F158" s="354"/>
      <c r="G158" s="354"/>
      <c r="H158" s="354"/>
      <c r="I158" s="354"/>
      <c r="J158" s="354"/>
      <c r="K158" s="354"/>
      <c r="L158" s="354"/>
      <c r="M158" s="354"/>
      <c r="N158" s="354"/>
      <c r="O158" s="354"/>
      <c r="P158" s="354"/>
      <c r="Q158" s="354"/>
      <c r="R158" s="370"/>
      <c r="S158" s="354"/>
      <c r="T158" s="354"/>
      <c r="U158" s="354"/>
      <c r="V158" s="354"/>
      <c r="W158" s="354"/>
      <c r="X158" s="354"/>
      <c r="Y158" s="354"/>
      <c r="Z158" s="354"/>
      <c r="AA158" s="354"/>
      <c r="AB158" s="354"/>
      <c r="AC158" s="354"/>
      <c r="AD158" s="354"/>
      <c r="AE158" s="354"/>
      <c r="AF158" s="354"/>
      <c r="AG158" s="354"/>
      <c r="AH158" s="354"/>
      <c r="AI158" s="354"/>
      <c r="AJ158" s="354"/>
      <c r="AK158" s="354"/>
      <c r="AL158" s="354"/>
      <c r="AM158" s="354"/>
      <c r="AN158" s="354"/>
      <c r="AO158" s="354"/>
      <c r="AP158" s="354"/>
      <c r="AQ158" s="354"/>
      <c r="AR158" s="354"/>
      <c r="AS158" s="354"/>
      <c r="AT158" s="354"/>
      <c r="AU158" s="354"/>
      <c r="AV158" s="354"/>
      <c r="AW158" s="354"/>
      <c r="AX158" s="354"/>
      <c r="AY158" s="354"/>
      <c r="AZ158" s="354"/>
    </row>
    <row r="159" spans="3:52" x14ac:dyDescent="0.25">
      <c r="C159" s="354"/>
      <c r="D159" s="354"/>
      <c r="E159" s="354"/>
      <c r="F159" s="354"/>
      <c r="G159" s="354"/>
      <c r="H159" s="354"/>
      <c r="I159" s="354"/>
      <c r="J159" s="354"/>
      <c r="K159" s="354"/>
      <c r="L159" s="354"/>
      <c r="M159" s="354"/>
      <c r="N159" s="354"/>
      <c r="O159" s="354"/>
      <c r="P159" s="354"/>
      <c r="Q159" s="354"/>
      <c r="R159" s="370"/>
      <c r="S159" s="354"/>
      <c r="T159" s="354"/>
      <c r="U159" s="354"/>
      <c r="V159" s="354"/>
      <c r="W159" s="354"/>
      <c r="X159" s="354"/>
      <c r="Y159" s="354"/>
      <c r="Z159" s="354"/>
      <c r="AA159" s="354"/>
      <c r="AB159" s="354"/>
      <c r="AC159" s="354"/>
      <c r="AD159" s="354"/>
      <c r="AE159" s="354"/>
      <c r="AF159" s="354"/>
      <c r="AG159" s="354"/>
      <c r="AH159" s="354"/>
      <c r="AI159" s="354"/>
      <c r="AJ159" s="354"/>
      <c r="AK159" s="354"/>
      <c r="AL159" s="354"/>
      <c r="AM159" s="354"/>
      <c r="AN159" s="354"/>
      <c r="AO159" s="354"/>
      <c r="AP159" s="354"/>
      <c r="AQ159" s="354"/>
      <c r="AR159" s="354"/>
      <c r="AS159" s="354"/>
      <c r="AT159" s="354"/>
      <c r="AU159" s="354"/>
      <c r="AV159" s="354"/>
      <c r="AW159" s="354"/>
      <c r="AX159" s="354"/>
      <c r="AY159" s="354"/>
      <c r="AZ159" s="354"/>
    </row>
    <row r="160" spans="3:52" x14ac:dyDescent="0.25">
      <c r="C160" s="354"/>
      <c r="D160" s="354"/>
      <c r="E160" s="354"/>
      <c r="F160" s="354"/>
      <c r="G160" s="354"/>
      <c r="H160" s="354"/>
      <c r="I160" s="354"/>
      <c r="J160" s="354"/>
      <c r="K160" s="354"/>
      <c r="L160" s="354"/>
      <c r="M160" s="354"/>
      <c r="N160" s="354"/>
      <c r="O160" s="354"/>
      <c r="P160" s="354"/>
      <c r="Q160" s="354"/>
      <c r="R160" s="370"/>
      <c r="S160" s="354"/>
      <c r="T160" s="354"/>
      <c r="U160" s="354"/>
      <c r="V160" s="354"/>
      <c r="W160" s="354"/>
      <c r="X160" s="354"/>
      <c r="Y160" s="354"/>
      <c r="Z160" s="354"/>
      <c r="AA160" s="354"/>
      <c r="AB160" s="354"/>
      <c r="AC160" s="354"/>
      <c r="AD160" s="354"/>
      <c r="AE160" s="354"/>
      <c r="AF160" s="354"/>
      <c r="AG160" s="354"/>
      <c r="AH160" s="354"/>
      <c r="AI160" s="354"/>
      <c r="AJ160" s="354"/>
      <c r="AK160" s="354"/>
      <c r="AL160" s="354"/>
      <c r="AM160" s="354"/>
      <c r="AN160" s="354"/>
      <c r="AO160" s="354"/>
      <c r="AP160" s="354"/>
      <c r="AQ160" s="354"/>
      <c r="AR160" s="354"/>
      <c r="AS160" s="354"/>
      <c r="AT160" s="354"/>
      <c r="AU160" s="354"/>
      <c r="AV160" s="354"/>
      <c r="AW160" s="354"/>
      <c r="AX160" s="354"/>
      <c r="AY160" s="354"/>
      <c r="AZ160" s="354"/>
    </row>
    <row r="161" spans="3:52" x14ac:dyDescent="0.25">
      <c r="C161" s="354"/>
      <c r="D161" s="354"/>
      <c r="E161" s="354"/>
      <c r="F161" s="354"/>
      <c r="G161" s="354"/>
      <c r="H161" s="354"/>
      <c r="I161" s="354"/>
      <c r="J161" s="354"/>
      <c r="K161" s="354"/>
      <c r="L161" s="354"/>
      <c r="M161" s="354"/>
      <c r="N161" s="354"/>
      <c r="O161" s="354"/>
      <c r="P161" s="354"/>
      <c r="Q161" s="354"/>
      <c r="R161" s="370"/>
      <c r="S161" s="354"/>
      <c r="T161" s="354"/>
      <c r="U161" s="354"/>
      <c r="V161" s="354"/>
      <c r="W161" s="354"/>
      <c r="X161" s="354"/>
      <c r="Y161" s="354"/>
      <c r="Z161" s="354"/>
      <c r="AA161" s="354"/>
      <c r="AB161" s="354"/>
      <c r="AC161" s="354"/>
      <c r="AD161" s="354"/>
      <c r="AE161" s="354"/>
      <c r="AF161" s="354"/>
      <c r="AG161" s="354"/>
      <c r="AH161" s="354"/>
      <c r="AI161" s="354"/>
      <c r="AJ161" s="354"/>
      <c r="AK161" s="354"/>
      <c r="AL161" s="354"/>
      <c r="AM161" s="354"/>
      <c r="AN161" s="354"/>
      <c r="AO161" s="354"/>
      <c r="AP161" s="354"/>
      <c r="AQ161" s="354"/>
      <c r="AR161" s="354"/>
      <c r="AS161" s="354"/>
      <c r="AT161" s="354"/>
      <c r="AU161" s="354"/>
      <c r="AV161" s="354"/>
      <c r="AW161" s="354"/>
      <c r="AX161" s="354"/>
      <c r="AY161" s="354"/>
      <c r="AZ161" s="354"/>
    </row>
    <row r="162" spans="3:52" x14ac:dyDescent="0.25">
      <c r="C162" s="354"/>
      <c r="D162" s="354"/>
      <c r="E162" s="354"/>
      <c r="F162" s="354"/>
      <c r="G162" s="354"/>
      <c r="H162" s="354"/>
      <c r="I162" s="354"/>
      <c r="J162" s="354"/>
      <c r="K162" s="354"/>
      <c r="L162" s="354"/>
      <c r="M162" s="354"/>
      <c r="N162" s="354"/>
      <c r="O162" s="354"/>
      <c r="P162" s="354"/>
      <c r="Q162" s="354"/>
      <c r="R162" s="370"/>
      <c r="S162" s="354"/>
      <c r="T162" s="354"/>
      <c r="U162" s="354"/>
      <c r="V162" s="354"/>
      <c r="W162" s="354"/>
      <c r="X162" s="354"/>
      <c r="Y162" s="354"/>
      <c r="Z162" s="354"/>
      <c r="AA162" s="354"/>
      <c r="AB162" s="354"/>
      <c r="AC162" s="354"/>
      <c r="AD162" s="354"/>
      <c r="AE162" s="354"/>
      <c r="AF162" s="354"/>
      <c r="AG162" s="354"/>
      <c r="AH162" s="354"/>
      <c r="AI162" s="354"/>
      <c r="AJ162" s="354"/>
      <c r="AK162" s="354"/>
      <c r="AL162" s="354"/>
      <c r="AM162" s="354"/>
      <c r="AN162" s="354"/>
      <c r="AO162" s="354"/>
      <c r="AP162" s="354"/>
      <c r="AQ162" s="354"/>
      <c r="AR162" s="354"/>
      <c r="AS162" s="354"/>
      <c r="AT162" s="354"/>
      <c r="AU162" s="354"/>
      <c r="AV162" s="354"/>
      <c r="AW162" s="354"/>
      <c r="AX162" s="354"/>
      <c r="AY162" s="354"/>
      <c r="AZ162" s="354"/>
    </row>
    <row r="163" spans="3:52" x14ac:dyDescent="0.25">
      <c r="C163" s="354"/>
      <c r="D163" s="354"/>
      <c r="E163" s="354"/>
      <c r="F163" s="354"/>
      <c r="G163" s="354"/>
      <c r="H163" s="354"/>
      <c r="I163" s="354"/>
      <c r="J163" s="354"/>
      <c r="K163" s="354"/>
      <c r="L163" s="354"/>
      <c r="M163" s="354"/>
      <c r="N163" s="354"/>
      <c r="O163" s="354"/>
      <c r="P163" s="354"/>
      <c r="Q163" s="354"/>
      <c r="R163" s="370"/>
      <c r="S163" s="354"/>
      <c r="T163" s="354"/>
      <c r="U163" s="354"/>
      <c r="V163" s="354"/>
      <c r="W163" s="354"/>
      <c r="X163" s="354"/>
      <c r="Y163" s="354"/>
      <c r="Z163" s="354"/>
      <c r="AA163" s="354"/>
      <c r="AB163" s="354"/>
      <c r="AC163" s="354"/>
      <c r="AD163" s="354"/>
      <c r="AE163" s="354"/>
      <c r="AF163" s="354"/>
      <c r="AG163" s="354"/>
      <c r="AH163" s="354"/>
      <c r="AI163" s="354"/>
      <c r="AJ163" s="354"/>
      <c r="AK163" s="354"/>
      <c r="AL163" s="354"/>
      <c r="AM163" s="354"/>
      <c r="AN163" s="354"/>
      <c r="AO163" s="354"/>
      <c r="AP163" s="354"/>
      <c r="AQ163" s="354"/>
      <c r="AR163" s="354"/>
      <c r="AS163" s="354"/>
      <c r="AT163" s="354"/>
      <c r="AU163" s="354"/>
      <c r="AV163" s="354"/>
      <c r="AW163" s="354"/>
      <c r="AX163" s="354"/>
      <c r="AY163" s="354"/>
      <c r="AZ163" s="354"/>
    </row>
    <row r="164" spans="3:52" x14ac:dyDescent="0.25">
      <c r="C164" s="354"/>
      <c r="D164" s="354"/>
      <c r="E164" s="354"/>
      <c r="F164" s="354"/>
      <c r="G164" s="354"/>
      <c r="H164" s="354"/>
      <c r="I164" s="354"/>
      <c r="J164" s="354"/>
      <c r="K164" s="354"/>
      <c r="L164" s="354"/>
      <c r="M164" s="354"/>
      <c r="N164" s="354"/>
      <c r="O164" s="354"/>
      <c r="P164" s="354"/>
      <c r="Q164" s="354"/>
      <c r="R164" s="370"/>
      <c r="S164" s="354"/>
      <c r="T164" s="354"/>
      <c r="U164" s="354"/>
      <c r="V164" s="354"/>
      <c r="W164" s="354"/>
      <c r="X164" s="354"/>
      <c r="Y164" s="354"/>
      <c r="Z164" s="354"/>
      <c r="AA164" s="354"/>
      <c r="AB164" s="354"/>
      <c r="AC164" s="354"/>
      <c r="AD164" s="354"/>
      <c r="AE164" s="354"/>
      <c r="AF164" s="354"/>
      <c r="AG164" s="354"/>
      <c r="AH164" s="354"/>
      <c r="AI164" s="354"/>
      <c r="AJ164" s="354"/>
      <c r="AK164" s="354"/>
      <c r="AL164" s="354"/>
      <c r="AM164" s="354"/>
      <c r="AN164" s="354"/>
      <c r="AO164" s="354"/>
      <c r="AP164" s="354"/>
      <c r="AQ164" s="354"/>
      <c r="AR164" s="354"/>
      <c r="AS164" s="354"/>
      <c r="AT164" s="354"/>
      <c r="AU164" s="354"/>
      <c r="AV164" s="354"/>
      <c r="AW164" s="354"/>
      <c r="AX164" s="354"/>
      <c r="AY164" s="354"/>
      <c r="AZ164" s="354"/>
    </row>
    <row r="165" spans="3:52" x14ac:dyDescent="0.25">
      <c r="C165" s="354"/>
      <c r="D165" s="354"/>
      <c r="E165" s="354"/>
      <c r="F165" s="354"/>
      <c r="G165" s="354"/>
      <c r="H165" s="354"/>
      <c r="I165" s="354"/>
      <c r="J165" s="354"/>
      <c r="K165" s="354"/>
      <c r="L165" s="354"/>
      <c r="M165" s="354"/>
      <c r="N165" s="354"/>
      <c r="O165" s="354"/>
      <c r="P165" s="354"/>
      <c r="Q165" s="354"/>
      <c r="R165" s="370"/>
      <c r="S165" s="354"/>
      <c r="T165" s="354"/>
      <c r="U165" s="354"/>
      <c r="V165" s="354"/>
      <c r="W165" s="354"/>
      <c r="X165" s="354"/>
      <c r="Y165" s="354"/>
      <c r="Z165" s="354"/>
      <c r="AA165" s="354"/>
      <c r="AB165" s="354"/>
      <c r="AC165" s="354"/>
      <c r="AD165" s="354"/>
      <c r="AE165" s="354"/>
      <c r="AF165" s="354"/>
      <c r="AG165" s="354"/>
      <c r="AH165" s="354"/>
      <c r="AI165" s="354"/>
      <c r="AJ165" s="354"/>
      <c r="AK165" s="354"/>
      <c r="AL165" s="354"/>
      <c r="AM165" s="354"/>
      <c r="AN165" s="354"/>
      <c r="AO165" s="354"/>
      <c r="AP165" s="354"/>
      <c r="AQ165" s="354"/>
      <c r="AR165" s="354"/>
      <c r="AS165" s="354"/>
      <c r="AT165" s="354"/>
      <c r="AU165" s="354"/>
      <c r="AV165" s="354"/>
      <c r="AW165" s="354"/>
      <c r="AX165" s="354"/>
      <c r="AY165" s="354"/>
      <c r="AZ165" s="354"/>
    </row>
    <row r="166" spans="3:52" x14ac:dyDescent="0.25">
      <c r="C166" s="354"/>
      <c r="D166" s="354"/>
      <c r="E166" s="354"/>
      <c r="F166" s="354"/>
      <c r="G166" s="354"/>
      <c r="H166" s="354"/>
      <c r="I166" s="354"/>
      <c r="J166" s="354"/>
      <c r="K166" s="354"/>
      <c r="L166" s="354"/>
      <c r="M166" s="354"/>
      <c r="N166" s="354"/>
      <c r="O166" s="354"/>
      <c r="P166" s="354"/>
      <c r="Q166" s="354"/>
      <c r="R166" s="370"/>
      <c r="S166" s="354"/>
      <c r="T166" s="354"/>
      <c r="U166" s="354"/>
      <c r="V166" s="354"/>
      <c r="W166" s="354"/>
      <c r="X166" s="354"/>
      <c r="Y166" s="354"/>
      <c r="Z166" s="354"/>
      <c r="AA166" s="354"/>
      <c r="AB166" s="354"/>
      <c r="AC166" s="354"/>
      <c r="AD166" s="354"/>
      <c r="AE166" s="354"/>
      <c r="AF166" s="354"/>
      <c r="AG166" s="354"/>
      <c r="AH166" s="354"/>
      <c r="AI166" s="354"/>
      <c r="AJ166" s="354"/>
      <c r="AK166" s="354"/>
      <c r="AL166" s="354"/>
      <c r="AM166" s="354"/>
      <c r="AN166" s="354"/>
      <c r="AO166" s="354"/>
      <c r="AP166" s="354"/>
      <c r="AQ166" s="354"/>
      <c r="AR166" s="354"/>
      <c r="AS166" s="354"/>
      <c r="AT166" s="354"/>
      <c r="AU166" s="354"/>
      <c r="AV166" s="354"/>
      <c r="AW166" s="354"/>
      <c r="AX166" s="354"/>
      <c r="AY166" s="354"/>
      <c r="AZ166" s="354"/>
    </row>
    <row r="167" spans="3:52" x14ac:dyDescent="0.25">
      <c r="C167" s="354"/>
      <c r="D167" s="354"/>
      <c r="E167" s="354"/>
      <c r="F167" s="354"/>
      <c r="G167" s="354"/>
      <c r="H167" s="354"/>
      <c r="I167" s="354"/>
      <c r="J167" s="354"/>
      <c r="K167" s="354"/>
      <c r="L167" s="354"/>
      <c r="M167" s="354"/>
      <c r="N167" s="354"/>
      <c r="O167" s="354"/>
      <c r="P167" s="354"/>
      <c r="Q167" s="354"/>
      <c r="R167" s="370"/>
      <c r="S167" s="354"/>
      <c r="T167" s="354"/>
      <c r="U167" s="354"/>
      <c r="V167" s="354"/>
      <c r="W167" s="354"/>
      <c r="X167" s="354"/>
      <c r="Y167" s="354"/>
      <c r="Z167" s="354"/>
      <c r="AA167" s="354"/>
      <c r="AB167" s="354"/>
      <c r="AC167" s="354"/>
      <c r="AD167" s="354"/>
      <c r="AE167" s="354"/>
      <c r="AF167" s="354"/>
      <c r="AG167" s="354"/>
      <c r="AH167" s="354"/>
      <c r="AI167" s="354"/>
      <c r="AJ167" s="354"/>
      <c r="AK167" s="354"/>
      <c r="AL167" s="354"/>
      <c r="AM167" s="354"/>
      <c r="AN167" s="354"/>
      <c r="AO167" s="354"/>
      <c r="AP167" s="354"/>
      <c r="AQ167" s="354"/>
      <c r="AR167" s="354"/>
      <c r="AS167" s="354"/>
      <c r="AT167" s="354"/>
      <c r="AU167" s="354"/>
      <c r="AV167" s="354"/>
      <c r="AW167" s="354"/>
      <c r="AX167" s="354"/>
      <c r="AY167" s="354"/>
      <c r="AZ167" s="354"/>
    </row>
    <row r="168" spans="3:52" x14ac:dyDescent="0.25">
      <c r="C168" s="354"/>
      <c r="D168" s="354"/>
      <c r="E168" s="354"/>
      <c r="F168" s="354"/>
      <c r="G168" s="354"/>
      <c r="H168" s="354"/>
      <c r="I168" s="354"/>
      <c r="J168" s="354"/>
      <c r="K168" s="354"/>
      <c r="L168" s="354"/>
      <c r="M168" s="354"/>
      <c r="N168" s="354"/>
      <c r="O168" s="354"/>
      <c r="P168" s="354"/>
      <c r="Q168" s="354"/>
      <c r="R168" s="370"/>
      <c r="S168" s="354"/>
      <c r="T168" s="354"/>
      <c r="U168" s="354"/>
      <c r="V168" s="354"/>
      <c r="W168" s="354"/>
      <c r="X168" s="354"/>
      <c r="Y168" s="354"/>
      <c r="Z168" s="354"/>
      <c r="AA168" s="354"/>
      <c r="AB168" s="354"/>
      <c r="AC168" s="354"/>
      <c r="AD168" s="354"/>
      <c r="AE168" s="354"/>
      <c r="AF168" s="354"/>
      <c r="AG168" s="354"/>
      <c r="AH168" s="354"/>
      <c r="AI168" s="354"/>
      <c r="AJ168" s="354"/>
      <c r="AK168" s="354"/>
      <c r="AL168" s="354"/>
      <c r="AM168" s="354"/>
      <c r="AN168" s="354"/>
      <c r="AO168" s="354"/>
      <c r="AP168" s="354"/>
      <c r="AQ168" s="354"/>
      <c r="AR168" s="354"/>
      <c r="AS168" s="354"/>
      <c r="AT168" s="354"/>
      <c r="AU168" s="354"/>
      <c r="AV168" s="354"/>
      <c r="AW168" s="354"/>
      <c r="AX168" s="354"/>
      <c r="AY168" s="354"/>
      <c r="AZ168" s="354"/>
    </row>
    <row r="169" spans="3:52" x14ac:dyDescent="0.25">
      <c r="C169" s="354"/>
      <c r="D169" s="354"/>
      <c r="E169" s="354"/>
      <c r="F169" s="354"/>
      <c r="G169" s="354"/>
      <c r="H169" s="354"/>
      <c r="I169" s="354"/>
      <c r="J169" s="354"/>
      <c r="K169" s="354"/>
      <c r="L169" s="354"/>
      <c r="M169" s="354"/>
      <c r="N169" s="354"/>
      <c r="O169" s="354"/>
      <c r="P169" s="354"/>
      <c r="Q169" s="354"/>
      <c r="R169" s="370"/>
      <c r="S169" s="354"/>
      <c r="T169" s="354"/>
      <c r="U169" s="354"/>
      <c r="V169" s="354"/>
      <c r="W169" s="354"/>
      <c r="X169" s="354"/>
      <c r="Y169" s="354"/>
      <c r="Z169" s="354"/>
      <c r="AA169" s="354"/>
      <c r="AB169" s="354"/>
      <c r="AC169" s="354"/>
      <c r="AD169" s="354"/>
      <c r="AE169" s="354"/>
      <c r="AF169" s="354"/>
      <c r="AG169" s="354"/>
      <c r="AH169" s="354"/>
      <c r="AI169" s="354"/>
      <c r="AJ169" s="354"/>
      <c r="AK169" s="354"/>
      <c r="AL169" s="354"/>
      <c r="AM169" s="354"/>
      <c r="AN169" s="354"/>
      <c r="AO169" s="354"/>
      <c r="AP169" s="354"/>
      <c r="AQ169" s="354"/>
      <c r="AR169" s="354"/>
      <c r="AS169" s="354"/>
      <c r="AT169" s="354"/>
      <c r="AU169" s="354"/>
      <c r="AV169" s="354"/>
      <c r="AW169" s="354"/>
      <c r="AX169" s="354"/>
      <c r="AY169" s="354"/>
      <c r="AZ169" s="354"/>
    </row>
    <row r="170" spans="3:52" x14ac:dyDescent="0.25">
      <c r="C170" s="354"/>
      <c r="D170" s="354"/>
      <c r="E170" s="354"/>
      <c r="F170" s="354"/>
      <c r="G170" s="354"/>
      <c r="H170" s="354"/>
      <c r="I170" s="354"/>
      <c r="J170" s="354"/>
      <c r="K170" s="354"/>
      <c r="L170" s="354"/>
      <c r="M170" s="354"/>
      <c r="N170" s="354"/>
      <c r="O170" s="354"/>
      <c r="P170" s="354"/>
      <c r="Q170" s="354"/>
      <c r="R170" s="370"/>
      <c r="S170" s="354"/>
      <c r="T170" s="354"/>
      <c r="U170" s="354"/>
      <c r="V170" s="354"/>
      <c r="W170" s="354"/>
      <c r="X170" s="354"/>
      <c r="Y170" s="354"/>
      <c r="Z170" s="354"/>
      <c r="AA170" s="354"/>
      <c r="AB170" s="354"/>
      <c r="AC170" s="354"/>
      <c r="AD170" s="354"/>
      <c r="AE170" s="354"/>
      <c r="AF170" s="354"/>
      <c r="AG170" s="354"/>
      <c r="AH170" s="354"/>
      <c r="AI170" s="354"/>
      <c r="AJ170" s="354"/>
      <c r="AK170" s="354"/>
      <c r="AL170" s="354"/>
      <c r="AM170" s="354"/>
      <c r="AN170" s="354"/>
      <c r="AO170" s="354"/>
      <c r="AP170" s="354"/>
      <c r="AQ170" s="354"/>
      <c r="AR170" s="354"/>
      <c r="AS170" s="354"/>
      <c r="AT170" s="354"/>
      <c r="AU170" s="354"/>
      <c r="AV170" s="354"/>
      <c r="AW170" s="354"/>
      <c r="AX170" s="354"/>
      <c r="AY170" s="354"/>
      <c r="AZ170" s="354"/>
    </row>
    <row r="171" spans="3:52" x14ac:dyDescent="0.25">
      <c r="C171" s="354"/>
      <c r="D171" s="354"/>
      <c r="E171" s="354"/>
      <c r="F171" s="354"/>
      <c r="G171" s="354"/>
      <c r="H171" s="354"/>
      <c r="I171" s="354"/>
      <c r="J171" s="354"/>
      <c r="K171" s="354"/>
      <c r="L171" s="354"/>
      <c r="M171" s="354"/>
      <c r="N171" s="354"/>
      <c r="O171" s="354"/>
      <c r="P171" s="354"/>
      <c r="Q171" s="354"/>
      <c r="R171" s="370"/>
      <c r="S171" s="354"/>
      <c r="T171" s="354"/>
      <c r="U171" s="354"/>
      <c r="V171" s="354"/>
      <c r="W171" s="354"/>
      <c r="X171" s="354"/>
      <c r="Y171" s="354"/>
      <c r="Z171" s="354"/>
      <c r="AA171" s="354"/>
      <c r="AB171" s="354"/>
      <c r="AC171" s="354"/>
      <c r="AD171" s="354"/>
      <c r="AE171" s="354"/>
      <c r="AF171" s="354"/>
      <c r="AG171" s="354"/>
      <c r="AH171" s="354"/>
      <c r="AI171" s="354"/>
      <c r="AJ171" s="354"/>
      <c r="AK171" s="354"/>
      <c r="AL171" s="354"/>
      <c r="AM171" s="354"/>
      <c r="AN171" s="354"/>
      <c r="AO171" s="354"/>
      <c r="AP171" s="354"/>
      <c r="AQ171" s="354"/>
      <c r="AR171" s="354"/>
      <c r="AS171" s="354"/>
      <c r="AT171" s="354"/>
      <c r="AU171" s="354"/>
      <c r="AV171" s="354"/>
      <c r="AW171" s="354"/>
      <c r="AX171" s="354"/>
      <c r="AY171" s="354"/>
      <c r="AZ171" s="354"/>
    </row>
    <row r="172" spans="3:52" x14ac:dyDescent="0.25">
      <c r="C172" s="354"/>
      <c r="D172" s="354"/>
      <c r="E172" s="354"/>
      <c r="F172" s="354"/>
      <c r="G172" s="354"/>
      <c r="H172" s="354"/>
      <c r="I172" s="354"/>
      <c r="J172" s="354"/>
      <c r="K172" s="354"/>
      <c r="L172" s="354"/>
      <c r="M172" s="354"/>
      <c r="N172" s="354"/>
      <c r="O172" s="354"/>
      <c r="P172" s="354"/>
      <c r="Q172" s="354"/>
      <c r="R172" s="370"/>
      <c r="S172" s="354"/>
      <c r="T172" s="354"/>
      <c r="U172" s="354"/>
      <c r="V172" s="354"/>
      <c r="W172" s="354"/>
      <c r="X172" s="354"/>
      <c r="Y172" s="354"/>
      <c r="Z172" s="354"/>
      <c r="AA172" s="354"/>
      <c r="AB172" s="354"/>
      <c r="AC172" s="354"/>
      <c r="AD172" s="354"/>
      <c r="AE172" s="354"/>
      <c r="AF172" s="354"/>
      <c r="AG172" s="354"/>
      <c r="AH172" s="354"/>
      <c r="AI172" s="354"/>
      <c r="AJ172" s="354"/>
      <c r="AK172" s="354"/>
      <c r="AL172" s="354"/>
      <c r="AM172" s="354"/>
      <c r="AN172" s="354"/>
      <c r="AO172" s="354"/>
      <c r="AP172" s="354"/>
      <c r="AQ172" s="354"/>
      <c r="AR172" s="354"/>
      <c r="AS172" s="354"/>
      <c r="AT172" s="354"/>
      <c r="AU172" s="354"/>
      <c r="AV172" s="354"/>
      <c r="AW172" s="354"/>
      <c r="AX172" s="354"/>
      <c r="AY172" s="354"/>
      <c r="AZ172" s="354"/>
    </row>
    <row r="173" spans="3:52" x14ac:dyDescent="0.25">
      <c r="C173" s="354"/>
      <c r="D173" s="354"/>
      <c r="E173" s="354"/>
      <c r="F173" s="354"/>
      <c r="G173" s="354"/>
      <c r="H173" s="354"/>
      <c r="I173" s="354"/>
      <c r="J173" s="354"/>
      <c r="K173" s="354"/>
      <c r="L173" s="354"/>
      <c r="M173" s="354"/>
      <c r="N173" s="354"/>
      <c r="O173" s="354"/>
      <c r="P173" s="354"/>
      <c r="Q173" s="354"/>
      <c r="R173" s="370"/>
      <c r="S173" s="354"/>
      <c r="T173" s="354"/>
      <c r="U173" s="354"/>
      <c r="V173" s="354"/>
      <c r="W173" s="354"/>
      <c r="X173" s="354"/>
      <c r="Y173" s="354"/>
      <c r="Z173" s="354"/>
      <c r="AA173" s="354"/>
      <c r="AB173" s="354"/>
      <c r="AC173" s="354"/>
      <c r="AD173" s="354"/>
      <c r="AE173" s="354"/>
      <c r="AF173" s="354"/>
      <c r="AG173" s="354"/>
      <c r="AH173" s="354"/>
      <c r="AI173" s="354"/>
      <c r="AJ173" s="354"/>
      <c r="AK173" s="354"/>
      <c r="AL173" s="354"/>
      <c r="AM173" s="354"/>
      <c r="AN173" s="354"/>
      <c r="AO173" s="354"/>
      <c r="AP173" s="354"/>
      <c r="AQ173" s="354"/>
      <c r="AR173" s="354"/>
      <c r="AS173" s="354"/>
      <c r="AT173" s="354"/>
      <c r="AU173" s="354"/>
      <c r="AV173" s="354"/>
      <c r="AW173" s="354"/>
      <c r="AX173" s="354"/>
      <c r="AY173" s="354"/>
      <c r="AZ173" s="354"/>
    </row>
    <row r="174" spans="3:52" x14ac:dyDescent="0.25">
      <c r="C174" s="354"/>
      <c r="D174" s="354"/>
      <c r="E174" s="354"/>
      <c r="F174" s="354"/>
      <c r="G174" s="354"/>
      <c r="H174" s="354"/>
      <c r="I174" s="354"/>
      <c r="J174" s="354"/>
      <c r="K174" s="354"/>
      <c r="L174" s="354"/>
      <c r="M174" s="354"/>
      <c r="N174" s="354"/>
      <c r="O174" s="354"/>
      <c r="P174" s="354"/>
      <c r="Q174" s="354"/>
      <c r="R174" s="370"/>
      <c r="S174" s="354"/>
      <c r="T174" s="354"/>
      <c r="U174" s="354"/>
      <c r="V174" s="354"/>
      <c r="W174" s="354"/>
      <c r="X174" s="354"/>
      <c r="Y174" s="354"/>
      <c r="Z174" s="354"/>
      <c r="AA174" s="354"/>
      <c r="AB174" s="354"/>
      <c r="AC174" s="354"/>
      <c r="AD174" s="354"/>
      <c r="AE174" s="354"/>
      <c r="AF174" s="354"/>
      <c r="AG174" s="354"/>
      <c r="AH174" s="354"/>
      <c r="AI174" s="354"/>
      <c r="AJ174" s="354"/>
      <c r="AK174" s="354"/>
      <c r="AL174" s="354"/>
      <c r="AM174" s="354"/>
      <c r="AN174" s="354"/>
      <c r="AO174" s="354"/>
      <c r="AP174" s="354"/>
      <c r="AQ174" s="354"/>
      <c r="AR174" s="354"/>
      <c r="AS174" s="354"/>
      <c r="AT174" s="354"/>
      <c r="AU174" s="354"/>
      <c r="AV174" s="354"/>
      <c r="AW174" s="354"/>
      <c r="AX174" s="354"/>
      <c r="AY174" s="354"/>
      <c r="AZ174" s="354"/>
    </row>
    <row r="175" spans="3:52" x14ac:dyDescent="0.25">
      <c r="C175" s="354"/>
      <c r="D175" s="354"/>
      <c r="E175" s="354"/>
      <c r="F175" s="354"/>
      <c r="G175" s="354"/>
      <c r="H175" s="354"/>
      <c r="I175" s="354"/>
      <c r="J175" s="354"/>
      <c r="K175" s="354"/>
      <c r="L175" s="354"/>
      <c r="M175" s="354"/>
      <c r="N175" s="354"/>
      <c r="O175" s="354"/>
      <c r="P175" s="354"/>
      <c r="Q175" s="354"/>
      <c r="R175" s="370"/>
      <c r="S175" s="354"/>
      <c r="T175" s="354"/>
      <c r="U175" s="354"/>
      <c r="V175" s="354"/>
      <c r="W175" s="354"/>
      <c r="X175" s="354"/>
      <c r="Y175" s="354"/>
      <c r="Z175" s="354"/>
      <c r="AA175" s="354"/>
      <c r="AB175" s="354"/>
      <c r="AC175" s="354"/>
      <c r="AD175" s="354"/>
      <c r="AE175" s="354"/>
      <c r="AF175" s="354"/>
      <c r="AG175" s="354"/>
      <c r="AH175" s="354"/>
      <c r="AI175" s="354"/>
      <c r="AJ175" s="354"/>
      <c r="AK175" s="354"/>
      <c r="AL175" s="354"/>
      <c r="AM175" s="354"/>
      <c r="AN175" s="354"/>
      <c r="AO175" s="354"/>
      <c r="AP175" s="354"/>
      <c r="AQ175" s="354"/>
      <c r="AR175" s="354"/>
      <c r="AS175" s="354"/>
      <c r="AT175" s="354"/>
      <c r="AU175" s="354"/>
      <c r="AV175" s="354"/>
      <c r="AW175" s="354"/>
      <c r="AX175" s="354"/>
      <c r="AY175" s="354"/>
      <c r="AZ175" s="354"/>
    </row>
    <row r="176" spans="3:52" x14ac:dyDescent="0.25">
      <c r="C176" s="354"/>
      <c r="D176" s="354"/>
      <c r="E176" s="354"/>
      <c r="F176" s="354"/>
      <c r="G176" s="354"/>
      <c r="H176" s="354"/>
      <c r="I176" s="354"/>
      <c r="J176" s="354"/>
      <c r="K176" s="354"/>
      <c r="L176" s="354"/>
      <c r="M176" s="354"/>
      <c r="N176" s="354"/>
      <c r="O176" s="354"/>
      <c r="P176" s="354"/>
      <c r="Q176" s="354"/>
      <c r="R176" s="370"/>
      <c r="S176" s="354"/>
      <c r="T176" s="354"/>
      <c r="U176" s="354"/>
      <c r="V176" s="354"/>
      <c r="W176" s="354"/>
      <c r="X176" s="354"/>
      <c r="Y176" s="354"/>
      <c r="Z176" s="354"/>
      <c r="AA176" s="354"/>
      <c r="AB176" s="354"/>
      <c r="AC176" s="354"/>
      <c r="AD176" s="354"/>
      <c r="AE176" s="354"/>
      <c r="AF176" s="354"/>
      <c r="AG176" s="354"/>
      <c r="AH176" s="354"/>
      <c r="AI176" s="354"/>
      <c r="AJ176" s="354"/>
      <c r="AK176" s="354"/>
      <c r="AL176" s="354"/>
      <c r="AM176" s="354"/>
      <c r="AN176" s="354"/>
      <c r="AO176" s="354"/>
      <c r="AP176" s="354"/>
      <c r="AQ176" s="354"/>
      <c r="AR176" s="354"/>
      <c r="AS176" s="354"/>
      <c r="AT176" s="354"/>
      <c r="AU176" s="354"/>
      <c r="AV176" s="354"/>
      <c r="AW176" s="354"/>
      <c r="AX176" s="354"/>
      <c r="AY176" s="354"/>
      <c r="AZ176" s="354"/>
    </row>
    <row r="177" spans="3:52" x14ac:dyDescent="0.25">
      <c r="C177" s="354"/>
      <c r="D177" s="354"/>
      <c r="E177" s="354"/>
      <c r="F177" s="354"/>
      <c r="G177" s="354"/>
      <c r="H177" s="354"/>
      <c r="I177" s="354"/>
      <c r="J177" s="354"/>
      <c r="K177" s="354"/>
      <c r="L177" s="354"/>
      <c r="M177" s="354"/>
      <c r="N177" s="354"/>
      <c r="O177" s="354"/>
      <c r="P177" s="354"/>
      <c r="Q177" s="354"/>
      <c r="R177" s="370"/>
      <c r="S177" s="354"/>
      <c r="T177" s="354"/>
      <c r="U177" s="354"/>
      <c r="V177" s="354"/>
      <c r="W177" s="354"/>
      <c r="X177" s="354"/>
      <c r="Y177" s="354"/>
      <c r="Z177" s="354"/>
      <c r="AA177" s="354"/>
      <c r="AB177" s="354"/>
      <c r="AC177" s="354"/>
      <c r="AD177" s="354"/>
      <c r="AE177" s="354"/>
      <c r="AF177" s="354"/>
      <c r="AG177" s="354"/>
      <c r="AH177" s="354"/>
      <c r="AI177" s="354"/>
      <c r="AJ177" s="354"/>
      <c r="AK177" s="354"/>
      <c r="AL177" s="354"/>
      <c r="AM177" s="354"/>
      <c r="AN177" s="354"/>
      <c r="AO177" s="354"/>
      <c r="AP177" s="354"/>
      <c r="AQ177" s="354"/>
      <c r="AR177" s="354"/>
      <c r="AS177" s="354"/>
      <c r="AT177" s="354"/>
      <c r="AU177" s="354"/>
      <c r="AV177" s="354"/>
      <c r="AW177" s="354"/>
      <c r="AX177" s="354"/>
      <c r="AY177" s="354"/>
      <c r="AZ177" s="354"/>
    </row>
    <row r="178" spans="3:52" x14ac:dyDescent="0.25">
      <c r="C178" s="354"/>
      <c r="D178" s="354"/>
      <c r="E178" s="354"/>
      <c r="F178" s="354"/>
      <c r="G178" s="354"/>
      <c r="H178" s="354"/>
      <c r="I178" s="354"/>
      <c r="J178" s="354"/>
      <c r="K178" s="354"/>
      <c r="L178" s="354"/>
      <c r="M178" s="354"/>
      <c r="N178" s="354"/>
      <c r="O178" s="354"/>
      <c r="P178" s="354"/>
      <c r="Q178" s="354"/>
      <c r="R178" s="370"/>
      <c r="S178" s="354"/>
      <c r="T178" s="354"/>
      <c r="U178" s="354"/>
      <c r="V178" s="354"/>
      <c r="W178" s="354"/>
      <c r="X178" s="354"/>
      <c r="Y178" s="354"/>
      <c r="Z178" s="354"/>
      <c r="AA178" s="354"/>
      <c r="AB178" s="354"/>
      <c r="AC178" s="354"/>
      <c r="AD178" s="354"/>
      <c r="AE178" s="354"/>
      <c r="AF178" s="354"/>
      <c r="AG178" s="354"/>
      <c r="AH178" s="354"/>
      <c r="AI178" s="354"/>
      <c r="AJ178" s="354"/>
      <c r="AK178" s="354"/>
      <c r="AL178" s="354"/>
      <c r="AM178" s="354"/>
      <c r="AN178" s="354"/>
      <c r="AO178" s="354"/>
      <c r="AP178" s="354"/>
      <c r="AQ178" s="354"/>
      <c r="AR178" s="354"/>
      <c r="AS178" s="354"/>
      <c r="AT178" s="354"/>
      <c r="AU178" s="354"/>
      <c r="AV178" s="354"/>
      <c r="AW178" s="354"/>
      <c r="AX178" s="354"/>
      <c r="AY178" s="354"/>
      <c r="AZ178" s="354"/>
    </row>
    <row r="179" spans="3:52" x14ac:dyDescent="0.25">
      <c r="C179" s="354"/>
      <c r="D179" s="354"/>
      <c r="E179" s="354"/>
      <c r="F179" s="354"/>
      <c r="G179" s="354"/>
      <c r="H179" s="354"/>
      <c r="I179" s="354"/>
      <c r="J179" s="354"/>
      <c r="K179" s="354"/>
      <c r="L179" s="354"/>
      <c r="M179" s="354"/>
      <c r="N179" s="354"/>
      <c r="O179" s="354"/>
      <c r="P179" s="354"/>
      <c r="Q179" s="354"/>
      <c r="R179" s="370"/>
      <c r="S179" s="354"/>
      <c r="T179" s="354"/>
      <c r="U179" s="354"/>
      <c r="V179" s="354"/>
      <c r="W179" s="354"/>
      <c r="X179" s="354"/>
      <c r="Y179" s="354"/>
      <c r="Z179" s="354"/>
      <c r="AA179" s="354"/>
      <c r="AB179" s="354"/>
      <c r="AC179" s="354"/>
      <c r="AD179" s="354"/>
      <c r="AE179" s="354"/>
      <c r="AF179" s="354"/>
      <c r="AG179" s="354"/>
      <c r="AH179" s="354"/>
      <c r="AI179" s="354"/>
      <c r="AJ179" s="354"/>
      <c r="AK179" s="354"/>
      <c r="AL179" s="354"/>
      <c r="AM179" s="354"/>
      <c r="AN179" s="354"/>
      <c r="AO179" s="354"/>
      <c r="AP179" s="354"/>
      <c r="AQ179" s="354"/>
      <c r="AR179" s="354"/>
      <c r="AS179" s="354"/>
      <c r="AT179" s="354"/>
      <c r="AU179" s="354"/>
      <c r="AV179" s="354"/>
      <c r="AW179" s="354"/>
      <c r="AX179" s="354"/>
      <c r="AY179" s="354"/>
      <c r="AZ179" s="354"/>
    </row>
    <row r="180" spans="3:52" x14ac:dyDescent="0.25">
      <c r="C180" s="354"/>
      <c r="D180" s="354"/>
      <c r="E180" s="354"/>
      <c r="F180" s="354"/>
      <c r="G180" s="354"/>
      <c r="H180" s="354"/>
      <c r="I180" s="354"/>
      <c r="J180" s="354"/>
      <c r="K180" s="354"/>
      <c r="L180" s="354"/>
      <c r="M180" s="354"/>
      <c r="N180" s="354"/>
      <c r="O180" s="354"/>
      <c r="P180" s="354"/>
      <c r="Q180" s="354"/>
      <c r="R180" s="370"/>
      <c r="S180" s="354"/>
      <c r="T180" s="354"/>
      <c r="U180" s="354"/>
      <c r="V180" s="354"/>
      <c r="W180" s="354"/>
      <c r="X180" s="354"/>
      <c r="Y180" s="354"/>
      <c r="Z180" s="354"/>
      <c r="AA180" s="354"/>
      <c r="AB180" s="354"/>
      <c r="AC180" s="354"/>
      <c r="AD180" s="354"/>
      <c r="AE180" s="354"/>
      <c r="AF180" s="354"/>
      <c r="AG180" s="354"/>
      <c r="AH180" s="354"/>
      <c r="AI180" s="354"/>
      <c r="AJ180" s="354"/>
      <c r="AK180" s="354"/>
      <c r="AL180" s="354"/>
      <c r="AM180" s="354"/>
      <c r="AN180" s="354"/>
      <c r="AO180" s="354"/>
      <c r="AP180" s="354"/>
      <c r="AQ180" s="354"/>
      <c r="AR180" s="354"/>
      <c r="AS180" s="354"/>
      <c r="AT180" s="354"/>
      <c r="AU180" s="354"/>
      <c r="AV180" s="354"/>
      <c r="AW180" s="354"/>
      <c r="AX180" s="354"/>
      <c r="AY180" s="354"/>
      <c r="AZ180" s="354"/>
    </row>
    <row r="181" spans="3:52" x14ac:dyDescent="0.25">
      <c r="C181" s="354"/>
      <c r="D181" s="354"/>
      <c r="E181" s="354"/>
      <c r="F181" s="354"/>
      <c r="G181" s="354"/>
      <c r="H181" s="354"/>
      <c r="I181" s="354"/>
      <c r="J181" s="354"/>
      <c r="K181" s="354"/>
      <c r="L181" s="354"/>
      <c r="M181" s="354"/>
      <c r="N181" s="354"/>
      <c r="O181" s="354"/>
      <c r="P181" s="354"/>
      <c r="Q181" s="354"/>
      <c r="R181" s="370"/>
      <c r="S181" s="354"/>
      <c r="T181" s="354"/>
      <c r="U181" s="354"/>
      <c r="V181" s="354"/>
      <c r="W181" s="354"/>
      <c r="X181" s="354"/>
      <c r="Y181" s="354"/>
      <c r="Z181" s="354"/>
      <c r="AA181" s="354"/>
      <c r="AB181" s="354"/>
      <c r="AC181" s="354"/>
      <c r="AD181" s="354"/>
      <c r="AE181" s="354"/>
      <c r="AF181" s="354"/>
      <c r="AG181" s="354"/>
      <c r="AH181" s="354"/>
      <c r="AI181" s="354"/>
      <c r="AJ181" s="354"/>
      <c r="AK181" s="354"/>
      <c r="AL181" s="354"/>
      <c r="AM181" s="354"/>
      <c r="AN181" s="354"/>
      <c r="AO181" s="354"/>
      <c r="AP181" s="354"/>
      <c r="AQ181" s="354"/>
      <c r="AR181" s="354"/>
      <c r="AS181" s="354"/>
      <c r="AT181" s="354"/>
      <c r="AU181" s="354"/>
      <c r="AV181" s="354"/>
      <c r="AW181" s="354"/>
      <c r="AX181" s="354"/>
      <c r="AY181" s="354"/>
      <c r="AZ181" s="354"/>
    </row>
    <row r="182" spans="3:52" x14ac:dyDescent="0.25">
      <c r="C182" s="354"/>
      <c r="D182" s="354"/>
      <c r="E182" s="354"/>
      <c r="F182" s="354"/>
      <c r="G182" s="354"/>
      <c r="H182" s="354"/>
      <c r="I182" s="354"/>
      <c r="J182" s="354"/>
      <c r="K182" s="354"/>
      <c r="L182" s="354"/>
      <c r="M182" s="354"/>
      <c r="N182" s="354"/>
      <c r="O182" s="354"/>
      <c r="P182" s="354"/>
      <c r="Q182" s="354"/>
      <c r="R182" s="370"/>
      <c r="S182" s="354"/>
      <c r="T182" s="354"/>
      <c r="U182" s="354"/>
      <c r="V182" s="354"/>
      <c r="W182" s="354"/>
      <c r="X182" s="354"/>
      <c r="Y182" s="354"/>
      <c r="Z182" s="354"/>
      <c r="AA182" s="354"/>
      <c r="AB182" s="354"/>
      <c r="AC182" s="354"/>
      <c r="AD182" s="354"/>
      <c r="AE182" s="354"/>
      <c r="AF182" s="354"/>
      <c r="AG182" s="354"/>
      <c r="AH182" s="354"/>
      <c r="AI182" s="354"/>
      <c r="AJ182" s="354"/>
      <c r="AK182" s="354"/>
      <c r="AL182" s="354"/>
      <c r="AM182" s="354"/>
      <c r="AN182" s="354"/>
      <c r="AO182" s="354"/>
      <c r="AP182" s="354"/>
      <c r="AQ182" s="354"/>
      <c r="AR182" s="354"/>
      <c r="AS182" s="354"/>
      <c r="AT182" s="354"/>
      <c r="AU182" s="354"/>
      <c r="AV182" s="354"/>
      <c r="AW182" s="354"/>
      <c r="AX182" s="354"/>
      <c r="AY182" s="354"/>
      <c r="AZ182" s="354"/>
    </row>
    <row r="183" spans="3:52" x14ac:dyDescent="0.25">
      <c r="C183" s="354"/>
      <c r="D183" s="354"/>
      <c r="E183" s="354"/>
      <c r="F183" s="354"/>
      <c r="G183" s="354"/>
      <c r="H183" s="354"/>
      <c r="I183" s="354"/>
      <c r="J183" s="354"/>
      <c r="K183" s="354"/>
      <c r="L183" s="354"/>
      <c r="M183" s="354"/>
      <c r="N183" s="354"/>
      <c r="O183" s="354"/>
      <c r="P183" s="354"/>
      <c r="Q183" s="354"/>
      <c r="R183" s="370"/>
      <c r="S183" s="354"/>
      <c r="T183" s="354"/>
      <c r="U183" s="354"/>
      <c r="V183" s="354"/>
      <c r="W183" s="354"/>
      <c r="X183" s="354"/>
      <c r="Y183" s="354"/>
      <c r="Z183" s="354"/>
      <c r="AA183" s="354"/>
      <c r="AB183" s="354"/>
      <c r="AC183" s="354"/>
      <c r="AD183" s="354"/>
      <c r="AE183" s="354"/>
      <c r="AF183" s="354"/>
      <c r="AG183" s="354"/>
      <c r="AH183" s="354"/>
      <c r="AI183" s="354"/>
      <c r="AJ183" s="354"/>
      <c r="AK183" s="354"/>
      <c r="AL183" s="354"/>
      <c r="AM183" s="354"/>
      <c r="AN183" s="354"/>
      <c r="AO183" s="354"/>
      <c r="AP183" s="354"/>
      <c r="AQ183" s="354"/>
      <c r="AR183" s="354"/>
      <c r="AS183" s="354"/>
      <c r="AT183" s="354"/>
      <c r="AU183" s="354"/>
      <c r="AV183" s="354"/>
      <c r="AW183" s="354"/>
      <c r="AX183" s="354"/>
      <c r="AY183" s="354"/>
      <c r="AZ183" s="354"/>
    </row>
    <row r="184" spans="3:52" x14ac:dyDescent="0.25">
      <c r="C184" s="354"/>
      <c r="D184" s="354"/>
      <c r="E184" s="354"/>
      <c r="F184" s="354"/>
      <c r="G184" s="354"/>
      <c r="H184" s="354"/>
      <c r="I184" s="354"/>
      <c r="J184" s="354"/>
      <c r="K184" s="354"/>
      <c r="L184" s="354"/>
      <c r="M184" s="354"/>
      <c r="N184" s="354"/>
      <c r="O184" s="354"/>
      <c r="P184" s="354"/>
      <c r="Q184" s="354"/>
      <c r="R184" s="370"/>
      <c r="S184" s="354"/>
      <c r="T184" s="354"/>
      <c r="U184" s="354"/>
      <c r="V184" s="354"/>
      <c r="W184" s="354"/>
      <c r="X184" s="354"/>
      <c r="Y184" s="354"/>
      <c r="Z184" s="354"/>
      <c r="AA184" s="354"/>
      <c r="AB184" s="354"/>
      <c r="AC184" s="354"/>
      <c r="AD184" s="354"/>
      <c r="AE184" s="354"/>
      <c r="AF184" s="354"/>
      <c r="AG184" s="354"/>
      <c r="AH184" s="354"/>
      <c r="AI184" s="354"/>
      <c r="AJ184" s="354"/>
      <c r="AK184" s="354"/>
      <c r="AL184" s="354"/>
      <c r="AM184" s="354"/>
      <c r="AN184" s="354"/>
      <c r="AO184" s="354"/>
      <c r="AP184" s="354"/>
      <c r="AQ184" s="354"/>
      <c r="AR184" s="354"/>
      <c r="AS184" s="354"/>
      <c r="AT184" s="354"/>
      <c r="AU184" s="354"/>
      <c r="AV184" s="354"/>
      <c r="AW184" s="354"/>
      <c r="AX184" s="354"/>
      <c r="AY184" s="354"/>
      <c r="AZ184" s="354"/>
    </row>
    <row r="185" spans="3:52" x14ac:dyDescent="0.25">
      <c r="C185" s="354"/>
      <c r="D185" s="354"/>
      <c r="E185" s="354"/>
      <c r="F185" s="354"/>
      <c r="G185" s="354"/>
      <c r="H185" s="354"/>
      <c r="I185" s="354"/>
      <c r="J185" s="354"/>
      <c r="K185" s="354"/>
      <c r="L185" s="354"/>
      <c r="M185" s="354"/>
      <c r="N185" s="354"/>
      <c r="O185" s="354"/>
      <c r="P185" s="354"/>
      <c r="Q185" s="354"/>
      <c r="R185" s="370"/>
      <c r="S185" s="354"/>
      <c r="T185" s="354"/>
      <c r="U185" s="354"/>
      <c r="V185" s="354"/>
      <c r="W185" s="354"/>
      <c r="X185" s="354"/>
      <c r="Y185" s="354"/>
      <c r="Z185" s="354"/>
      <c r="AA185" s="354"/>
      <c r="AB185" s="354"/>
      <c r="AC185" s="354"/>
      <c r="AD185" s="354"/>
      <c r="AE185" s="354"/>
      <c r="AF185" s="354"/>
      <c r="AG185" s="354"/>
      <c r="AH185" s="354"/>
      <c r="AI185" s="354"/>
      <c r="AJ185" s="354"/>
      <c r="AK185" s="354"/>
      <c r="AL185" s="354"/>
      <c r="AM185" s="354"/>
      <c r="AN185" s="354"/>
      <c r="AO185" s="354"/>
      <c r="AP185" s="354"/>
      <c r="AQ185" s="354"/>
      <c r="AR185" s="354"/>
      <c r="AS185" s="354"/>
      <c r="AT185" s="354"/>
      <c r="AU185" s="354"/>
      <c r="AV185" s="354"/>
      <c r="AW185" s="354"/>
      <c r="AX185" s="354"/>
      <c r="AY185" s="354"/>
      <c r="AZ185" s="354"/>
    </row>
    <row r="186" spans="3:52" x14ac:dyDescent="0.25">
      <c r="C186" s="354"/>
      <c r="D186" s="354"/>
      <c r="E186" s="354"/>
      <c r="F186" s="354"/>
      <c r="G186" s="354"/>
      <c r="H186" s="354"/>
      <c r="I186" s="354"/>
      <c r="J186" s="354"/>
      <c r="K186" s="354"/>
      <c r="L186" s="354"/>
      <c r="M186" s="354"/>
      <c r="N186" s="354"/>
      <c r="O186" s="354"/>
      <c r="P186" s="354"/>
      <c r="Q186" s="354"/>
      <c r="R186" s="370"/>
      <c r="S186" s="354"/>
      <c r="T186" s="354"/>
      <c r="U186" s="354"/>
      <c r="V186" s="354"/>
      <c r="W186" s="354"/>
      <c r="X186" s="354"/>
      <c r="Y186" s="354"/>
      <c r="Z186" s="354"/>
      <c r="AA186" s="354"/>
      <c r="AB186" s="354"/>
      <c r="AC186" s="354"/>
      <c r="AD186" s="354"/>
      <c r="AE186" s="354"/>
      <c r="AF186" s="354"/>
      <c r="AG186" s="354"/>
      <c r="AH186" s="354"/>
      <c r="AI186" s="354"/>
      <c r="AJ186" s="354"/>
      <c r="AK186" s="354"/>
      <c r="AL186" s="354"/>
      <c r="AM186" s="354"/>
      <c r="AN186" s="354"/>
      <c r="AO186" s="354"/>
      <c r="AP186" s="354"/>
      <c r="AQ186" s="354"/>
      <c r="AR186" s="354"/>
      <c r="AS186" s="354"/>
      <c r="AT186" s="354"/>
      <c r="AU186" s="354"/>
      <c r="AV186" s="354"/>
      <c r="AW186" s="354"/>
      <c r="AX186" s="354"/>
      <c r="AY186" s="354"/>
      <c r="AZ186" s="354"/>
    </row>
    <row r="187" spans="3:52" x14ac:dyDescent="0.25">
      <c r="C187" s="354"/>
      <c r="D187" s="354"/>
      <c r="E187" s="354"/>
      <c r="F187" s="354"/>
      <c r="G187" s="354"/>
      <c r="H187" s="354"/>
      <c r="I187" s="354"/>
      <c r="J187" s="354"/>
      <c r="K187" s="354"/>
      <c r="L187" s="354"/>
      <c r="M187" s="354"/>
      <c r="N187" s="354"/>
      <c r="O187" s="354"/>
      <c r="P187" s="354"/>
      <c r="Q187" s="354"/>
      <c r="R187" s="370"/>
      <c r="S187" s="354"/>
      <c r="T187" s="354"/>
      <c r="U187" s="354"/>
      <c r="V187" s="354"/>
      <c r="W187" s="354"/>
      <c r="X187" s="354"/>
      <c r="Y187" s="354"/>
      <c r="Z187" s="354"/>
      <c r="AA187" s="354"/>
      <c r="AB187" s="354"/>
      <c r="AC187" s="354"/>
      <c r="AD187" s="354"/>
      <c r="AE187" s="354"/>
      <c r="AF187" s="354"/>
      <c r="AG187" s="354"/>
      <c r="AH187" s="354"/>
      <c r="AI187" s="354"/>
      <c r="AJ187" s="354"/>
      <c r="AK187" s="354"/>
      <c r="AL187" s="354"/>
      <c r="AM187" s="354"/>
      <c r="AN187" s="354"/>
      <c r="AO187" s="354"/>
      <c r="AP187" s="354"/>
      <c r="AQ187" s="354"/>
      <c r="AR187" s="354"/>
      <c r="AS187" s="354"/>
      <c r="AT187" s="354"/>
      <c r="AU187" s="354"/>
      <c r="AV187" s="354"/>
      <c r="AW187" s="354"/>
      <c r="AX187" s="354"/>
      <c r="AY187" s="354"/>
      <c r="AZ187" s="354"/>
    </row>
    <row r="188" spans="3:52" x14ac:dyDescent="0.25">
      <c r="C188" s="354"/>
      <c r="D188" s="354"/>
      <c r="E188" s="354"/>
      <c r="F188" s="354"/>
      <c r="G188" s="354"/>
      <c r="H188" s="354"/>
      <c r="I188" s="354"/>
      <c r="J188" s="354"/>
      <c r="K188" s="354"/>
      <c r="L188" s="354"/>
      <c r="M188" s="354"/>
      <c r="N188" s="354"/>
      <c r="O188" s="354"/>
      <c r="P188" s="354"/>
      <c r="Q188" s="354"/>
      <c r="R188" s="370"/>
      <c r="S188" s="354"/>
      <c r="T188" s="354"/>
      <c r="U188" s="354"/>
      <c r="V188" s="354"/>
      <c r="W188" s="354"/>
      <c r="X188" s="354"/>
      <c r="Y188" s="354"/>
      <c r="Z188" s="354"/>
      <c r="AA188" s="354"/>
      <c r="AB188" s="354"/>
      <c r="AC188" s="354"/>
      <c r="AD188" s="354"/>
      <c r="AE188" s="354"/>
      <c r="AF188" s="354"/>
      <c r="AG188" s="354"/>
      <c r="AH188" s="354"/>
      <c r="AI188" s="354"/>
      <c r="AJ188" s="354"/>
      <c r="AK188" s="354"/>
      <c r="AL188" s="354"/>
      <c r="AM188" s="354"/>
      <c r="AN188" s="354"/>
      <c r="AO188" s="354"/>
      <c r="AP188" s="354"/>
      <c r="AQ188" s="354"/>
      <c r="AR188" s="354"/>
      <c r="AS188" s="354"/>
      <c r="AT188" s="354"/>
      <c r="AU188" s="354"/>
      <c r="AV188" s="354"/>
      <c r="AW188" s="354"/>
      <c r="AX188" s="354"/>
      <c r="AY188" s="354"/>
      <c r="AZ188" s="354"/>
    </row>
    <row r="189" spans="3:52" x14ac:dyDescent="0.25">
      <c r="C189" s="354"/>
      <c r="D189" s="354"/>
      <c r="E189" s="354"/>
      <c r="F189" s="354"/>
      <c r="G189" s="354"/>
      <c r="H189" s="354"/>
      <c r="I189" s="354"/>
      <c r="J189" s="354"/>
      <c r="K189" s="354"/>
      <c r="L189" s="354"/>
      <c r="M189" s="354"/>
      <c r="N189" s="354"/>
      <c r="O189" s="354"/>
      <c r="P189" s="354"/>
      <c r="Q189" s="354"/>
      <c r="R189" s="370"/>
      <c r="S189" s="354"/>
      <c r="T189" s="354"/>
      <c r="U189" s="354"/>
      <c r="V189" s="354"/>
      <c r="W189" s="354"/>
      <c r="X189" s="354"/>
      <c r="Y189" s="354"/>
      <c r="Z189" s="354"/>
      <c r="AA189" s="354"/>
      <c r="AB189" s="354"/>
      <c r="AC189" s="354"/>
      <c r="AD189" s="354"/>
      <c r="AE189" s="354"/>
      <c r="AF189" s="354"/>
      <c r="AG189" s="354"/>
      <c r="AH189" s="354"/>
      <c r="AI189" s="354"/>
      <c r="AJ189" s="354"/>
      <c r="AK189" s="354"/>
      <c r="AL189" s="354"/>
      <c r="AM189" s="354"/>
      <c r="AN189" s="354"/>
      <c r="AO189" s="354"/>
      <c r="AP189" s="354"/>
      <c r="AQ189" s="354"/>
      <c r="AR189" s="354"/>
      <c r="AS189" s="354"/>
      <c r="AT189" s="354"/>
      <c r="AU189" s="354"/>
      <c r="AV189" s="354"/>
      <c r="AW189" s="354"/>
      <c r="AX189" s="354"/>
      <c r="AY189" s="354"/>
      <c r="AZ189" s="354"/>
    </row>
    <row r="190" spans="3:52" x14ac:dyDescent="0.25">
      <c r="C190" s="354"/>
      <c r="D190" s="354"/>
      <c r="E190" s="354"/>
      <c r="F190" s="354"/>
      <c r="G190" s="354"/>
      <c r="H190" s="354"/>
      <c r="I190" s="354"/>
      <c r="J190" s="354"/>
      <c r="K190" s="354"/>
      <c r="L190" s="354"/>
      <c r="M190" s="354"/>
      <c r="N190" s="354"/>
      <c r="O190" s="354"/>
      <c r="P190" s="354"/>
      <c r="Q190" s="354"/>
      <c r="R190" s="370"/>
      <c r="S190" s="354"/>
      <c r="T190" s="354"/>
      <c r="U190" s="354"/>
      <c r="V190" s="354"/>
      <c r="W190" s="354"/>
      <c r="X190" s="354"/>
      <c r="Y190" s="354"/>
      <c r="Z190" s="354"/>
      <c r="AA190" s="354"/>
      <c r="AB190" s="354"/>
      <c r="AC190" s="354"/>
      <c r="AD190" s="354"/>
      <c r="AE190" s="354"/>
      <c r="AF190" s="354"/>
      <c r="AG190" s="354"/>
      <c r="AH190" s="354"/>
      <c r="AI190" s="354"/>
      <c r="AJ190" s="354"/>
      <c r="AK190" s="354"/>
      <c r="AL190" s="354"/>
      <c r="AM190" s="354"/>
      <c r="AN190" s="354"/>
      <c r="AO190" s="354"/>
      <c r="AP190" s="354"/>
      <c r="AQ190" s="354"/>
      <c r="AR190" s="354"/>
      <c r="AS190" s="354"/>
      <c r="AT190" s="354"/>
      <c r="AU190" s="354"/>
      <c r="AV190" s="354"/>
      <c r="AW190" s="354"/>
      <c r="AX190" s="354"/>
      <c r="AY190" s="354"/>
      <c r="AZ190" s="354"/>
    </row>
    <row r="191" spans="3:52" x14ac:dyDescent="0.25">
      <c r="C191" s="354"/>
      <c r="D191" s="354"/>
      <c r="E191" s="354"/>
      <c r="F191" s="354"/>
      <c r="G191" s="354"/>
      <c r="H191" s="354"/>
      <c r="I191" s="354"/>
      <c r="J191" s="354"/>
      <c r="K191" s="354"/>
      <c r="L191" s="354"/>
      <c r="M191" s="354"/>
      <c r="N191" s="354"/>
      <c r="O191" s="354"/>
      <c r="P191" s="354"/>
      <c r="Q191" s="354"/>
      <c r="R191" s="370"/>
      <c r="S191" s="354"/>
      <c r="T191" s="354"/>
      <c r="U191" s="354"/>
      <c r="V191" s="354"/>
      <c r="W191" s="354"/>
      <c r="X191" s="354"/>
      <c r="Y191" s="354"/>
      <c r="Z191" s="354"/>
      <c r="AA191" s="354"/>
      <c r="AB191" s="354"/>
      <c r="AC191" s="354"/>
      <c r="AD191" s="354"/>
      <c r="AE191" s="354"/>
      <c r="AF191" s="354"/>
      <c r="AG191" s="354"/>
      <c r="AH191" s="354"/>
      <c r="AI191" s="354"/>
      <c r="AJ191" s="354"/>
      <c r="AK191" s="354"/>
      <c r="AL191" s="354"/>
      <c r="AM191" s="354"/>
      <c r="AN191" s="354"/>
      <c r="AO191" s="354"/>
      <c r="AP191" s="354"/>
      <c r="AQ191" s="354"/>
      <c r="AR191" s="354"/>
      <c r="AS191" s="354"/>
      <c r="AT191" s="354"/>
      <c r="AU191" s="354"/>
      <c r="AV191" s="354"/>
      <c r="AW191" s="354"/>
      <c r="AX191" s="354"/>
      <c r="AY191" s="354"/>
      <c r="AZ191" s="354"/>
    </row>
    <row r="192" spans="3:52" x14ac:dyDescent="0.25">
      <c r="C192" s="354"/>
      <c r="D192" s="354"/>
      <c r="E192" s="354"/>
      <c r="F192" s="354"/>
      <c r="G192" s="354"/>
      <c r="H192" s="354"/>
      <c r="I192" s="354"/>
      <c r="J192" s="354"/>
      <c r="K192" s="354"/>
      <c r="L192" s="354"/>
      <c r="M192" s="354"/>
      <c r="N192" s="354"/>
      <c r="O192" s="354"/>
      <c r="P192" s="354"/>
      <c r="Q192" s="354"/>
      <c r="R192" s="370"/>
      <c r="S192" s="354"/>
      <c r="T192" s="354"/>
      <c r="U192" s="354"/>
      <c r="V192" s="354"/>
      <c r="W192" s="354"/>
      <c r="X192" s="354"/>
      <c r="Y192" s="354"/>
      <c r="Z192" s="354"/>
      <c r="AA192" s="354"/>
      <c r="AB192" s="354"/>
      <c r="AC192" s="354"/>
      <c r="AD192" s="354"/>
      <c r="AE192" s="354"/>
      <c r="AF192" s="354"/>
      <c r="AG192" s="354"/>
      <c r="AH192" s="354"/>
      <c r="AI192" s="354"/>
      <c r="AJ192" s="354"/>
      <c r="AK192" s="354"/>
      <c r="AL192" s="354"/>
      <c r="AM192" s="354"/>
      <c r="AN192" s="354"/>
      <c r="AO192" s="354"/>
      <c r="AP192" s="354"/>
      <c r="AQ192" s="354"/>
      <c r="AR192" s="354"/>
      <c r="AS192" s="354"/>
      <c r="AT192" s="354"/>
      <c r="AU192" s="354"/>
      <c r="AV192" s="354"/>
      <c r="AW192" s="354"/>
      <c r="AX192" s="354"/>
      <c r="AY192" s="354"/>
      <c r="AZ192" s="354"/>
    </row>
    <row r="193" spans="3:52" x14ac:dyDescent="0.25">
      <c r="C193" s="354"/>
      <c r="D193" s="354"/>
      <c r="E193" s="354"/>
      <c r="F193" s="354"/>
      <c r="G193" s="354"/>
      <c r="H193" s="354"/>
      <c r="I193" s="354"/>
      <c r="J193" s="354"/>
      <c r="K193" s="354"/>
      <c r="L193" s="354"/>
      <c r="M193" s="354"/>
      <c r="N193" s="354"/>
      <c r="O193" s="354"/>
      <c r="P193" s="354"/>
      <c r="Q193" s="354"/>
      <c r="R193" s="370"/>
      <c r="S193" s="354"/>
      <c r="T193" s="354"/>
      <c r="U193" s="354"/>
      <c r="V193" s="354"/>
      <c r="W193" s="354"/>
      <c r="X193" s="354"/>
      <c r="Y193" s="354"/>
      <c r="Z193" s="354"/>
      <c r="AA193" s="354"/>
      <c r="AB193" s="354"/>
      <c r="AC193" s="354"/>
      <c r="AD193" s="354"/>
      <c r="AE193" s="354"/>
      <c r="AF193" s="354"/>
      <c r="AG193" s="354"/>
      <c r="AH193" s="354"/>
      <c r="AI193" s="354"/>
      <c r="AJ193" s="354"/>
      <c r="AK193" s="354"/>
      <c r="AL193" s="354"/>
      <c r="AM193" s="354"/>
      <c r="AN193" s="354"/>
      <c r="AO193" s="354"/>
      <c r="AP193" s="354"/>
      <c r="AQ193" s="354"/>
      <c r="AR193" s="354"/>
      <c r="AS193" s="354"/>
      <c r="AT193" s="354"/>
      <c r="AU193" s="354"/>
      <c r="AV193" s="354"/>
      <c r="AW193" s="354"/>
      <c r="AX193" s="354"/>
      <c r="AY193" s="354"/>
      <c r="AZ193" s="354"/>
    </row>
    <row r="194" spans="3:52" x14ac:dyDescent="0.25">
      <c r="C194" s="354"/>
      <c r="D194" s="354"/>
      <c r="E194" s="354"/>
      <c r="F194" s="354"/>
      <c r="G194" s="354"/>
      <c r="H194" s="354"/>
      <c r="I194" s="354"/>
      <c r="J194" s="354"/>
      <c r="K194" s="354"/>
      <c r="L194" s="354"/>
      <c r="M194" s="354"/>
      <c r="N194" s="354"/>
      <c r="O194" s="354"/>
      <c r="P194" s="354"/>
      <c r="Q194" s="354"/>
      <c r="R194" s="370"/>
      <c r="S194" s="354"/>
      <c r="T194" s="354"/>
      <c r="U194" s="354"/>
      <c r="V194" s="354"/>
      <c r="W194" s="354"/>
      <c r="X194" s="354"/>
      <c r="Y194" s="354"/>
      <c r="Z194" s="354"/>
      <c r="AA194" s="354"/>
      <c r="AB194" s="354"/>
      <c r="AC194" s="354"/>
      <c r="AD194" s="354"/>
      <c r="AE194" s="354"/>
      <c r="AF194" s="354"/>
      <c r="AG194" s="354"/>
      <c r="AH194" s="354"/>
      <c r="AI194" s="354"/>
      <c r="AJ194" s="354"/>
      <c r="AK194" s="354"/>
      <c r="AL194" s="354"/>
      <c r="AM194" s="354"/>
      <c r="AN194" s="354"/>
      <c r="AO194" s="354"/>
      <c r="AP194" s="354"/>
      <c r="AQ194" s="354"/>
      <c r="AR194" s="354"/>
      <c r="AS194" s="354"/>
      <c r="AT194" s="354"/>
      <c r="AU194" s="354"/>
      <c r="AV194" s="354"/>
      <c r="AW194" s="354"/>
      <c r="AX194" s="354"/>
      <c r="AY194" s="354"/>
      <c r="AZ194" s="354"/>
    </row>
    <row r="195" spans="3:52" x14ac:dyDescent="0.25">
      <c r="C195" s="354"/>
      <c r="D195" s="354"/>
      <c r="E195" s="354"/>
      <c r="F195" s="354"/>
      <c r="G195" s="354"/>
      <c r="H195" s="354"/>
      <c r="I195" s="354"/>
      <c r="J195" s="354"/>
      <c r="K195" s="354"/>
      <c r="L195" s="354"/>
      <c r="M195" s="354"/>
      <c r="N195" s="354"/>
      <c r="O195" s="354"/>
      <c r="P195" s="354"/>
      <c r="Q195" s="354"/>
      <c r="R195" s="370"/>
      <c r="S195" s="354"/>
      <c r="T195" s="354"/>
      <c r="U195" s="354"/>
      <c r="V195" s="354"/>
      <c r="W195" s="354"/>
      <c r="X195" s="354"/>
      <c r="Y195" s="354"/>
      <c r="Z195" s="354"/>
      <c r="AA195" s="354"/>
      <c r="AB195" s="354"/>
      <c r="AC195" s="354"/>
      <c r="AD195" s="354"/>
      <c r="AE195" s="354"/>
      <c r="AF195" s="354"/>
      <c r="AG195" s="354"/>
      <c r="AH195" s="354"/>
      <c r="AI195" s="354"/>
      <c r="AJ195" s="354"/>
      <c r="AK195" s="354"/>
      <c r="AL195" s="354"/>
      <c r="AM195" s="354"/>
      <c r="AN195" s="354"/>
      <c r="AO195" s="354"/>
      <c r="AP195" s="354"/>
      <c r="AQ195" s="354"/>
      <c r="AR195" s="354"/>
      <c r="AS195" s="354"/>
      <c r="AT195" s="354"/>
      <c r="AU195" s="354"/>
      <c r="AV195" s="354"/>
      <c r="AW195" s="354"/>
      <c r="AX195" s="354"/>
      <c r="AY195" s="354"/>
      <c r="AZ195" s="354"/>
    </row>
    <row r="196" spans="3:52" x14ac:dyDescent="0.25">
      <c r="C196" s="354"/>
      <c r="D196" s="354"/>
      <c r="E196" s="354"/>
      <c r="F196" s="354"/>
      <c r="G196" s="354"/>
      <c r="H196" s="354"/>
      <c r="I196" s="354"/>
      <c r="J196" s="354"/>
      <c r="K196" s="354"/>
      <c r="L196" s="354"/>
      <c r="M196" s="354"/>
      <c r="N196" s="354"/>
      <c r="O196" s="354"/>
      <c r="P196" s="354"/>
      <c r="Q196" s="354"/>
      <c r="R196" s="370"/>
      <c r="S196" s="354"/>
      <c r="T196" s="354"/>
      <c r="U196" s="354"/>
      <c r="V196" s="354"/>
      <c r="W196" s="354"/>
      <c r="X196" s="354"/>
      <c r="Y196" s="354"/>
      <c r="Z196" s="354"/>
      <c r="AA196" s="354"/>
      <c r="AB196" s="354"/>
      <c r="AC196" s="354"/>
      <c r="AD196" s="354"/>
      <c r="AE196" s="354"/>
      <c r="AF196" s="354"/>
      <c r="AG196" s="354"/>
      <c r="AH196" s="354"/>
      <c r="AI196" s="354"/>
      <c r="AJ196" s="354"/>
      <c r="AK196" s="354"/>
      <c r="AL196" s="354"/>
      <c r="AM196" s="354"/>
      <c r="AN196" s="354"/>
      <c r="AO196" s="354"/>
      <c r="AP196" s="354"/>
      <c r="AQ196" s="354"/>
      <c r="AR196" s="354"/>
      <c r="AS196" s="354"/>
      <c r="AT196" s="354"/>
      <c r="AU196" s="354"/>
      <c r="AV196" s="354"/>
      <c r="AW196" s="354"/>
      <c r="AX196" s="354"/>
      <c r="AY196" s="354"/>
      <c r="AZ196" s="354"/>
    </row>
    <row r="197" spans="3:52" x14ac:dyDescent="0.25">
      <c r="C197" s="354"/>
      <c r="D197" s="354"/>
      <c r="E197" s="354"/>
      <c r="F197" s="354"/>
      <c r="G197" s="354"/>
      <c r="H197" s="354"/>
      <c r="I197" s="354"/>
      <c r="J197" s="354"/>
      <c r="K197" s="354"/>
      <c r="L197" s="354"/>
      <c r="M197" s="354"/>
      <c r="N197" s="354"/>
      <c r="O197" s="354"/>
      <c r="P197" s="354"/>
      <c r="Q197" s="354"/>
      <c r="R197" s="370"/>
      <c r="S197" s="354"/>
      <c r="T197" s="354"/>
      <c r="U197" s="354"/>
      <c r="V197" s="354"/>
      <c r="W197" s="354"/>
      <c r="X197" s="354"/>
      <c r="Y197" s="354"/>
      <c r="Z197" s="354"/>
      <c r="AA197" s="354"/>
      <c r="AB197" s="354"/>
      <c r="AC197" s="354"/>
      <c r="AD197" s="354"/>
      <c r="AE197" s="354"/>
      <c r="AF197" s="354"/>
      <c r="AG197" s="354"/>
      <c r="AH197" s="354"/>
      <c r="AI197" s="354"/>
      <c r="AJ197" s="354"/>
      <c r="AK197" s="354"/>
      <c r="AL197" s="354"/>
      <c r="AM197" s="354"/>
      <c r="AN197" s="354"/>
      <c r="AO197" s="354"/>
      <c r="AP197" s="354"/>
      <c r="AQ197" s="354"/>
      <c r="AR197" s="354"/>
      <c r="AS197" s="354"/>
      <c r="AT197" s="354"/>
      <c r="AU197" s="354"/>
      <c r="AV197" s="354"/>
      <c r="AW197" s="354"/>
      <c r="AX197" s="354"/>
      <c r="AY197" s="354"/>
      <c r="AZ197" s="354"/>
    </row>
    <row r="198" spans="3:52" x14ac:dyDescent="0.25">
      <c r="C198" s="354"/>
      <c r="D198" s="354"/>
      <c r="E198" s="354"/>
      <c r="F198" s="354"/>
      <c r="G198" s="354"/>
      <c r="H198" s="354"/>
      <c r="I198" s="354"/>
      <c r="J198" s="354"/>
      <c r="K198" s="354"/>
      <c r="L198" s="354"/>
      <c r="M198" s="354"/>
      <c r="N198" s="354"/>
      <c r="O198" s="354"/>
      <c r="P198" s="354"/>
      <c r="Q198" s="354"/>
      <c r="R198" s="370"/>
      <c r="S198" s="354"/>
      <c r="T198" s="354"/>
      <c r="U198" s="354"/>
      <c r="V198" s="354"/>
      <c r="W198" s="354"/>
      <c r="X198" s="354"/>
      <c r="Y198" s="354"/>
      <c r="Z198" s="354"/>
      <c r="AA198" s="354"/>
      <c r="AB198" s="354"/>
      <c r="AC198" s="354"/>
      <c r="AD198" s="354"/>
      <c r="AE198" s="354"/>
      <c r="AF198" s="354"/>
      <c r="AG198" s="354"/>
      <c r="AH198" s="354"/>
      <c r="AI198" s="354"/>
      <c r="AJ198" s="354"/>
      <c r="AK198" s="354"/>
      <c r="AL198" s="354"/>
      <c r="AM198" s="354"/>
      <c r="AN198" s="354"/>
      <c r="AO198" s="354"/>
      <c r="AP198" s="354"/>
      <c r="AQ198" s="354"/>
      <c r="AR198" s="354"/>
      <c r="AS198" s="354"/>
      <c r="AT198" s="354"/>
      <c r="AU198" s="354"/>
      <c r="AV198" s="354"/>
      <c r="AW198" s="354"/>
      <c r="AX198" s="354"/>
      <c r="AY198" s="354"/>
      <c r="AZ198" s="354"/>
    </row>
    <row r="199" spans="3:52" x14ac:dyDescent="0.25">
      <c r="C199" s="354"/>
      <c r="D199" s="354"/>
      <c r="E199" s="354"/>
      <c r="F199" s="354"/>
      <c r="G199" s="354"/>
      <c r="H199" s="354"/>
      <c r="I199" s="354"/>
      <c r="J199" s="354"/>
      <c r="K199" s="354"/>
      <c r="L199" s="354"/>
      <c r="M199" s="354"/>
      <c r="N199" s="354"/>
      <c r="O199" s="354"/>
      <c r="P199" s="354"/>
      <c r="Q199" s="354"/>
      <c r="R199" s="370"/>
      <c r="S199" s="354"/>
      <c r="T199" s="354"/>
      <c r="U199" s="354"/>
      <c r="V199" s="354"/>
      <c r="W199" s="354"/>
      <c r="X199" s="354"/>
      <c r="Y199" s="354"/>
      <c r="Z199" s="354"/>
      <c r="AA199" s="354"/>
      <c r="AB199" s="354"/>
      <c r="AC199" s="354"/>
      <c r="AD199" s="354"/>
      <c r="AE199" s="354"/>
      <c r="AF199" s="354"/>
      <c r="AG199" s="354"/>
      <c r="AH199" s="354"/>
      <c r="AI199" s="354"/>
      <c r="AJ199" s="354"/>
      <c r="AK199" s="354"/>
      <c r="AL199" s="354"/>
      <c r="AM199" s="354"/>
      <c r="AN199" s="354"/>
      <c r="AO199" s="354"/>
      <c r="AP199" s="354"/>
      <c r="AQ199" s="354"/>
      <c r="AR199" s="354"/>
      <c r="AS199" s="354"/>
      <c r="AT199" s="354"/>
      <c r="AU199" s="354"/>
      <c r="AV199" s="354"/>
      <c r="AW199" s="354"/>
      <c r="AX199" s="354"/>
      <c r="AY199" s="354"/>
      <c r="AZ199" s="354"/>
    </row>
    <row r="200" spans="3:52" x14ac:dyDescent="0.25">
      <c r="C200" s="354"/>
      <c r="D200" s="354"/>
      <c r="E200" s="354"/>
      <c r="F200" s="354"/>
      <c r="G200" s="354"/>
      <c r="H200" s="354"/>
      <c r="I200" s="354"/>
      <c r="J200" s="354"/>
      <c r="K200" s="354"/>
      <c r="L200" s="354"/>
      <c r="M200" s="354"/>
      <c r="N200" s="354"/>
      <c r="O200" s="354"/>
      <c r="P200" s="354"/>
      <c r="Q200" s="354"/>
      <c r="R200" s="370"/>
      <c r="S200" s="354"/>
      <c r="T200" s="354"/>
      <c r="U200" s="354"/>
      <c r="V200" s="354"/>
      <c r="W200" s="354"/>
      <c r="X200" s="354"/>
      <c r="Y200" s="354"/>
      <c r="Z200" s="354"/>
      <c r="AA200" s="354"/>
      <c r="AB200" s="354"/>
      <c r="AC200" s="354"/>
      <c r="AD200" s="354"/>
      <c r="AE200" s="354"/>
      <c r="AF200" s="354"/>
      <c r="AG200" s="354"/>
      <c r="AH200" s="354"/>
      <c r="AI200" s="354"/>
      <c r="AJ200" s="354"/>
      <c r="AK200" s="354"/>
      <c r="AL200" s="354"/>
      <c r="AM200" s="354"/>
      <c r="AN200" s="354"/>
      <c r="AO200" s="354"/>
      <c r="AP200" s="354"/>
      <c r="AQ200" s="354"/>
      <c r="AR200" s="354"/>
      <c r="AS200" s="354"/>
      <c r="AT200" s="354"/>
      <c r="AU200" s="354"/>
      <c r="AV200" s="354"/>
      <c r="AW200" s="354"/>
      <c r="AX200" s="354"/>
      <c r="AY200" s="354"/>
      <c r="AZ200" s="354"/>
    </row>
    <row r="201" spans="3:52" x14ac:dyDescent="0.25">
      <c r="C201" s="354"/>
      <c r="D201" s="354"/>
      <c r="E201" s="354"/>
      <c r="F201" s="354"/>
      <c r="G201" s="354"/>
      <c r="H201" s="354"/>
      <c r="I201" s="354"/>
      <c r="J201" s="354"/>
      <c r="K201" s="354"/>
      <c r="L201" s="354"/>
      <c r="M201" s="354"/>
      <c r="N201" s="354"/>
      <c r="O201" s="354"/>
      <c r="P201" s="354"/>
      <c r="Q201" s="354"/>
      <c r="R201" s="370"/>
      <c r="S201" s="354"/>
      <c r="T201" s="354"/>
      <c r="U201" s="354"/>
      <c r="V201" s="354"/>
      <c r="W201" s="354"/>
      <c r="X201" s="354"/>
      <c r="Y201" s="354"/>
      <c r="Z201" s="354"/>
      <c r="AA201" s="354"/>
      <c r="AB201" s="354"/>
      <c r="AC201" s="354"/>
      <c r="AD201" s="354"/>
      <c r="AE201" s="354"/>
      <c r="AF201" s="354"/>
      <c r="AG201" s="354"/>
      <c r="AH201" s="354"/>
      <c r="AI201" s="354"/>
      <c r="AJ201" s="354"/>
      <c r="AK201" s="354"/>
      <c r="AL201" s="354"/>
      <c r="AM201" s="354"/>
      <c r="AN201" s="354"/>
      <c r="AO201" s="354"/>
      <c r="AP201" s="354"/>
      <c r="AQ201" s="354"/>
      <c r="AR201" s="354"/>
      <c r="AS201" s="354"/>
      <c r="AT201" s="354"/>
      <c r="AU201" s="354"/>
      <c r="AV201" s="354"/>
      <c r="AW201" s="354"/>
      <c r="AX201" s="354"/>
      <c r="AY201" s="354"/>
      <c r="AZ201" s="354"/>
    </row>
    <row r="202" spans="3:52" x14ac:dyDescent="0.25">
      <c r="C202" s="354"/>
      <c r="D202" s="354"/>
      <c r="E202" s="354"/>
      <c r="F202" s="354"/>
      <c r="G202" s="354"/>
      <c r="H202" s="354"/>
      <c r="I202" s="354"/>
      <c r="J202" s="354"/>
      <c r="K202" s="354"/>
      <c r="L202" s="354"/>
      <c r="M202" s="354"/>
      <c r="N202" s="354"/>
      <c r="O202" s="354"/>
      <c r="P202" s="354"/>
      <c r="Q202" s="354"/>
      <c r="R202" s="370"/>
      <c r="S202" s="354"/>
      <c r="T202" s="354"/>
      <c r="U202" s="354"/>
      <c r="V202" s="354"/>
      <c r="W202" s="354"/>
      <c r="X202" s="354"/>
      <c r="Y202" s="354"/>
      <c r="Z202" s="354"/>
      <c r="AA202" s="354"/>
      <c r="AB202" s="354"/>
      <c r="AC202" s="354"/>
      <c r="AD202" s="354"/>
      <c r="AE202" s="354"/>
      <c r="AF202" s="354"/>
      <c r="AG202" s="354"/>
      <c r="AH202" s="354"/>
      <c r="AI202" s="354"/>
      <c r="AJ202" s="354"/>
      <c r="AK202" s="354"/>
      <c r="AL202" s="354"/>
      <c r="AM202" s="354"/>
      <c r="AN202" s="354"/>
      <c r="AO202" s="354"/>
      <c r="AP202" s="354"/>
      <c r="AQ202" s="354"/>
      <c r="AR202" s="354"/>
      <c r="AS202" s="354"/>
      <c r="AT202" s="354"/>
      <c r="AU202" s="354"/>
      <c r="AV202" s="354"/>
      <c r="AW202" s="354"/>
      <c r="AX202" s="354"/>
      <c r="AY202" s="354"/>
      <c r="AZ202" s="354"/>
    </row>
    <row r="203" spans="3:52" x14ac:dyDescent="0.25">
      <c r="C203" s="354"/>
      <c r="D203" s="354"/>
      <c r="E203" s="354"/>
      <c r="F203" s="354"/>
      <c r="G203" s="354"/>
      <c r="H203" s="354"/>
      <c r="I203" s="354"/>
      <c r="J203" s="354"/>
      <c r="K203" s="354"/>
      <c r="L203" s="354"/>
      <c r="M203" s="354"/>
      <c r="N203" s="354"/>
      <c r="O203" s="354"/>
      <c r="P203" s="354"/>
      <c r="Q203" s="354"/>
      <c r="R203" s="370"/>
      <c r="S203" s="354"/>
      <c r="T203" s="354"/>
      <c r="U203" s="354"/>
      <c r="V203" s="354"/>
      <c r="W203" s="354"/>
      <c r="X203" s="354"/>
      <c r="Y203" s="354"/>
      <c r="Z203" s="354"/>
      <c r="AA203" s="354"/>
      <c r="AB203" s="354"/>
      <c r="AC203" s="354"/>
      <c r="AD203" s="354"/>
      <c r="AE203" s="354"/>
      <c r="AF203" s="354"/>
      <c r="AG203" s="354"/>
      <c r="AH203" s="354"/>
      <c r="AI203" s="354"/>
      <c r="AJ203" s="354"/>
      <c r="AK203" s="354"/>
      <c r="AL203" s="354"/>
      <c r="AM203" s="354"/>
      <c r="AN203" s="354"/>
      <c r="AO203" s="354"/>
      <c r="AP203" s="354"/>
      <c r="AQ203" s="354"/>
      <c r="AR203" s="354"/>
      <c r="AS203" s="354"/>
      <c r="AT203" s="354"/>
      <c r="AU203" s="354"/>
      <c r="AV203" s="354"/>
      <c r="AW203" s="354"/>
      <c r="AX203" s="354"/>
      <c r="AY203" s="354"/>
      <c r="AZ203" s="354"/>
    </row>
    <row r="204" spans="3:52" x14ac:dyDescent="0.25">
      <c r="C204" s="354"/>
      <c r="D204" s="354"/>
      <c r="E204" s="354"/>
      <c r="F204" s="354"/>
      <c r="G204" s="354"/>
      <c r="H204" s="354"/>
      <c r="I204" s="354"/>
      <c r="J204" s="354"/>
      <c r="K204" s="354"/>
      <c r="L204" s="354"/>
      <c r="M204" s="354"/>
      <c r="N204" s="354"/>
      <c r="O204" s="354"/>
      <c r="P204" s="354"/>
      <c r="Q204" s="354"/>
      <c r="R204" s="370"/>
      <c r="S204" s="354"/>
      <c r="T204" s="354"/>
      <c r="U204" s="354"/>
      <c r="V204" s="354"/>
      <c r="W204" s="354"/>
      <c r="X204" s="354"/>
      <c r="Y204" s="354"/>
      <c r="Z204" s="354"/>
      <c r="AA204" s="354"/>
      <c r="AB204" s="354"/>
      <c r="AC204" s="354"/>
      <c r="AD204" s="354"/>
      <c r="AE204" s="354"/>
      <c r="AF204" s="354"/>
      <c r="AG204" s="354"/>
      <c r="AH204" s="354"/>
      <c r="AI204" s="354"/>
      <c r="AJ204" s="354"/>
      <c r="AK204" s="354"/>
      <c r="AL204" s="354"/>
      <c r="AM204" s="354"/>
      <c r="AN204" s="354"/>
      <c r="AO204" s="354"/>
      <c r="AP204" s="354"/>
      <c r="AQ204" s="354"/>
      <c r="AR204" s="354"/>
      <c r="AS204" s="354"/>
      <c r="AT204" s="354"/>
      <c r="AU204" s="354"/>
      <c r="AV204" s="354"/>
      <c r="AW204" s="354"/>
      <c r="AX204" s="354"/>
      <c r="AY204" s="354"/>
      <c r="AZ204" s="354"/>
    </row>
    <row r="205" spans="3:52" x14ac:dyDescent="0.25">
      <c r="C205" s="354"/>
      <c r="D205" s="354"/>
      <c r="E205" s="354"/>
      <c r="F205" s="354"/>
      <c r="G205" s="354"/>
      <c r="H205" s="354"/>
      <c r="I205" s="354"/>
      <c r="J205" s="354"/>
      <c r="K205" s="354"/>
      <c r="L205" s="354"/>
      <c r="M205" s="354"/>
      <c r="N205" s="354"/>
      <c r="O205" s="354"/>
      <c r="P205" s="354"/>
      <c r="Q205" s="354"/>
      <c r="R205" s="370"/>
      <c r="S205" s="354"/>
      <c r="T205" s="354"/>
      <c r="U205" s="354"/>
      <c r="V205" s="354"/>
      <c r="W205" s="354"/>
      <c r="X205" s="354"/>
      <c r="Y205" s="354"/>
      <c r="Z205" s="354"/>
      <c r="AA205" s="354"/>
      <c r="AB205" s="354"/>
      <c r="AC205" s="354"/>
      <c r="AD205" s="354"/>
      <c r="AE205" s="354"/>
      <c r="AF205" s="354"/>
      <c r="AG205" s="354"/>
      <c r="AH205" s="354"/>
      <c r="AI205" s="354"/>
      <c r="AJ205" s="354"/>
      <c r="AK205" s="354"/>
      <c r="AL205" s="354"/>
      <c r="AM205" s="354"/>
      <c r="AN205" s="354"/>
      <c r="AO205" s="354"/>
      <c r="AP205" s="354"/>
      <c r="AQ205" s="354"/>
      <c r="AR205" s="354"/>
      <c r="AS205" s="354"/>
      <c r="AT205" s="354"/>
      <c r="AU205" s="354"/>
      <c r="AV205" s="354"/>
      <c r="AW205" s="354"/>
      <c r="AX205" s="354"/>
      <c r="AY205" s="354"/>
      <c r="AZ205" s="354"/>
    </row>
    <row r="206" spans="3:52" x14ac:dyDescent="0.25">
      <c r="C206" s="354"/>
      <c r="D206" s="354"/>
      <c r="E206" s="354"/>
      <c r="F206" s="354"/>
      <c r="G206" s="354"/>
      <c r="H206" s="354"/>
      <c r="I206" s="354"/>
      <c r="J206" s="354"/>
      <c r="K206" s="354"/>
      <c r="L206" s="354"/>
      <c r="M206" s="354"/>
      <c r="N206" s="354"/>
      <c r="O206" s="354"/>
      <c r="P206" s="354"/>
      <c r="Q206" s="354"/>
      <c r="R206" s="370"/>
      <c r="S206" s="354"/>
      <c r="T206" s="354"/>
      <c r="U206" s="354"/>
      <c r="V206" s="354"/>
      <c r="W206" s="354"/>
      <c r="X206" s="354"/>
      <c r="Y206" s="354"/>
      <c r="Z206" s="354"/>
      <c r="AA206" s="354"/>
      <c r="AB206" s="354"/>
      <c r="AC206" s="354"/>
      <c r="AD206" s="354"/>
      <c r="AE206" s="354"/>
      <c r="AF206" s="354"/>
      <c r="AG206" s="354"/>
      <c r="AH206" s="354"/>
      <c r="AI206" s="354"/>
      <c r="AJ206" s="354"/>
      <c r="AK206" s="354"/>
      <c r="AL206" s="354"/>
      <c r="AM206" s="354"/>
      <c r="AN206" s="354"/>
      <c r="AO206" s="354"/>
      <c r="AP206" s="354"/>
      <c r="AQ206" s="354"/>
      <c r="AR206" s="354"/>
      <c r="AS206" s="354"/>
      <c r="AT206" s="354"/>
      <c r="AU206" s="354"/>
      <c r="AV206" s="354"/>
      <c r="AW206" s="354"/>
      <c r="AX206" s="354"/>
      <c r="AY206" s="354"/>
      <c r="AZ206" s="354"/>
    </row>
    <row r="207" spans="3:52" x14ac:dyDescent="0.25">
      <c r="C207" s="354"/>
      <c r="D207" s="354"/>
      <c r="E207" s="354"/>
      <c r="F207" s="354"/>
      <c r="G207" s="354"/>
      <c r="H207" s="354"/>
      <c r="I207" s="354"/>
      <c r="J207" s="354"/>
      <c r="K207" s="354"/>
      <c r="L207" s="354"/>
      <c r="M207" s="354"/>
      <c r="N207" s="354"/>
      <c r="O207" s="354"/>
      <c r="P207" s="354"/>
      <c r="Q207" s="354"/>
      <c r="R207" s="370"/>
      <c r="S207" s="354"/>
      <c r="T207" s="354"/>
      <c r="U207" s="354"/>
      <c r="V207" s="354"/>
      <c r="W207" s="354"/>
      <c r="X207" s="354"/>
      <c r="Y207" s="354"/>
      <c r="Z207" s="354"/>
      <c r="AA207" s="354"/>
      <c r="AB207" s="354"/>
      <c r="AC207" s="354"/>
      <c r="AD207" s="354"/>
      <c r="AE207" s="354"/>
      <c r="AF207" s="354"/>
      <c r="AG207" s="354"/>
      <c r="AH207" s="354"/>
      <c r="AI207" s="354"/>
      <c r="AJ207" s="354"/>
      <c r="AK207" s="354"/>
      <c r="AL207" s="354"/>
      <c r="AM207" s="354"/>
      <c r="AN207" s="354"/>
      <c r="AO207" s="354"/>
      <c r="AP207" s="354"/>
      <c r="AQ207" s="354"/>
      <c r="AR207" s="354"/>
      <c r="AS207" s="354"/>
      <c r="AT207" s="354"/>
      <c r="AU207" s="354"/>
      <c r="AV207" s="354"/>
      <c r="AW207" s="354"/>
      <c r="AX207" s="354"/>
      <c r="AY207" s="354"/>
      <c r="AZ207" s="354"/>
    </row>
    <row r="208" spans="3:52" x14ac:dyDescent="0.25">
      <c r="C208" s="354"/>
      <c r="D208" s="354"/>
      <c r="E208" s="354"/>
      <c r="F208" s="354"/>
      <c r="G208" s="354"/>
      <c r="H208" s="354"/>
      <c r="I208" s="354"/>
      <c r="J208" s="354"/>
      <c r="K208" s="354"/>
      <c r="L208" s="354"/>
      <c r="M208" s="354"/>
      <c r="N208" s="354"/>
      <c r="O208" s="354"/>
      <c r="P208" s="354"/>
      <c r="Q208" s="354"/>
      <c r="R208" s="370"/>
      <c r="S208" s="354"/>
      <c r="T208" s="354"/>
      <c r="U208" s="354"/>
      <c r="V208" s="354"/>
      <c r="W208" s="354"/>
      <c r="X208" s="354"/>
      <c r="Y208" s="354"/>
      <c r="Z208" s="354"/>
      <c r="AA208" s="354"/>
      <c r="AB208" s="354"/>
      <c r="AC208" s="354"/>
      <c r="AD208" s="354"/>
      <c r="AE208" s="354"/>
      <c r="AF208" s="354"/>
      <c r="AG208" s="354"/>
      <c r="AH208" s="354"/>
      <c r="AI208" s="354"/>
      <c r="AJ208" s="354"/>
      <c r="AK208" s="354"/>
      <c r="AL208" s="354"/>
      <c r="AM208" s="354"/>
      <c r="AN208" s="354"/>
      <c r="AO208" s="354"/>
      <c r="AP208" s="354"/>
      <c r="AQ208" s="354"/>
      <c r="AR208" s="354"/>
      <c r="AS208" s="354"/>
      <c r="AT208" s="354"/>
      <c r="AU208" s="354"/>
      <c r="AV208" s="354"/>
      <c r="AW208" s="354"/>
      <c r="AX208" s="354"/>
      <c r="AY208" s="354"/>
      <c r="AZ208" s="354"/>
    </row>
    <row r="209" spans="3:52" x14ac:dyDescent="0.25">
      <c r="C209" s="354"/>
      <c r="D209" s="354"/>
      <c r="E209" s="354"/>
      <c r="F209" s="354"/>
      <c r="G209" s="354"/>
      <c r="H209" s="354"/>
      <c r="I209" s="354"/>
      <c r="J209" s="354"/>
      <c r="K209" s="354"/>
      <c r="L209" s="354"/>
      <c r="M209" s="354"/>
      <c r="N209" s="354"/>
      <c r="O209" s="354"/>
      <c r="P209" s="354"/>
      <c r="Q209" s="354"/>
      <c r="R209" s="370"/>
      <c r="S209" s="354"/>
      <c r="T209" s="354"/>
      <c r="U209" s="354"/>
      <c r="V209" s="354"/>
      <c r="W209" s="354"/>
      <c r="X209" s="354"/>
      <c r="Y209" s="354"/>
      <c r="Z209" s="354"/>
      <c r="AA209" s="354"/>
      <c r="AB209" s="354"/>
      <c r="AC209" s="354"/>
      <c r="AD209" s="354"/>
      <c r="AE209" s="354"/>
      <c r="AF209" s="354"/>
      <c r="AG209" s="354"/>
      <c r="AH209" s="354"/>
      <c r="AI209" s="354"/>
      <c r="AJ209" s="354"/>
      <c r="AK209" s="354"/>
      <c r="AL209" s="354"/>
      <c r="AM209" s="354"/>
      <c r="AN209" s="354"/>
      <c r="AO209" s="354"/>
      <c r="AP209" s="354"/>
      <c r="AQ209" s="354"/>
      <c r="AR209" s="354"/>
      <c r="AS209" s="354"/>
      <c r="AT209" s="354"/>
      <c r="AU209" s="354"/>
      <c r="AV209" s="354"/>
      <c r="AW209" s="354"/>
      <c r="AX209" s="354"/>
      <c r="AY209" s="354"/>
      <c r="AZ209" s="354"/>
    </row>
    <row r="210" spans="3:52" x14ac:dyDescent="0.25">
      <c r="C210" s="354"/>
      <c r="D210" s="354"/>
      <c r="E210" s="354"/>
      <c r="F210" s="354"/>
      <c r="G210" s="354"/>
      <c r="H210" s="354"/>
      <c r="I210" s="354"/>
      <c r="J210" s="354"/>
      <c r="K210" s="354"/>
      <c r="L210" s="354"/>
      <c r="M210" s="354"/>
      <c r="N210" s="354"/>
      <c r="O210" s="354"/>
      <c r="P210" s="354"/>
      <c r="Q210" s="354"/>
      <c r="R210" s="370"/>
      <c r="S210" s="354"/>
      <c r="T210" s="354"/>
      <c r="U210" s="354"/>
      <c r="V210" s="354"/>
      <c r="W210" s="354"/>
      <c r="X210" s="354"/>
      <c r="Y210" s="354"/>
      <c r="Z210" s="354"/>
      <c r="AA210" s="354"/>
      <c r="AB210" s="354"/>
      <c r="AC210" s="354"/>
      <c r="AD210" s="354"/>
      <c r="AE210" s="354"/>
      <c r="AF210" s="354"/>
      <c r="AG210" s="354"/>
      <c r="AH210" s="354"/>
      <c r="AI210" s="354"/>
      <c r="AJ210" s="354"/>
      <c r="AK210" s="354"/>
      <c r="AL210" s="354"/>
      <c r="AM210" s="354"/>
      <c r="AN210" s="354"/>
      <c r="AO210" s="354"/>
      <c r="AP210" s="354"/>
      <c r="AQ210" s="354"/>
      <c r="AR210" s="354"/>
      <c r="AS210" s="354"/>
      <c r="AT210" s="354"/>
      <c r="AU210" s="354"/>
      <c r="AV210" s="354"/>
      <c r="AW210" s="354"/>
      <c r="AX210" s="354"/>
      <c r="AY210" s="354"/>
      <c r="AZ210" s="354"/>
    </row>
    <row r="211" spans="3:52" x14ac:dyDescent="0.25">
      <c r="C211" s="354"/>
      <c r="D211" s="354"/>
      <c r="E211" s="354"/>
      <c r="F211" s="354"/>
      <c r="G211" s="354"/>
      <c r="H211" s="354"/>
      <c r="I211" s="354"/>
      <c r="J211" s="354"/>
      <c r="K211" s="354"/>
      <c r="L211" s="354"/>
      <c r="M211" s="354"/>
      <c r="N211" s="354"/>
      <c r="O211" s="354"/>
      <c r="P211" s="354"/>
      <c r="Q211" s="354"/>
      <c r="R211" s="370"/>
      <c r="S211" s="354"/>
      <c r="T211" s="354"/>
      <c r="U211" s="354"/>
      <c r="V211" s="354"/>
      <c r="W211" s="354"/>
      <c r="X211" s="354"/>
      <c r="Y211" s="354"/>
      <c r="Z211" s="354"/>
      <c r="AA211" s="354"/>
      <c r="AB211" s="354"/>
      <c r="AC211" s="354"/>
      <c r="AD211" s="354"/>
      <c r="AE211" s="354"/>
      <c r="AF211" s="354"/>
      <c r="AG211" s="354"/>
      <c r="AH211" s="354"/>
      <c r="AI211" s="354"/>
      <c r="AJ211" s="354"/>
      <c r="AK211" s="354"/>
      <c r="AL211" s="354"/>
      <c r="AM211" s="354"/>
      <c r="AN211" s="354"/>
      <c r="AO211" s="354"/>
      <c r="AP211" s="354"/>
      <c r="AQ211" s="354"/>
      <c r="AR211" s="354"/>
      <c r="AS211" s="354"/>
      <c r="AT211" s="354"/>
      <c r="AU211" s="354"/>
      <c r="AV211" s="354"/>
      <c r="AW211" s="354"/>
      <c r="AX211" s="354"/>
      <c r="AY211" s="354"/>
      <c r="AZ211" s="354"/>
    </row>
    <row r="212" spans="3:52" x14ac:dyDescent="0.25">
      <c r="C212" s="354"/>
      <c r="D212" s="354"/>
      <c r="E212" s="354"/>
      <c r="F212" s="354"/>
      <c r="G212" s="354"/>
      <c r="H212" s="354"/>
      <c r="I212" s="354"/>
      <c r="J212" s="354"/>
      <c r="K212" s="354"/>
      <c r="L212" s="354"/>
      <c r="M212" s="354"/>
      <c r="N212" s="354"/>
      <c r="O212" s="354"/>
      <c r="P212" s="354"/>
      <c r="Q212" s="354"/>
      <c r="R212" s="370"/>
      <c r="S212" s="354"/>
      <c r="T212" s="354"/>
      <c r="U212" s="354"/>
      <c r="V212" s="354"/>
      <c r="W212" s="354"/>
      <c r="X212" s="354"/>
      <c r="Y212" s="354"/>
      <c r="Z212" s="354"/>
      <c r="AA212" s="354"/>
      <c r="AB212" s="354"/>
      <c r="AC212" s="354"/>
      <c r="AD212" s="354"/>
      <c r="AE212" s="354"/>
      <c r="AF212" s="354"/>
      <c r="AG212" s="354"/>
      <c r="AH212" s="354"/>
      <c r="AI212" s="354"/>
      <c r="AJ212" s="354"/>
      <c r="AK212" s="354"/>
      <c r="AL212" s="354"/>
      <c r="AM212" s="354"/>
      <c r="AN212" s="354"/>
      <c r="AO212" s="354"/>
      <c r="AP212" s="354"/>
      <c r="AQ212" s="354"/>
      <c r="AR212" s="354"/>
      <c r="AS212" s="354"/>
      <c r="AT212" s="354"/>
      <c r="AU212" s="354"/>
      <c r="AV212" s="354"/>
      <c r="AW212" s="354"/>
      <c r="AX212" s="354"/>
      <c r="AY212" s="354"/>
      <c r="AZ212" s="354"/>
    </row>
    <row r="213" spans="3:52" x14ac:dyDescent="0.25">
      <c r="C213" s="354"/>
      <c r="D213" s="354"/>
      <c r="E213" s="354"/>
      <c r="F213" s="354"/>
      <c r="G213" s="354"/>
      <c r="H213" s="354"/>
      <c r="I213" s="354"/>
      <c r="J213" s="354"/>
      <c r="K213" s="354"/>
      <c r="L213" s="354"/>
      <c r="M213" s="354"/>
      <c r="N213" s="354"/>
      <c r="O213" s="354"/>
      <c r="P213" s="354"/>
      <c r="Q213" s="354"/>
      <c r="R213" s="370"/>
      <c r="S213" s="354"/>
      <c r="T213" s="354"/>
      <c r="U213" s="354"/>
      <c r="V213" s="354"/>
      <c r="W213" s="354"/>
      <c r="X213" s="354"/>
      <c r="Y213" s="354"/>
      <c r="Z213" s="354"/>
      <c r="AA213" s="354"/>
      <c r="AB213" s="354"/>
      <c r="AC213" s="354"/>
      <c r="AD213" s="354"/>
      <c r="AE213" s="354"/>
      <c r="AF213" s="354"/>
      <c r="AG213" s="354"/>
      <c r="AH213" s="354"/>
      <c r="AI213" s="354"/>
      <c r="AJ213" s="354"/>
      <c r="AK213" s="354"/>
      <c r="AL213" s="354"/>
      <c r="AM213" s="354"/>
      <c r="AN213" s="354"/>
      <c r="AO213" s="354"/>
      <c r="AP213" s="354"/>
      <c r="AQ213" s="354"/>
      <c r="AR213" s="354"/>
      <c r="AS213" s="354"/>
      <c r="AT213" s="354"/>
      <c r="AU213" s="354"/>
      <c r="AV213" s="354"/>
      <c r="AW213" s="354"/>
      <c r="AX213" s="354"/>
      <c r="AY213" s="354"/>
      <c r="AZ213" s="354"/>
    </row>
    <row r="214" spans="3:52" x14ac:dyDescent="0.25">
      <c r="C214" s="354"/>
      <c r="D214" s="354"/>
      <c r="E214" s="354"/>
      <c r="F214" s="354"/>
      <c r="G214" s="354"/>
      <c r="H214" s="354"/>
      <c r="I214" s="354"/>
      <c r="J214" s="354"/>
      <c r="K214" s="354"/>
      <c r="L214" s="354"/>
      <c r="M214" s="354"/>
      <c r="N214" s="354"/>
      <c r="O214" s="354"/>
      <c r="P214" s="354"/>
      <c r="Q214" s="354"/>
      <c r="R214" s="370"/>
      <c r="S214" s="354"/>
      <c r="T214" s="354"/>
      <c r="U214" s="354"/>
      <c r="V214" s="354"/>
      <c r="W214" s="354"/>
      <c r="X214" s="354"/>
      <c r="Y214" s="354"/>
      <c r="Z214" s="354"/>
      <c r="AA214" s="354"/>
      <c r="AB214" s="354"/>
      <c r="AC214" s="354"/>
      <c r="AD214" s="354"/>
      <c r="AE214" s="354"/>
      <c r="AF214" s="354"/>
      <c r="AG214" s="354"/>
      <c r="AH214" s="354"/>
      <c r="AI214" s="354"/>
      <c r="AJ214" s="354"/>
      <c r="AK214" s="354"/>
      <c r="AL214" s="354"/>
      <c r="AM214" s="354"/>
      <c r="AN214" s="354"/>
      <c r="AO214" s="354"/>
      <c r="AP214" s="354"/>
      <c r="AQ214" s="354"/>
      <c r="AR214" s="354"/>
      <c r="AS214" s="354"/>
      <c r="AT214" s="354"/>
      <c r="AU214" s="354"/>
      <c r="AV214" s="354"/>
      <c r="AW214" s="354"/>
      <c r="AX214" s="354"/>
      <c r="AY214" s="354"/>
      <c r="AZ214" s="354"/>
    </row>
    <row r="215" spans="3:52" x14ac:dyDescent="0.25">
      <c r="C215" s="354"/>
      <c r="D215" s="354"/>
      <c r="E215" s="354"/>
      <c r="F215" s="354"/>
      <c r="G215" s="354"/>
      <c r="H215" s="354"/>
      <c r="I215" s="354"/>
      <c r="J215" s="354"/>
      <c r="K215" s="354"/>
      <c r="L215" s="354"/>
      <c r="M215" s="354"/>
      <c r="N215" s="354"/>
      <c r="O215" s="354"/>
      <c r="P215" s="354"/>
      <c r="Q215" s="354"/>
      <c r="R215" s="370"/>
      <c r="S215" s="354"/>
      <c r="T215" s="354"/>
      <c r="U215" s="354"/>
      <c r="V215" s="354"/>
      <c r="W215" s="354"/>
      <c r="X215" s="354"/>
      <c r="Y215" s="354"/>
      <c r="Z215" s="354"/>
      <c r="AA215" s="354"/>
      <c r="AB215" s="354"/>
      <c r="AC215" s="354"/>
      <c r="AD215" s="354"/>
      <c r="AE215" s="354"/>
      <c r="AF215" s="354"/>
      <c r="AG215" s="354"/>
      <c r="AH215" s="354"/>
      <c r="AI215" s="354"/>
      <c r="AJ215" s="354"/>
      <c r="AK215" s="354"/>
      <c r="AL215" s="354"/>
      <c r="AM215" s="354"/>
      <c r="AN215" s="354"/>
      <c r="AO215" s="354"/>
      <c r="AP215" s="354"/>
      <c r="AQ215" s="354"/>
      <c r="AR215" s="354"/>
      <c r="AS215" s="354"/>
      <c r="AT215" s="354"/>
      <c r="AU215" s="354"/>
      <c r="AV215" s="354"/>
      <c r="AW215" s="354"/>
      <c r="AX215" s="354"/>
      <c r="AY215" s="354"/>
      <c r="AZ215" s="354"/>
    </row>
    <row r="216" spans="3:52" x14ac:dyDescent="0.25">
      <c r="C216" s="354"/>
      <c r="D216" s="354"/>
      <c r="E216" s="354"/>
      <c r="F216" s="354"/>
      <c r="G216" s="354"/>
      <c r="H216" s="354"/>
      <c r="I216" s="354"/>
      <c r="J216" s="354"/>
      <c r="K216" s="354"/>
      <c r="L216" s="354"/>
      <c r="M216" s="354"/>
      <c r="N216" s="354"/>
      <c r="O216" s="354"/>
      <c r="P216" s="354"/>
      <c r="Q216" s="354"/>
      <c r="R216" s="370"/>
      <c r="S216" s="354"/>
      <c r="T216" s="354"/>
      <c r="U216" s="354"/>
      <c r="V216" s="354"/>
      <c r="W216" s="354"/>
      <c r="X216" s="354"/>
      <c r="Y216" s="354"/>
      <c r="Z216" s="354"/>
      <c r="AA216" s="354"/>
      <c r="AB216" s="354"/>
      <c r="AC216" s="354"/>
      <c r="AD216" s="354"/>
      <c r="AE216" s="354"/>
      <c r="AF216" s="354"/>
      <c r="AG216" s="354"/>
      <c r="AH216" s="354"/>
      <c r="AI216" s="354"/>
      <c r="AJ216" s="354"/>
      <c r="AK216" s="354"/>
      <c r="AL216" s="354"/>
      <c r="AM216" s="354"/>
      <c r="AN216" s="354"/>
      <c r="AO216" s="354"/>
      <c r="AP216" s="354"/>
      <c r="AQ216" s="354"/>
      <c r="AR216" s="354"/>
      <c r="AS216" s="354"/>
      <c r="AT216" s="354"/>
      <c r="AU216" s="354"/>
      <c r="AV216" s="354"/>
      <c r="AW216" s="354"/>
      <c r="AX216" s="354"/>
      <c r="AY216" s="354"/>
      <c r="AZ216" s="354"/>
    </row>
    <row r="217" spans="3:52" x14ac:dyDescent="0.25">
      <c r="C217" s="354"/>
      <c r="D217" s="354"/>
      <c r="E217" s="354"/>
      <c r="F217" s="354"/>
      <c r="G217" s="354"/>
      <c r="H217" s="354"/>
      <c r="I217" s="354"/>
      <c r="J217" s="354"/>
      <c r="K217" s="354"/>
      <c r="L217" s="354"/>
      <c r="M217" s="354"/>
      <c r="N217" s="354"/>
      <c r="O217" s="354"/>
      <c r="P217" s="354"/>
      <c r="Q217" s="354"/>
      <c r="R217" s="370"/>
      <c r="S217" s="354"/>
      <c r="T217" s="354"/>
      <c r="U217" s="354"/>
      <c r="V217" s="354"/>
      <c r="W217" s="354"/>
      <c r="X217" s="354"/>
      <c r="Y217" s="354"/>
      <c r="Z217" s="354"/>
      <c r="AA217" s="354"/>
      <c r="AB217" s="354"/>
      <c r="AC217" s="354"/>
      <c r="AD217" s="354"/>
      <c r="AE217" s="354"/>
      <c r="AF217" s="354"/>
      <c r="AG217" s="354"/>
      <c r="AH217" s="354"/>
      <c r="AI217" s="354"/>
      <c r="AJ217" s="354"/>
      <c r="AK217" s="354"/>
      <c r="AL217" s="354"/>
      <c r="AM217" s="354"/>
      <c r="AN217" s="354"/>
      <c r="AO217" s="354"/>
      <c r="AP217" s="354"/>
      <c r="AQ217" s="354"/>
      <c r="AR217" s="354"/>
      <c r="AS217" s="354"/>
      <c r="AT217" s="354"/>
      <c r="AU217" s="354"/>
      <c r="AV217" s="354"/>
      <c r="AW217" s="354"/>
      <c r="AX217" s="354"/>
      <c r="AY217" s="354"/>
      <c r="AZ217" s="354"/>
    </row>
    <row r="218" spans="3:52" x14ac:dyDescent="0.25">
      <c r="C218" s="354"/>
      <c r="D218" s="354"/>
      <c r="E218" s="354"/>
      <c r="F218" s="354"/>
      <c r="G218" s="354"/>
      <c r="H218" s="354"/>
      <c r="I218" s="354"/>
      <c r="J218" s="354"/>
      <c r="K218" s="354"/>
      <c r="L218" s="354"/>
      <c r="M218" s="354"/>
      <c r="N218" s="354"/>
      <c r="O218" s="354"/>
      <c r="P218" s="354"/>
      <c r="Q218" s="354"/>
      <c r="R218" s="370"/>
      <c r="S218" s="354"/>
      <c r="T218" s="354"/>
      <c r="U218" s="354"/>
      <c r="V218" s="354"/>
      <c r="W218" s="354"/>
      <c r="X218" s="354"/>
      <c r="Y218" s="354"/>
      <c r="Z218" s="354"/>
      <c r="AA218" s="354"/>
      <c r="AB218" s="354"/>
      <c r="AC218" s="354"/>
      <c r="AD218" s="354"/>
      <c r="AE218" s="354"/>
      <c r="AF218" s="354"/>
      <c r="AG218" s="354"/>
      <c r="AH218" s="354"/>
      <c r="AI218" s="354"/>
      <c r="AJ218" s="354"/>
      <c r="AK218" s="354"/>
      <c r="AL218" s="354"/>
      <c r="AM218" s="354"/>
      <c r="AN218" s="354"/>
      <c r="AO218" s="354"/>
      <c r="AP218" s="354"/>
      <c r="AQ218" s="354"/>
      <c r="AR218" s="354"/>
      <c r="AS218" s="354"/>
      <c r="AT218" s="354"/>
      <c r="AU218" s="354"/>
      <c r="AV218" s="354"/>
      <c r="AW218" s="354"/>
      <c r="AX218" s="354"/>
      <c r="AY218" s="354"/>
      <c r="AZ218" s="354"/>
    </row>
    <row r="219" spans="3:52" x14ac:dyDescent="0.25">
      <c r="C219" s="354"/>
      <c r="D219" s="354"/>
      <c r="E219" s="354"/>
      <c r="F219" s="354"/>
      <c r="G219" s="354"/>
      <c r="H219" s="354"/>
      <c r="I219" s="354"/>
      <c r="J219" s="354"/>
      <c r="K219" s="354"/>
      <c r="L219" s="354"/>
      <c r="M219" s="354"/>
      <c r="N219" s="354"/>
      <c r="O219" s="354"/>
      <c r="P219" s="354"/>
      <c r="Q219" s="354"/>
      <c r="R219" s="370"/>
      <c r="S219" s="354"/>
      <c r="T219" s="354"/>
      <c r="U219" s="354"/>
      <c r="V219" s="354"/>
      <c r="W219" s="354"/>
      <c r="X219" s="354"/>
      <c r="Y219" s="354"/>
      <c r="Z219" s="354"/>
      <c r="AA219" s="354"/>
      <c r="AB219" s="354"/>
      <c r="AC219" s="354"/>
      <c r="AD219" s="354"/>
      <c r="AE219" s="354"/>
      <c r="AF219" s="354"/>
      <c r="AG219" s="354"/>
      <c r="AH219" s="354"/>
      <c r="AI219" s="354"/>
      <c r="AJ219" s="354"/>
      <c r="AK219" s="354"/>
      <c r="AL219" s="354"/>
      <c r="AM219" s="354"/>
      <c r="AN219" s="354"/>
      <c r="AO219" s="354"/>
      <c r="AP219" s="354"/>
      <c r="AQ219" s="354"/>
      <c r="AR219" s="354"/>
      <c r="AS219" s="354"/>
      <c r="AT219" s="354"/>
      <c r="AU219" s="354"/>
      <c r="AV219" s="354"/>
      <c r="AW219" s="354"/>
      <c r="AX219" s="354"/>
      <c r="AY219" s="354"/>
      <c r="AZ219" s="354"/>
    </row>
    <row r="220" spans="3:52" x14ac:dyDescent="0.25">
      <c r="C220" s="354"/>
      <c r="D220" s="354"/>
      <c r="E220" s="354"/>
      <c r="F220" s="354"/>
      <c r="G220" s="354"/>
      <c r="H220" s="354"/>
      <c r="I220" s="354"/>
      <c r="J220" s="354"/>
      <c r="K220" s="354"/>
      <c r="L220" s="354"/>
      <c r="M220" s="354"/>
      <c r="N220" s="354"/>
      <c r="O220" s="354"/>
      <c r="P220" s="354"/>
      <c r="Q220" s="354"/>
      <c r="R220" s="370"/>
      <c r="S220" s="354"/>
      <c r="T220" s="354"/>
      <c r="U220" s="354"/>
      <c r="V220" s="354"/>
      <c r="W220" s="354"/>
      <c r="X220" s="354"/>
      <c r="Y220" s="354"/>
      <c r="Z220" s="354"/>
      <c r="AA220" s="354"/>
      <c r="AB220" s="354"/>
      <c r="AC220" s="354"/>
      <c r="AD220" s="354"/>
      <c r="AE220" s="354"/>
      <c r="AF220" s="354"/>
      <c r="AG220" s="354"/>
      <c r="AH220" s="354"/>
      <c r="AI220" s="354"/>
      <c r="AJ220" s="354"/>
      <c r="AK220" s="354"/>
      <c r="AL220" s="354"/>
      <c r="AM220" s="354"/>
      <c r="AN220" s="354"/>
      <c r="AO220" s="354"/>
      <c r="AP220" s="354"/>
      <c r="AQ220" s="354"/>
      <c r="AR220" s="354"/>
      <c r="AS220" s="354"/>
      <c r="AT220" s="354"/>
      <c r="AU220" s="354"/>
      <c r="AV220" s="354"/>
      <c r="AW220" s="354"/>
      <c r="AX220" s="354"/>
      <c r="AY220" s="354"/>
      <c r="AZ220" s="354"/>
    </row>
    <row r="221" spans="3:52" x14ac:dyDescent="0.25">
      <c r="C221" s="354"/>
      <c r="D221" s="354"/>
      <c r="E221" s="354"/>
      <c r="F221" s="354"/>
      <c r="G221" s="354"/>
      <c r="H221" s="354"/>
      <c r="I221" s="354"/>
      <c r="J221" s="354"/>
      <c r="K221" s="354"/>
      <c r="L221" s="354"/>
      <c r="M221" s="354"/>
      <c r="N221" s="354"/>
      <c r="O221" s="354"/>
      <c r="P221" s="354"/>
      <c r="Q221" s="354"/>
      <c r="R221" s="370"/>
      <c r="S221" s="354"/>
      <c r="T221" s="354"/>
      <c r="U221" s="354"/>
      <c r="V221" s="354"/>
      <c r="W221" s="354"/>
      <c r="X221" s="354"/>
      <c r="Y221" s="354"/>
      <c r="Z221" s="354"/>
      <c r="AA221" s="354"/>
      <c r="AB221" s="354"/>
      <c r="AC221" s="354"/>
      <c r="AD221" s="354"/>
      <c r="AE221" s="354"/>
      <c r="AF221" s="354"/>
      <c r="AG221" s="354"/>
      <c r="AH221" s="354"/>
      <c r="AI221" s="354"/>
      <c r="AJ221" s="354"/>
      <c r="AK221" s="354"/>
      <c r="AL221" s="354"/>
      <c r="AM221" s="354"/>
      <c r="AN221" s="354"/>
      <c r="AO221" s="354"/>
      <c r="AP221" s="354"/>
      <c r="AQ221" s="354"/>
      <c r="AR221" s="354"/>
      <c r="AS221" s="354"/>
      <c r="AT221" s="354"/>
      <c r="AU221" s="354"/>
      <c r="AV221" s="354"/>
      <c r="AW221" s="354"/>
      <c r="AX221" s="354"/>
      <c r="AY221" s="354"/>
      <c r="AZ221" s="354"/>
    </row>
    <row r="222" spans="3:52" x14ac:dyDescent="0.25">
      <c r="C222" s="354"/>
      <c r="D222" s="354"/>
      <c r="E222" s="354"/>
      <c r="F222" s="354"/>
      <c r="G222" s="354"/>
      <c r="H222" s="354"/>
      <c r="I222" s="354"/>
      <c r="J222" s="354"/>
      <c r="K222" s="354"/>
      <c r="L222" s="354"/>
      <c r="M222" s="354"/>
      <c r="N222" s="354"/>
      <c r="O222" s="354"/>
      <c r="P222" s="354"/>
      <c r="Q222" s="354"/>
      <c r="R222" s="370"/>
      <c r="S222" s="354"/>
      <c r="T222" s="354"/>
      <c r="U222" s="354"/>
      <c r="V222" s="354"/>
      <c r="W222" s="354"/>
      <c r="X222" s="354"/>
      <c r="Y222" s="354"/>
      <c r="Z222" s="354"/>
      <c r="AA222" s="354"/>
      <c r="AB222" s="354"/>
      <c r="AC222" s="354"/>
      <c r="AD222" s="354"/>
      <c r="AE222" s="354"/>
      <c r="AF222" s="354"/>
      <c r="AG222" s="354"/>
      <c r="AH222" s="354"/>
      <c r="AI222" s="354"/>
      <c r="AJ222" s="354"/>
      <c r="AK222" s="354"/>
      <c r="AL222" s="354"/>
      <c r="AM222" s="354"/>
      <c r="AN222" s="354"/>
      <c r="AO222" s="354"/>
      <c r="AP222" s="354"/>
      <c r="AQ222" s="354"/>
      <c r="AR222" s="354"/>
      <c r="AS222" s="354"/>
      <c r="AT222" s="354"/>
      <c r="AU222" s="354"/>
      <c r="AV222" s="354"/>
      <c r="AW222" s="354"/>
      <c r="AX222" s="354"/>
      <c r="AY222" s="354"/>
      <c r="AZ222" s="354"/>
    </row>
    <row r="223" spans="3:52" x14ac:dyDescent="0.25">
      <c r="C223" s="354"/>
      <c r="D223" s="354"/>
      <c r="E223" s="354"/>
      <c r="F223" s="354"/>
      <c r="G223" s="354"/>
      <c r="H223" s="354"/>
      <c r="I223" s="354"/>
      <c r="J223" s="354"/>
      <c r="K223" s="354"/>
      <c r="L223" s="354"/>
      <c r="M223" s="354"/>
      <c r="N223" s="354"/>
      <c r="O223" s="354"/>
      <c r="P223" s="354"/>
      <c r="Q223" s="354"/>
      <c r="R223" s="370"/>
      <c r="S223" s="354"/>
      <c r="T223" s="354"/>
      <c r="U223" s="354"/>
      <c r="V223" s="354"/>
      <c r="W223" s="354"/>
      <c r="X223" s="354"/>
      <c r="Y223" s="354"/>
      <c r="Z223" s="354"/>
      <c r="AA223" s="354"/>
      <c r="AB223" s="354"/>
      <c r="AC223" s="354"/>
      <c r="AD223" s="354"/>
      <c r="AE223" s="354"/>
      <c r="AF223" s="354"/>
      <c r="AG223" s="354"/>
      <c r="AH223" s="354"/>
      <c r="AI223" s="354"/>
      <c r="AJ223" s="354"/>
      <c r="AK223" s="354"/>
      <c r="AL223" s="354"/>
      <c r="AM223" s="354"/>
      <c r="AN223" s="354"/>
      <c r="AO223" s="354"/>
      <c r="AP223" s="354"/>
      <c r="AQ223" s="354"/>
      <c r="AR223" s="354"/>
      <c r="AS223" s="354"/>
      <c r="AT223" s="354"/>
      <c r="AU223" s="354"/>
      <c r="AV223" s="354"/>
      <c r="AW223" s="354"/>
      <c r="AX223" s="354"/>
      <c r="AY223" s="354"/>
      <c r="AZ223" s="354"/>
    </row>
    <row r="224" spans="3:52" x14ac:dyDescent="0.25">
      <c r="C224" s="354"/>
      <c r="D224" s="354"/>
      <c r="E224" s="354"/>
      <c r="F224" s="354"/>
      <c r="G224" s="354"/>
      <c r="H224" s="354"/>
      <c r="I224" s="354"/>
      <c r="J224" s="354"/>
      <c r="K224" s="354"/>
      <c r="L224" s="354"/>
      <c r="M224" s="354"/>
      <c r="N224" s="354"/>
      <c r="O224" s="354"/>
      <c r="P224" s="354"/>
      <c r="Q224" s="354"/>
      <c r="R224" s="370"/>
      <c r="S224" s="354"/>
      <c r="T224" s="354"/>
      <c r="U224" s="354"/>
      <c r="V224" s="354"/>
      <c r="W224" s="354"/>
      <c r="X224" s="354"/>
      <c r="Y224" s="354"/>
      <c r="Z224" s="354"/>
      <c r="AA224" s="354"/>
      <c r="AB224" s="354"/>
      <c r="AC224" s="354"/>
      <c r="AD224" s="354"/>
      <c r="AE224" s="354"/>
      <c r="AF224" s="354"/>
      <c r="AG224" s="354"/>
      <c r="AH224" s="354"/>
      <c r="AI224" s="354"/>
      <c r="AJ224" s="354"/>
      <c r="AK224" s="354"/>
      <c r="AL224" s="354"/>
      <c r="AM224" s="354"/>
      <c r="AN224" s="354"/>
      <c r="AO224" s="354"/>
      <c r="AP224" s="354"/>
      <c r="AQ224" s="354"/>
      <c r="AR224" s="354"/>
      <c r="AS224" s="354"/>
      <c r="AT224" s="354"/>
      <c r="AU224" s="354"/>
      <c r="AV224" s="354"/>
      <c r="AW224" s="354"/>
      <c r="AX224" s="354"/>
      <c r="AY224" s="354"/>
      <c r="AZ224" s="354"/>
    </row>
    <row r="225" spans="3:52" x14ac:dyDescent="0.25">
      <c r="C225" s="354"/>
      <c r="D225" s="354"/>
      <c r="E225" s="354"/>
      <c r="F225" s="354"/>
      <c r="G225" s="354"/>
      <c r="H225" s="354"/>
      <c r="I225" s="354"/>
      <c r="J225" s="354"/>
      <c r="K225" s="354"/>
      <c r="L225" s="354"/>
      <c r="M225" s="354"/>
      <c r="N225" s="354"/>
      <c r="O225" s="354"/>
      <c r="P225" s="354"/>
      <c r="Q225" s="354"/>
      <c r="R225" s="370"/>
      <c r="S225" s="354"/>
      <c r="T225" s="354"/>
      <c r="U225" s="354"/>
      <c r="V225" s="354"/>
      <c r="W225" s="354"/>
      <c r="X225" s="354"/>
      <c r="Y225" s="354"/>
      <c r="Z225" s="354"/>
      <c r="AA225" s="354"/>
      <c r="AB225" s="354"/>
      <c r="AC225" s="354"/>
      <c r="AD225" s="354"/>
      <c r="AE225" s="354"/>
      <c r="AF225" s="354"/>
      <c r="AG225" s="354"/>
      <c r="AH225" s="354"/>
      <c r="AI225" s="354"/>
      <c r="AJ225" s="354"/>
      <c r="AK225" s="354"/>
      <c r="AL225" s="354"/>
      <c r="AM225" s="354"/>
      <c r="AN225" s="354"/>
      <c r="AO225" s="354"/>
      <c r="AP225" s="354"/>
      <c r="AQ225" s="354"/>
      <c r="AR225" s="354"/>
      <c r="AS225" s="354"/>
      <c r="AT225" s="354"/>
      <c r="AU225" s="354"/>
      <c r="AV225" s="354"/>
      <c r="AW225" s="354"/>
      <c r="AX225" s="354"/>
      <c r="AY225" s="354"/>
      <c r="AZ225" s="354"/>
    </row>
    <row r="226" spans="3:52" x14ac:dyDescent="0.25">
      <c r="C226" s="354"/>
      <c r="D226" s="354"/>
      <c r="E226" s="354"/>
      <c r="F226" s="354"/>
      <c r="G226" s="354"/>
      <c r="H226" s="354"/>
      <c r="I226" s="354"/>
      <c r="J226" s="354"/>
      <c r="K226" s="354"/>
      <c r="L226" s="354"/>
      <c r="M226" s="354"/>
      <c r="N226" s="354"/>
      <c r="O226" s="354"/>
      <c r="P226" s="354"/>
      <c r="Q226" s="354"/>
      <c r="R226" s="370"/>
      <c r="S226" s="354"/>
      <c r="T226" s="354"/>
      <c r="U226" s="354"/>
      <c r="V226" s="354"/>
      <c r="W226" s="354"/>
      <c r="X226" s="354"/>
      <c r="Y226" s="354"/>
      <c r="Z226" s="354"/>
      <c r="AA226" s="354"/>
      <c r="AB226" s="354"/>
      <c r="AC226" s="354"/>
      <c r="AD226" s="354"/>
      <c r="AE226" s="354"/>
      <c r="AF226" s="354"/>
      <c r="AG226" s="354"/>
      <c r="AH226" s="354"/>
      <c r="AI226" s="354"/>
      <c r="AJ226" s="354"/>
      <c r="AK226" s="354"/>
      <c r="AL226" s="354"/>
      <c r="AM226" s="354"/>
      <c r="AN226" s="354"/>
      <c r="AO226" s="354"/>
      <c r="AP226" s="354"/>
      <c r="AQ226" s="354"/>
      <c r="AR226" s="354"/>
      <c r="AS226" s="354"/>
      <c r="AT226" s="354"/>
      <c r="AU226" s="354"/>
      <c r="AV226" s="354"/>
      <c r="AW226" s="354"/>
      <c r="AX226" s="354"/>
      <c r="AY226" s="354"/>
      <c r="AZ226" s="354"/>
    </row>
    <row r="227" spans="3:52" x14ac:dyDescent="0.25">
      <c r="C227" s="354"/>
      <c r="D227" s="354"/>
      <c r="E227" s="354"/>
      <c r="F227" s="354"/>
      <c r="G227" s="354"/>
      <c r="H227" s="354"/>
      <c r="I227" s="354"/>
      <c r="J227" s="354"/>
      <c r="K227" s="354"/>
      <c r="L227" s="354"/>
      <c r="M227" s="354"/>
      <c r="N227" s="354"/>
      <c r="O227" s="354"/>
      <c r="P227" s="354"/>
      <c r="Q227" s="354"/>
      <c r="R227" s="370"/>
      <c r="S227" s="354"/>
      <c r="T227" s="354"/>
      <c r="U227" s="354"/>
      <c r="V227" s="354"/>
      <c r="W227" s="354"/>
      <c r="X227" s="354"/>
      <c r="Y227" s="354"/>
      <c r="Z227" s="354"/>
      <c r="AA227" s="354"/>
      <c r="AB227" s="354"/>
      <c r="AC227" s="354"/>
      <c r="AD227" s="354"/>
      <c r="AE227" s="354"/>
      <c r="AF227" s="354"/>
      <c r="AG227" s="354"/>
      <c r="AH227" s="354"/>
      <c r="AI227" s="354"/>
      <c r="AJ227" s="354"/>
      <c r="AK227" s="354"/>
      <c r="AL227" s="354"/>
      <c r="AM227" s="354"/>
      <c r="AN227" s="354"/>
      <c r="AO227" s="354"/>
      <c r="AP227" s="354"/>
      <c r="AQ227" s="354"/>
      <c r="AR227" s="354"/>
      <c r="AS227" s="354"/>
      <c r="AT227" s="354"/>
      <c r="AU227" s="354"/>
      <c r="AV227" s="354"/>
      <c r="AW227" s="354"/>
      <c r="AX227" s="354"/>
      <c r="AY227" s="354"/>
      <c r="AZ227" s="354"/>
    </row>
    <row r="228" spans="3:52" x14ac:dyDescent="0.25">
      <c r="C228" s="354"/>
      <c r="D228" s="354"/>
      <c r="E228" s="354"/>
      <c r="F228" s="354"/>
      <c r="G228" s="354"/>
      <c r="H228" s="354"/>
      <c r="I228" s="354"/>
      <c r="J228" s="354"/>
      <c r="K228" s="354"/>
      <c r="L228" s="354"/>
      <c r="M228" s="354"/>
      <c r="N228" s="354"/>
      <c r="O228" s="354"/>
      <c r="P228" s="354"/>
      <c r="Q228" s="354"/>
      <c r="R228" s="370"/>
      <c r="S228" s="354"/>
      <c r="T228" s="354"/>
      <c r="U228" s="354"/>
      <c r="V228" s="354"/>
      <c r="W228" s="354"/>
      <c r="X228" s="354"/>
      <c r="Y228" s="354"/>
      <c r="Z228" s="354"/>
      <c r="AA228" s="354"/>
      <c r="AB228" s="354"/>
      <c r="AC228" s="354"/>
      <c r="AD228" s="354"/>
      <c r="AE228" s="354"/>
      <c r="AF228" s="354"/>
      <c r="AG228" s="354"/>
      <c r="AH228" s="354"/>
      <c r="AI228" s="354"/>
      <c r="AJ228" s="354"/>
      <c r="AK228" s="354"/>
      <c r="AL228" s="354"/>
      <c r="AM228" s="354"/>
      <c r="AN228" s="354"/>
      <c r="AO228" s="354"/>
      <c r="AP228" s="354"/>
      <c r="AQ228" s="354"/>
      <c r="AR228" s="354"/>
      <c r="AS228" s="354"/>
      <c r="AT228" s="354"/>
      <c r="AU228" s="354"/>
      <c r="AV228" s="354"/>
      <c r="AW228" s="354"/>
      <c r="AX228" s="354"/>
      <c r="AY228" s="354"/>
      <c r="AZ228" s="354"/>
    </row>
    <row r="229" spans="3:52" x14ac:dyDescent="0.25">
      <c r="C229" s="354"/>
      <c r="D229" s="354"/>
      <c r="E229" s="354"/>
      <c r="F229" s="354"/>
      <c r="G229" s="354"/>
      <c r="H229" s="354"/>
      <c r="I229" s="354"/>
      <c r="J229" s="354"/>
      <c r="K229" s="354"/>
      <c r="L229" s="354"/>
      <c r="M229" s="354"/>
      <c r="N229" s="354"/>
      <c r="O229" s="354"/>
      <c r="P229" s="354"/>
      <c r="Q229" s="354"/>
      <c r="R229" s="370"/>
      <c r="S229" s="354"/>
      <c r="T229" s="354"/>
      <c r="U229" s="354"/>
      <c r="V229" s="354"/>
      <c r="W229" s="354"/>
      <c r="X229" s="354"/>
      <c r="Y229" s="354"/>
      <c r="Z229" s="354"/>
      <c r="AA229" s="354"/>
      <c r="AB229" s="354"/>
      <c r="AC229" s="354"/>
      <c r="AD229" s="354"/>
      <c r="AE229" s="354"/>
      <c r="AF229" s="354"/>
      <c r="AG229" s="354"/>
      <c r="AH229" s="354"/>
      <c r="AI229" s="354"/>
      <c r="AJ229" s="354"/>
      <c r="AK229" s="354"/>
      <c r="AL229" s="354"/>
      <c r="AM229" s="354"/>
      <c r="AN229" s="354"/>
      <c r="AO229" s="354"/>
      <c r="AP229" s="354"/>
      <c r="AQ229" s="354"/>
      <c r="AR229" s="354"/>
      <c r="AS229" s="354"/>
      <c r="AT229" s="354"/>
      <c r="AU229" s="354"/>
      <c r="AV229" s="354"/>
      <c r="AW229" s="354"/>
      <c r="AX229" s="354"/>
      <c r="AY229" s="354"/>
      <c r="AZ229" s="354"/>
    </row>
    <row r="230" spans="3:52" x14ac:dyDescent="0.25">
      <c r="C230" s="354"/>
      <c r="D230" s="354"/>
      <c r="E230" s="354"/>
      <c r="F230" s="354"/>
      <c r="G230" s="354"/>
      <c r="H230" s="354"/>
      <c r="I230" s="354"/>
      <c r="J230" s="354"/>
      <c r="K230" s="354"/>
      <c r="L230" s="354"/>
      <c r="M230" s="354"/>
      <c r="N230" s="354"/>
      <c r="O230" s="354"/>
      <c r="P230" s="354"/>
      <c r="Q230" s="354"/>
      <c r="R230" s="370"/>
      <c r="S230" s="354"/>
      <c r="T230" s="354"/>
      <c r="U230" s="354"/>
      <c r="V230" s="354"/>
      <c r="W230" s="354"/>
      <c r="X230" s="354"/>
      <c r="Y230" s="354"/>
      <c r="Z230" s="354"/>
      <c r="AA230" s="354"/>
      <c r="AB230" s="354"/>
      <c r="AC230" s="354"/>
      <c r="AD230" s="354"/>
      <c r="AE230" s="354"/>
      <c r="AF230" s="354"/>
      <c r="AG230" s="354"/>
      <c r="AH230" s="354"/>
      <c r="AI230" s="354"/>
      <c r="AJ230" s="354"/>
      <c r="AK230" s="354"/>
      <c r="AL230" s="354"/>
      <c r="AM230" s="354"/>
      <c r="AN230" s="354"/>
      <c r="AO230" s="354"/>
      <c r="AP230" s="354"/>
      <c r="AQ230" s="354"/>
      <c r="AR230" s="354"/>
      <c r="AS230" s="354"/>
      <c r="AT230" s="354"/>
      <c r="AU230" s="354"/>
      <c r="AV230" s="354"/>
      <c r="AW230" s="354"/>
      <c r="AX230" s="354"/>
      <c r="AY230" s="354"/>
      <c r="AZ230" s="354"/>
    </row>
    <row r="231" spans="3:52" x14ac:dyDescent="0.25">
      <c r="C231" s="354"/>
      <c r="D231" s="354"/>
      <c r="E231" s="354"/>
      <c r="F231" s="354"/>
      <c r="G231" s="354"/>
      <c r="H231" s="354"/>
      <c r="I231" s="354"/>
      <c r="J231" s="354"/>
      <c r="K231" s="354"/>
      <c r="L231" s="354"/>
      <c r="M231" s="354"/>
      <c r="N231" s="354"/>
      <c r="O231" s="354"/>
      <c r="P231" s="354"/>
      <c r="Q231" s="354"/>
      <c r="R231" s="370"/>
      <c r="S231" s="354"/>
      <c r="T231" s="354"/>
      <c r="U231" s="354"/>
      <c r="V231" s="354"/>
      <c r="W231" s="354"/>
      <c r="X231" s="354"/>
      <c r="Y231" s="354"/>
      <c r="Z231" s="354"/>
      <c r="AA231" s="354"/>
      <c r="AB231" s="354"/>
      <c r="AC231" s="354"/>
      <c r="AD231" s="354"/>
      <c r="AE231" s="354"/>
      <c r="AF231" s="354"/>
      <c r="AG231" s="354"/>
      <c r="AH231" s="354"/>
      <c r="AI231" s="354"/>
      <c r="AJ231" s="354"/>
      <c r="AK231" s="354"/>
      <c r="AL231" s="354"/>
      <c r="AM231" s="354"/>
      <c r="AN231" s="354"/>
      <c r="AO231" s="354"/>
      <c r="AP231" s="354"/>
      <c r="AQ231" s="354"/>
      <c r="AR231" s="354"/>
      <c r="AS231" s="354"/>
      <c r="AT231" s="354"/>
      <c r="AU231" s="354"/>
      <c r="AV231" s="354"/>
      <c r="AW231" s="354"/>
      <c r="AX231" s="354"/>
      <c r="AY231" s="354"/>
      <c r="AZ231" s="354"/>
    </row>
    <row r="232" spans="3:52" x14ac:dyDescent="0.25">
      <c r="C232" s="354"/>
      <c r="D232" s="354"/>
      <c r="E232" s="354"/>
      <c r="F232" s="354"/>
      <c r="G232" s="354"/>
      <c r="H232" s="354"/>
      <c r="I232" s="354"/>
      <c r="J232" s="354"/>
      <c r="K232" s="354"/>
      <c r="L232" s="354"/>
      <c r="M232" s="354"/>
      <c r="N232" s="354"/>
      <c r="O232" s="354"/>
      <c r="P232" s="354"/>
      <c r="Q232" s="354"/>
      <c r="R232" s="370"/>
      <c r="S232" s="354"/>
      <c r="T232" s="354"/>
      <c r="U232" s="354"/>
      <c r="V232" s="354"/>
      <c r="W232" s="354"/>
      <c r="X232" s="354"/>
      <c r="Y232" s="354"/>
      <c r="Z232" s="354"/>
      <c r="AA232" s="354"/>
      <c r="AB232" s="354"/>
      <c r="AC232" s="354"/>
      <c r="AD232" s="354"/>
      <c r="AE232" s="354"/>
      <c r="AF232" s="354"/>
      <c r="AG232" s="354"/>
      <c r="AH232" s="354"/>
      <c r="AI232" s="354"/>
      <c r="AJ232" s="354"/>
      <c r="AK232" s="354"/>
      <c r="AL232" s="354"/>
      <c r="AM232" s="354"/>
      <c r="AN232" s="354"/>
      <c r="AO232" s="354"/>
      <c r="AP232" s="354"/>
      <c r="AQ232" s="354"/>
      <c r="AR232" s="354"/>
      <c r="AS232" s="354"/>
      <c r="AT232" s="354"/>
      <c r="AU232" s="354"/>
      <c r="AV232" s="354"/>
      <c r="AW232" s="354"/>
      <c r="AX232" s="354"/>
      <c r="AY232" s="354"/>
      <c r="AZ232" s="354"/>
    </row>
    <row r="233" spans="3:52" x14ac:dyDescent="0.25">
      <c r="C233" s="354"/>
      <c r="D233" s="354"/>
      <c r="E233" s="354"/>
      <c r="F233" s="354"/>
      <c r="G233" s="354"/>
      <c r="H233" s="354"/>
      <c r="I233" s="354"/>
      <c r="J233" s="354"/>
      <c r="K233" s="354"/>
      <c r="L233" s="354"/>
      <c r="M233" s="354"/>
      <c r="N233" s="354"/>
      <c r="O233" s="354"/>
      <c r="P233" s="354"/>
      <c r="Q233" s="354"/>
      <c r="R233" s="370"/>
      <c r="S233" s="354"/>
      <c r="T233" s="354"/>
      <c r="U233" s="354"/>
      <c r="V233" s="354"/>
      <c r="W233" s="354"/>
      <c r="X233" s="354"/>
      <c r="Y233" s="354"/>
      <c r="Z233" s="354"/>
      <c r="AA233" s="354"/>
      <c r="AB233" s="354"/>
      <c r="AC233" s="354"/>
      <c r="AD233" s="354"/>
      <c r="AE233" s="354"/>
      <c r="AF233" s="354"/>
      <c r="AG233" s="354"/>
      <c r="AH233" s="354"/>
      <c r="AI233" s="354"/>
      <c r="AJ233" s="354"/>
      <c r="AK233" s="354"/>
      <c r="AL233" s="354"/>
      <c r="AM233" s="354"/>
      <c r="AN233" s="354"/>
      <c r="AO233" s="354"/>
      <c r="AP233" s="354"/>
      <c r="AQ233" s="354"/>
      <c r="AR233" s="354"/>
      <c r="AS233" s="354"/>
      <c r="AT233" s="354"/>
      <c r="AU233" s="354"/>
      <c r="AV233" s="354"/>
      <c r="AW233" s="354"/>
      <c r="AX233" s="354"/>
      <c r="AY233" s="354"/>
      <c r="AZ233" s="354"/>
    </row>
    <row r="234" spans="3:52" x14ac:dyDescent="0.25">
      <c r="C234" s="354"/>
      <c r="D234" s="354"/>
      <c r="E234" s="354"/>
      <c r="F234" s="354"/>
      <c r="G234" s="354"/>
      <c r="H234" s="354"/>
      <c r="I234" s="354"/>
      <c r="J234" s="354"/>
      <c r="K234" s="354"/>
      <c r="L234" s="354"/>
      <c r="M234" s="354"/>
      <c r="N234" s="354"/>
      <c r="O234" s="354"/>
      <c r="P234" s="354"/>
      <c r="Q234" s="354"/>
      <c r="R234" s="370"/>
      <c r="S234" s="354"/>
      <c r="T234" s="354"/>
      <c r="U234" s="354"/>
      <c r="V234" s="354"/>
      <c r="W234" s="354"/>
      <c r="X234" s="354"/>
      <c r="Y234" s="354"/>
      <c r="Z234" s="354"/>
      <c r="AA234" s="354"/>
      <c r="AB234" s="354"/>
      <c r="AC234" s="354"/>
      <c r="AD234" s="354"/>
      <c r="AE234" s="354"/>
      <c r="AF234" s="354"/>
      <c r="AG234" s="354"/>
      <c r="AH234" s="354"/>
      <c r="AI234" s="354"/>
      <c r="AJ234" s="354"/>
      <c r="AK234" s="354"/>
      <c r="AL234" s="354"/>
      <c r="AM234" s="354"/>
      <c r="AN234" s="354"/>
      <c r="AO234" s="354"/>
      <c r="AP234" s="354"/>
      <c r="AQ234" s="354"/>
      <c r="AR234" s="354"/>
      <c r="AS234" s="354"/>
      <c r="AT234" s="354"/>
      <c r="AU234" s="354"/>
      <c r="AV234" s="354"/>
      <c r="AW234" s="354"/>
      <c r="AX234" s="354"/>
      <c r="AY234" s="354"/>
      <c r="AZ234" s="354"/>
    </row>
    <row r="235" spans="3:52" x14ac:dyDescent="0.25">
      <c r="C235" s="354"/>
      <c r="D235" s="354"/>
      <c r="E235" s="354"/>
      <c r="F235" s="354"/>
      <c r="G235" s="354"/>
      <c r="H235" s="354"/>
      <c r="I235" s="354"/>
      <c r="J235" s="354"/>
      <c r="K235" s="354"/>
      <c r="L235" s="354"/>
      <c r="M235" s="354"/>
      <c r="N235" s="354"/>
      <c r="O235" s="354"/>
      <c r="P235" s="354"/>
      <c r="Q235" s="354"/>
      <c r="R235" s="370"/>
      <c r="S235" s="354"/>
      <c r="T235" s="354"/>
      <c r="U235" s="354"/>
      <c r="V235" s="354"/>
      <c r="W235" s="354"/>
      <c r="X235" s="354"/>
      <c r="Y235" s="354"/>
      <c r="Z235" s="354"/>
      <c r="AA235" s="354"/>
      <c r="AB235" s="354"/>
      <c r="AC235" s="354"/>
      <c r="AD235" s="354"/>
      <c r="AE235" s="354"/>
      <c r="AF235" s="354"/>
      <c r="AG235" s="354"/>
      <c r="AH235" s="354"/>
      <c r="AI235" s="354"/>
      <c r="AJ235" s="354"/>
      <c r="AK235" s="354"/>
      <c r="AL235" s="354"/>
      <c r="AM235" s="354"/>
      <c r="AN235" s="354"/>
      <c r="AO235" s="354"/>
      <c r="AP235" s="354"/>
      <c r="AQ235" s="354"/>
      <c r="AR235" s="354"/>
      <c r="AS235" s="354"/>
      <c r="AT235" s="354"/>
      <c r="AU235" s="354"/>
      <c r="AV235" s="354"/>
      <c r="AW235" s="354"/>
      <c r="AX235" s="354"/>
      <c r="AY235" s="354"/>
      <c r="AZ235" s="354"/>
    </row>
    <row r="236" spans="3:52" x14ac:dyDescent="0.25">
      <c r="C236" s="354"/>
      <c r="D236" s="354"/>
      <c r="E236" s="354"/>
      <c r="F236" s="354"/>
      <c r="G236" s="354"/>
      <c r="H236" s="354"/>
      <c r="I236" s="354"/>
      <c r="J236" s="354"/>
      <c r="K236" s="354"/>
      <c r="L236" s="354"/>
      <c r="M236" s="354"/>
      <c r="N236" s="354"/>
      <c r="O236" s="354"/>
      <c r="P236" s="354"/>
      <c r="Q236" s="354"/>
      <c r="R236" s="370"/>
      <c r="S236" s="354"/>
      <c r="T236" s="354"/>
      <c r="U236" s="354"/>
      <c r="V236" s="354"/>
      <c r="W236" s="354"/>
      <c r="X236" s="354"/>
      <c r="Y236" s="354"/>
      <c r="Z236" s="354"/>
      <c r="AA236" s="354"/>
      <c r="AB236" s="354"/>
      <c r="AC236" s="354"/>
      <c r="AD236" s="354"/>
      <c r="AE236" s="354"/>
      <c r="AF236" s="354"/>
      <c r="AG236" s="354"/>
      <c r="AH236" s="354"/>
      <c r="AI236" s="354"/>
      <c r="AJ236" s="354"/>
      <c r="AK236" s="354"/>
      <c r="AL236" s="354"/>
      <c r="AM236" s="354"/>
      <c r="AN236" s="354"/>
      <c r="AO236" s="354"/>
      <c r="AP236" s="354"/>
      <c r="AQ236" s="354"/>
      <c r="AR236" s="354"/>
      <c r="AS236" s="354"/>
      <c r="AT236" s="354"/>
      <c r="AU236" s="354"/>
      <c r="AV236" s="354"/>
      <c r="AW236" s="354"/>
      <c r="AX236" s="354"/>
      <c r="AY236" s="354"/>
      <c r="AZ236" s="354"/>
    </row>
    <row r="237" spans="3:52" x14ac:dyDescent="0.25">
      <c r="C237" s="354"/>
      <c r="D237" s="354"/>
      <c r="E237" s="354"/>
      <c r="F237" s="354"/>
      <c r="G237" s="354"/>
      <c r="H237" s="354"/>
      <c r="I237" s="354"/>
      <c r="J237" s="354"/>
      <c r="K237" s="354"/>
      <c r="L237" s="354"/>
      <c r="M237" s="354"/>
      <c r="N237" s="354"/>
      <c r="O237" s="354"/>
      <c r="P237" s="354"/>
      <c r="Q237" s="354"/>
      <c r="R237" s="370"/>
      <c r="S237" s="354"/>
      <c r="T237" s="354"/>
      <c r="U237" s="354"/>
      <c r="V237" s="354"/>
      <c r="W237" s="354"/>
      <c r="X237" s="354"/>
      <c r="Y237" s="354"/>
      <c r="Z237" s="354"/>
      <c r="AA237" s="354"/>
      <c r="AB237" s="354"/>
      <c r="AC237" s="354"/>
      <c r="AD237" s="354"/>
      <c r="AE237" s="354"/>
      <c r="AF237" s="354"/>
      <c r="AG237" s="354"/>
      <c r="AH237" s="354"/>
      <c r="AI237" s="354"/>
      <c r="AJ237" s="354"/>
      <c r="AK237" s="354"/>
      <c r="AL237" s="354"/>
      <c r="AM237" s="354"/>
      <c r="AN237" s="354"/>
      <c r="AO237" s="354"/>
      <c r="AP237" s="354"/>
      <c r="AQ237" s="354"/>
      <c r="AR237" s="354"/>
      <c r="AS237" s="354"/>
      <c r="AT237" s="354"/>
      <c r="AU237" s="354"/>
      <c r="AV237" s="354"/>
      <c r="AW237" s="354"/>
      <c r="AX237" s="354"/>
      <c r="AY237" s="354"/>
      <c r="AZ237" s="354"/>
    </row>
    <row r="238" spans="3:52" x14ac:dyDescent="0.25">
      <c r="C238" s="354"/>
      <c r="D238" s="354"/>
      <c r="E238" s="354"/>
      <c r="F238" s="354"/>
      <c r="G238" s="354"/>
      <c r="H238" s="354"/>
      <c r="I238" s="354"/>
      <c r="J238" s="354"/>
      <c r="K238" s="354"/>
      <c r="L238" s="354"/>
      <c r="M238" s="354"/>
      <c r="N238" s="354"/>
      <c r="O238" s="354"/>
      <c r="P238" s="354"/>
      <c r="Q238" s="354"/>
      <c r="R238" s="370"/>
      <c r="S238" s="354"/>
      <c r="T238" s="354"/>
      <c r="U238" s="354"/>
      <c r="V238" s="354"/>
      <c r="W238" s="354"/>
      <c r="X238" s="354"/>
      <c r="Y238" s="354"/>
      <c r="Z238" s="354"/>
      <c r="AA238" s="354"/>
      <c r="AB238" s="354"/>
      <c r="AC238" s="354"/>
      <c r="AD238" s="354"/>
      <c r="AE238" s="354"/>
      <c r="AF238" s="354"/>
      <c r="AG238" s="354"/>
      <c r="AH238" s="354"/>
      <c r="AI238" s="354"/>
      <c r="AJ238" s="354"/>
      <c r="AK238" s="354"/>
      <c r="AL238" s="354"/>
      <c r="AM238" s="354"/>
      <c r="AN238" s="354"/>
      <c r="AO238" s="354"/>
      <c r="AP238" s="354"/>
      <c r="AQ238" s="354"/>
      <c r="AR238" s="354"/>
      <c r="AS238" s="354"/>
      <c r="AT238" s="354"/>
      <c r="AU238" s="354"/>
      <c r="AV238" s="354"/>
      <c r="AW238" s="354"/>
      <c r="AX238" s="354"/>
      <c r="AY238" s="354"/>
      <c r="AZ238" s="354"/>
    </row>
    <row r="239" spans="3:52" x14ac:dyDescent="0.25">
      <c r="C239" s="354"/>
      <c r="D239" s="354"/>
      <c r="E239" s="354"/>
      <c r="F239" s="354"/>
      <c r="G239" s="354"/>
      <c r="H239" s="354"/>
      <c r="I239" s="354"/>
      <c r="J239" s="354"/>
      <c r="K239" s="354"/>
      <c r="L239" s="354"/>
      <c r="M239" s="354"/>
      <c r="N239" s="354"/>
      <c r="O239" s="354"/>
      <c r="P239" s="354"/>
      <c r="Q239" s="354"/>
      <c r="R239" s="370"/>
      <c r="S239" s="354"/>
      <c r="T239" s="354"/>
      <c r="U239" s="354"/>
      <c r="V239" s="354"/>
      <c r="W239" s="354"/>
      <c r="X239" s="354"/>
      <c r="Y239" s="354"/>
      <c r="Z239" s="354"/>
      <c r="AA239" s="354"/>
      <c r="AB239" s="354"/>
      <c r="AC239" s="354"/>
      <c r="AD239" s="354"/>
      <c r="AE239" s="354"/>
      <c r="AF239" s="354"/>
      <c r="AG239" s="354"/>
      <c r="AH239" s="354"/>
      <c r="AI239" s="354"/>
      <c r="AJ239" s="354"/>
      <c r="AK239" s="354"/>
      <c r="AL239" s="354"/>
      <c r="AM239" s="354"/>
      <c r="AN239" s="354"/>
      <c r="AO239" s="354"/>
      <c r="AP239" s="354"/>
      <c r="AQ239" s="354"/>
      <c r="AR239" s="354"/>
      <c r="AS239" s="354"/>
      <c r="AT239" s="354"/>
      <c r="AU239" s="354"/>
      <c r="AV239" s="354"/>
      <c r="AW239" s="354"/>
      <c r="AX239" s="354"/>
      <c r="AY239" s="354"/>
      <c r="AZ239" s="354"/>
    </row>
    <row r="240" spans="3:52" x14ac:dyDescent="0.25">
      <c r="C240" s="354"/>
      <c r="D240" s="354"/>
      <c r="E240" s="354"/>
      <c r="F240" s="354"/>
      <c r="G240" s="354"/>
      <c r="H240" s="354"/>
      <c r="I240" s="354"/>
      <c r="J240" s="354"/>
      <c r="K240" s="354"/>
      <c r="L240" s="354"/>
      <c r="M240" s="354"/>
      <c r="N240" s="354"/>
      <c r="O240" s="354"/>
      <c r="P240" s="354"/>
      <c r="Q240" s="354"/>
      <c r="R240" s="370"/>
      <c r="S240" s="354"/>
      <c r="T240" s="354"/>
      <c r="U240" s="354"/>
      <c r="V240" s="354"/>
      <c r="W240" s="354"/>
      <c r="X240" s="354"/>
      <c r="Y240" s="354"/>
      <c r="Z240" s="354"/>
      <c r="AA240" s="354"/>
      <c r="AB240" s="354"/>
      <c r="AC240" s="354"/>
      <c r="AD240" s="354"/>
      <c r="AE240" s="354"/>
      <c r="AF240" s="354"/>
      <c r="AG240" s="354"/>
      <c r="AH240" s="354"/>
      <c r="AI240" s="354"/>
      <c r="AJ240" s="354"/>
      <c r="AK240" s="354"/>
      <c r="AL240" s="354"/>
      <c r="AM240" s="354"/>
      <c r="AN240" s="354"/>
      <c r="AO240" s="354"/>
      <c r="AP240" s="354"/>
      <c r="AQ240" s="354"/>
      <c r="AR240" s="354"/>
      <c r="AS240" s="354"/>
      <c r="AT240" s="354"/>
      <c r="AU240" s="354"/>
      <c r="AV240" s="354"/>
      <c r="AW240" s="354"/>
      <c r="AX240" s="354"/>
      <c r="AY240" s="354"/>
      <c r="AZ240" s="354"/>
    </row>
    <row r="241" spans="3:52" x14ac:dyDescent="0.25">
      <c r="C241" s="354"/>
      <c r="D241" s="354"/>
      <c r="E241" s="354"/>
      <c r="F241" s="354"/>
      <c r="G241" s="354"/>
      <c r="H241" s="354"/>
      <c r="I241" s="354"/>
      <c r="J241" s="354"/>
      <c r="K241" s="354"/>
      <c r="L241" s="354"/>
      <c r="M241" s="354"/>
      <c r="N241" s="354"/>
      <c r="O241" s="354"/>
      <c r="P241" s="354"/>
      <c r="Q241" s="354"/>
      <c r="R241" s="370"/>
      <c r="S241" s="354"/>
      <c r="T241" s="354"/>
      <c r="U241" s="354"/>
      <c r="V241" s="354"/>
      <c r="W241" s="354"/>
      <c r="X241" s="354"/>
      <c r="Y241" s="354"/>
      <c r="Z241" s="354"/>
      <c r="AA241" s="354"/>
      <c r="AB241" s="354"/>
      <c r="AC241" s="354"/>
      <c r="AD241" s="354"/>
      <c r="AE241" s="354"/>
      <c r="AF241" s="354"/>
      <c r="AG241" s="354"/>
      <c r="AH241" s="354"/>
      <c r="AI241" s="354"/>
      <c r="AJ241" s="354"/>
      <c r="AK241" s="354"/>
      <c r="AL241" s="354"/>
      <c r="AM241" s="354"/>
      <c r="AN241" s="354"/>
      <c r="AO241" s="354"/>
      <c r="AP241" s="354"/>
      <c r="AQ241" s="354"/>
      <c r="AR241" s="354"/>
      <c r="AS241" s="354"/>
      <c r="AT241" s="354"/>
      <c r="AU241" s="354"/>
      <c r="AV241" s="354"/>
      <c r="AW241" s="354"/>
      <c r="AX241" s="354"/>
      <c r="AY241" s="354"/>
      <c r="AZ241" s="354"/>
    </row>
    <row r="242" spans="3:52" x14ac:dyDescent="0.25">
      <c r="C242" s="354"/>
      <c r="D242" s="354"/>
      <c r="E242" s="354"/>
      <c r="F242" s="354"/>
      <c r="G242" s="354"/>
      <c r="H242" s="354"/>
      <c r="I242" s="354"/>
      <c r="J242" s="354"/>
      <c r="K242" s="354"/>
      <c r="L242" s="354"/>
      <c r="M242" s="354"/>
      <c r="N242" s="354"/>
      <c r="O242" s="354"/>
      <c r="P242" s="354"/>
      <c r="Q242" s="354"/>
      <c r="R242" s="370"/>
      <c r="S242" s="354"/>
      <c r="T242" s="354"/>
      <c r="U242" s="354"/>
      <c r="V242" s="354"/>
      <c r="W242" s="354"/>
      <c r="X242" s="354"/>
      <c r="Y242" s="354"/>
      <c r="Z242" s="354"/>
      <c r="AA242" s="354"/>
      <c r="AB242" s="354"/>
      <c r="AC242" s="354"/>
      <c r="AD242" s="354"/>
      <c r="AE242" s="354"/>
      <c r="AF242" s="354"/>
      <c r="AG242" s="354"/>
      <c r="AH242" s="354"/>
      <c r="AI242" s="354"/>
      <c r="AJ242" s="354"/>
      <c r="AK242" s="354"/>
      <c r="AL242" s="354"/>
      <c r="AM242" s="354"/>
      <c r="AN242" s="354"/>
      <c r="AO242" s="354"/>
      <c r="AP242" s="354"/>
      <c r="AQ242" s="354"/>
      <c r="AR242" s="354"/>
      <c r="AS242" s="354"/>
      <c r="AT242" s="354"/>
      <c r="AU242" s="354"/>
      <c r="AV242" s="354"/>
      <c r="AW242" s="354"/>
      <c r="AX242" s="354"/>
      <c r="AY242" s="354"/>
      <c r="AZ242" s="354"/>
    </row>
    <row r="243" spans="3:52" x14ac:dyDescent="0.25">
      <c r="C243" s="354"/>
      <c r="D243" s="354"/>
      <c r="E243" s="354"/>
      <c r="F243" s="354"/>
      <c r="G243" s="354"/>
      <c r="H243" s="354"/>
      <c r="I243" s="354"/>
      <c r="J243" s="354"/>
      <c r="K243" s="354"/>
      <c r="L243" s="354"/>
      <c r="M243" s="354"/>
      <c r="N243" s="354"/>
      <c r="O243" s="354"/>
      <c r="P243" s="354"/>
      <c r="Q243" s="354"/>
      <c r="R243" s="370"/>
      <c r="S243" s="354"/>
      <c r="T243" s="354"/>
      <c r="U243" s="354"/>
      <c r="V243" s="354"/>
      <c r="W243" s="354"/>
      <c r="X243" s="354"/>
      <c r="Y243" s="354"/>
      <c r="Z243" s="354"/>
      <c r="AA243" s="354"/>
      <c r="AB243" s="354"/>
      <c r="AC243" s="354"/>
      <c r="AD243" s="354"/>
      <c r="AE243" s="354"/>
      <c r="AF243" s="354"/>
      <c r="AG243" s="354"/>
      <c r="AH243" s="354"/>
      <c r="AI243" s="354"/>
      <c r="AJ243" s="354"/>
      <c r="AK243" s="354"/>
      <c r="AL243" s="354"/>
      <c r="AM243" s="354"/>
      <c r="AN243" s="354"/>
      <c r="AO243" s="354"/>
      <c r="AP243" s="354"/>
      <c r="AQ243" s="354"/>
      <c r="AR243" s="354"/>
      <c r="AS243" s="354"/>
      <c r="AT243" s="354"/>
      <c r="AU243" s="354"/>
      <c r="AV243" s="354"/>
      <c r="AW243" s="354"/>
      <c r="AX243" s="354"/>
      <c r="AY243" s="354"/>
      <c r="AZ243" s="354"/>
    </row>
    <row r="244" spans="3:52" x14ac:dyDescent="0.25">
      <c r="C244" s="354"/>
      <c r="D244" s="354"/>
      <c r="E244" s="354"/>
      <c r="F244" s="354"/>
      <c r="G244" s="354"/>
      <c r="H244" s="354"/>
      <c r="I244" s="354"/>
      <c r="J244" s="354"/>
      <c r="K244" s="354"/>
      <c r="L244" s="354"/>
      <c r="M244" s="354"/>
      <c r="N244" s="354"/>
      <c r="O244" s="354"/>
      <c r="P244" s="354"/>
      <c r="Q244" s="354"/>
      <c r="R244" s="370"/>
      <c r="S244" s="354"/>
      <c r="T244" s="354"/>
      <c r="U244" s="354"/>
      <c r="V244" s="354"/>
      <c r="W244" s="354"/>
      <c r="X244" s="354"/>
      <c r="Y244" s="354"/>
      <c r="Z244" s="354"/>
      <c r="AA244" s="354"/>
      <c r="AB244" s="354"/>
      <c r="AC244" s="354"/>
      <c r="AD244" s="354"/>
      <c r="AE244" s="354"/>
      <c r="AF244" s="354"/>
      <c r="AG244" s="354"/>
      <c r="AH244" s="354"/>
      <c r="AI244" s="354"/>
      <c r="AJ244" s="354"/>
      <c r="AK244" s="354"/>
      <c r="AL244" s="354"/>
      <c r="AM244" s="354"/>
      <c r="AN244" s="354"/>
      <c r="AO244" s="354"/>
      <c r="AP244" s="354"/>
      <c r="AQ244" s="354"/>
      <c r="AR244" s="354"/>
      <c r="AS244" s="354"/>
      <c r="AT244" s="354"/>
      <c r="AU244" s="354"/>
      <c r="AV244" s="354"/>
      <c r="AW244" s="354"/>
      <c r="AX244" s="354"/>
      <c r="AY244" s="354"/>
      <c r="AZ244" s="354"/>
    </row>
    <row r="245" spans="3:52" x14ac:dyDescent="0.25">
      <c r="C245" s="354"/>
      <c r="D245" s="354"/>
      <c r="E245" s="354"/>
      <c r="F245" s="354"/>
      <c r="G245" s="354"/>
      <c r="H245" s="354"/>
      <c r="I245" s="354"/>
      <c r="J245" s="354"/>
      <c r="K245" s="354"/>
      <c r="L245" s="354"/>
      <c r="M245" s="354"/>
      <c r="N245" s="354"/>
      <c r="O245" s="354"/>
      <c r="P245" s="354"/>
      <c r="Q245" s="354"/>
      <c r="R245" s="370"/>
      <c r="S245" s="354"/>
      <c r="T245" s="354"/>
      <c r="U245" s="354"/>
      <c r="V245" s="354"/>
      <c r="W245" s="354"/>
      <c r="X245" s="354"/>
      <c r="Y245" s="354"/>
      <c r="Z245" s="354"/>
      <c r="AA245" s="354"/>
      <c r="AB245" s="354"/>
      <c r="AC245" s="354"/>
      <c r="AD245" s="354"/>
      <c r="AE245" s="354"/>
      <c r="AF245" s="354"/>
      <c r="AG245" s="354"/>
      <c r="AH245" s="354"/>
      <c r="AI245" s="354"/>
      <c r="AJ245" s="354"/>
      <c r="AK245" s="354"/>
      <c r="AL245" s="354"/>
      <c r="AM245" s="354"/>
      <c r="AN245" s="354"/>
      <c r="AO245" s="354"/>
      <c r="AP245" s="354"/>
      <c r="AQ245" s="354"/>
      <c r="AR245" s="354"/>
      <c r="AS245" s="354"/>
      <c r="AT245" s="354"/>
      <c r="AU245" s="354"/>
      <c r="AV245" s="354"/>
      <c r="AW245" s="354"/>
      <c r="AX245" s="354"/>
      <c r="AY245" s="354"/>
      <c r="AZ245" s="354"/>
    </row>
    <row r="246" spans="3:52" x14ac:dyDescent="0.25">
      <c r="C246" s="354"/>
      <c r="D246" s="354"/>
      <c r="E246" s="354"/>
      <c r="F246" s="354"/>
      <c r="G246" s="354"/>
      <c r="H246" s="354"/>
      <c r="I246" s="354"/>
      <c r="J246" s="354"/>
      <c r="K246" s="354"/>
      <c r="L246" s="354"/>
      <c r="M246" s="354"/>
      <c r="N246" s="354"/>
      <c r="O246" s="354"/>
      <c r="P246" s="354"/>
      <c r="Q246" s="354"/>
      <c r="R246" s="370"/>
      <c r="S246" s="354"/>
      <c r="T246" s="354"/>
      <c r="U246" s="354"/>
      <c r="V246" s="354"/>
      <c r="W246" s="354"/>
      <c r="X246" s="354"/>
      <c r="Y246" s="354"/>
      <c r="Z246" s="354"/>
      <c r="AA246" s="354"/>
      <c r="AB246" s="354"/>
      <c r="AC246" s="354"/>
      <c r="AD246" s="354"/>
      <c r="AE246" s="354"/>
      <c r="AF246" s="354"/>
      <c r="AG246" s="354"/>
      <c r="AH246" s="354"/>
      <c r="AI246" s="354"/>
      <c r="AJ246" s="354"/>
      <c r="AK246" s="354"/>
      <c r="AL246" s="354"/>
      <c r="AM246" s="354"/>
      <c r="AN246" s="354"/>
      <c r="AO246" s="354"/>
      <c r="AP246" s="354"/>
      <c r="AQ246" s="354"/>
      <c r="AR246" s="354"/>
      <c r="AS246" s="354"/>
      <c r="AT246" s="354"/>
      <c r="AU246" s="354"/>
      <c r="AV246" s="354"/>
      <c r="AW246" s="354"/>
      <c r="AX246" s="354"/>
      <c r="AY246" s="354"/>
      <c r="AZ246" s="354"/>
    </row>
    <row r="247" spans="3:52" x14ac:dyDescent="0.25">
      <c r="C247" s="354"/>
      <c r="D247" s="354"/>
      <c r="E247" s="354"/>
      <c r="F247" s="354"/>
      <c r="G247" s="354"/>
      <c r="H247" s="354"/>
      <c r="I247" s="354"/>
      <c r="J247" s="354"/>
      <c r="K247" s="354"/>
      <c r="L247" s="354"/>
      <c r="M247" s="354"/>
      <c r="N247" s="354"/>
      <c r="O247" s="354"/>
      <c r="P247" s="354"/>
      <c r="Q247" s="354"/>
      <c r="R247" s="370"/>
      <c r="S247" s="354"/>
      <c r="T247" s="354"/>
      <c r="U247" s="354"/>
      <c r="V247" s="354"/>
      <c r="W247" s="354"/>
      <c r="X247" s="354"/>
      <c r="Y247" s="354"/>
      <c r="Z247" s="354"/>
      <c r="AA247" s="354"/>
      <c r="AB247" s="354"/>
      <c r="AC247" s="354"/>
      <c r="AD247" s="354"/>
      <c r="AE247" s="354"/>
      <c r="AF247" s="354"/>
      <c r="AG247" s="354"/>
      <c r="AH247" s="354"/>
      <c r="AI247" s="354"/>
      <c r="AJ247" s="354"/>
      <c r="AK247" s="354"/>
      <c r="AL247" s="354"/>
      <c r="AM247" s="354"/>
      <c r="AN247" s="354"/>
      <c r="AO247" s="354"/>
      <c r="AP247" s="354"/>
      <c r="AQ247" s="354"/>
      <c r="AR247" s="354"/>
      <c r="AS247" s="354"/>
      <c r="AT247" s="354"/>
      <c r="AU247" s="354"/>
      <c r="AV247" s="354"/>
      <c r="AW247" s="354"/>
      <c r="AX247" s="354"/>
      <c r="AY247" s="354"/>
      <c r="AZ247" s="354"/>
    </row>
    <row r="248" spans="3:52" x14ac:dyDescent="0.25">
      <c r="C248" s="354"/>
      <c r="D248" s="354"/>
      <c r="E248" s="354"/>
      <c r="F248" s="354"/>
      <c r="G248" s="354"/>
      <c r="H248" s="354"/>
      <c r="I248" s="354"/>
      <c r="J248" s="354"/>
      <c r="K248" s="354"/>
      <c r="L248" s="354"/>
      <c r="M248" s="354"/>
      <c r="N248" s="354"/>
      <c r="O248" s="354"/>
      <c r="P248" s="354"/>
      <c r="Q248" s="354"/>
      <c r="R248" s="370"/>
      <c r="S248" s="354"/>
      <c r="T248" s="354"/>
      <c r="U248" s="354"/>
      <c r="V248" s="354"/>
      <c r="W248" s="354"/>
      <c r="X248" s="354"/>
      <c r="Y248" s="354"/>
      <c r="Z248" s="354"/>
      <c r="AA248" s="354"/>
      <c r="AB248" s="354"/>
      <c r="AC248" s="354"/>
      <c r="AD248" s="354"/>
      <c r="AE248" s="354"/>
      <c r="AF248" s="354"/>
      <c r="AG248" s="354"/>
      <c r="AH248" s="354"/>
      <c r="AI248" s="354"/>
      <c r="AJ248" s="354"/>
      <c r="AK248" s="354"/>
      <c r="AL248" s="354"/>
      <c r="AM248" s="354"/>
      <c r="AN248" s="354"/>
      <c r="AO248" s="354"/>
      <c r="AP248" s="354"/>
      <c r="AQ248" s="354"/>
      <c r="AR248" s="354"/>
      <c r="AS248" s="354"/>
      <c r="AT248" s="354"/>
      <c r="AU248" s="354"/>
      <c r="AV248" s="354"/>
      <c r="AW248" s="354"/>
      <c r="AX248" s="354"/>
      <c r="AY248" s="354"/>
      <c r="AZ248" s="354"/>
    </row>
    <row r="249" spans="3:52" x14ac:dyDescent="0.25">
      <c r="C249" s="354"/>
      <c r="D249" s="354"/>
      <c r="E249" s="354"/>
      <c r="F249" s="354"/>
      <c r="G249" s="354"/>
      <c r="H249" s="354"/>
      <c r="I249" s="354"/>
      <c r="J249" s="354"/>
      <c r="K249" s="354"/>
      <c r="L249" s="354"/>
      <c r="M249" s="354"/>
      <c r="N249" s="354"/>
      <c r="O249" s="354"/>
      <c r="P249" s="354"/>
      <c r="Q249" s="354"/>
      <c r="R249" s="370"/>
      <c r="S249" s="354"/>
      <c r="T249" s="354"/>
      <c r="U249" s="354"/>
      <c r="V249" s="354"/>
      <c r="W249" s="354"/>
      <c r="X249" s="354"/>
      <c r="Y249" s="354"/>
      <c r="Z249" s="354"/>
      <c r="AA249" s="354"/>
      <c r="AB249" s="354"/>
      <c r="AC249" s="354"/>
      <c r="AD249" s="354"/>
      <c r="AE249" s="354"/>
      <c r="AF249" s="354"/>
      <c r="AG249" s="354"/>
      <c r="AH249" s="354"/>
      <c r="AI249" s="354"/>
      <c r="AJ249" s="354"/>
      <c r="AK249" s="354"/>
      <c r="AL249" s="354"/>
      <c r="AM249" s="354"/>
      <c r="AN249" s="354"/>
      <c r="AO249" s="354"/>
      <c r="AP249" s="354"/>
      <c r="AQ249" s="354"/>
      <c r="AR249" s="354"/>
      <c r="AS249" s="354"/>
      <c r="AT249" s="354"/>
      <c r="AU249" s="354"/>
      <c r="AV249" s="354"/>
      <c r="AW249" s="354"/>
      <c r="AX249" s="354"/>
      <c r="AY249" s="354"/>
      <c r="AZ249" s="354"/>
    </row>
    <row r="250" spans="3:52" x14ac:dyDescent="0.25">
      <c r="C250" s="354"/>
      <c r="D250" s="354"/>
      <c r="E250" s="354"/>
      <c r="F250" s="354"/>
      <c r="G250" s="354"/>
      <c r="H250" s="354"/>
      <c r="I250" s="354"/>
      <c r="J250" s="354"/>
      <c r="K250" s="354"/>
      <c r="L250" s="354"/>
      <c r="M250" s="354"/>
      <c r="N250" s="354"/>
      <c r="O250" s="354"/>
      <c r="P250" s="354"/>
      <c r="Q250" s="354"/>
      <c r="R250" s="370"/>
      <c r="S250" s="354"/>
      <c r="T250" s="354"/>
      <c r="U250" s="354"/>
      <c r="V250" s="354"/>
      <c r="W250" s="354"/>
      <c r="X250" s="354"/>
      <c r="Y250" s="354"/>
      <c r="Z250" s="354"/>
      <c r="AA250" s="354"/>
      <c r="AB250" s="354"/>
      <c r="AC250" s="354"/>
      <c r="AD250" s="354"/>
      <c r="AE250" s="354"/>
      <c r="AF250" s="354"/>
      <c r="AG250" s="354"/>
      <c r="AH250" s="354"/>
      <c r="AI250" s="354"/>
      <c r="AJ250" s="354"/>
      <c r="AK250" s="354"/>
      <c r="AL250" s="354"/>
      <c r="AM250" s="354"/>
      <c r="AN250" s="354"/>
      <c r="AO250" s="354"/>
      <c r="AP250" s="354"/>
      <c r="AQ250" s="354"/>
      <c r="AR250" s="354"/>
      <c r="AS250" s="354"/>
      <c r="AT250" s="354"/>
      <c r="AU250" s="354"/>
      <c r="AV250" s="354"/>
      <c r="AW250" s="354"/>
      <c r="AX250" s="354"/>
      <c r="AY250" s="354"/>
      <c r="AZ250" s="354"/>
    </row>
    <row r="251" spans="3:52" x14ac:dyDescent="0.25">
      <c r="C251" s="354"/>
      <c r="D251" s="354"/>
      <c r="E251" s="354"/>
      <c r="F251" s="354"/>
      <c r="G251" s="354"/>
      <c r="H251" s="354"/>
      <c r="I251" s="354"/>
      <c r="J251" s="354"/>
      <c r="K251" s="354"/>
      <c r="L251" s="354"/>
      <c r="M251" s="354"/>
      <c r="N251" s="354"/>
      <c r="O251" s="354"/>
      <c r="P251" s="354"/>
      <c r="Q251" s="354"/>
      <c r="R251" s="370"/>
      <c r="S251" s="354"/>
      <c r="T251" s="354"/>
      <c r="U251" s="354"/>
      <c r="V251" s="354"/>
      <c r="W251" s="354"/>
      <c r="X251" s="354"/>
      <c r="Y251" s="354"/>
      <c r="Z251" s="354"/>
      <c r="AA251" s="354"/>
      <c r="AB251" s="354"/>
      <c r="AC251" s="354"/>
      <c r="AD251" s="354"/>
      <c r="AE251" s="354"/>
      <c r="AF251" s="354"/>
      <c r="AG251" s="354"/>
      <c r="AH251" s="354"/>
      <c r="AI251" s="354"/>
      <c r="AJ251" s="354"/>
      <c r="AK251" s="354"/>
      <c r="AL251" s="354"/>
      <c r="AM251" s="354"/>
      <c r="AN251" s="354"/>
      <c r="AO251" s="354"/>
      <c r="AP251" s="354"/>
      <c r="AQ251" s="354"/>
      <c r="AR251" s="354"/>
      <c r="AS251" s="354"/>
      <c r="AT251" s="354"/>
      <c r="AU251" s="354"/>
      <c r="AV251" s="354"/>
      <c r="AW251" s="354"/>
      <c r="AX251" s="354"/>
      <c r="AY251" s="354"/>
      <c r="AZ251" s="354"/>
    </row>
    <row r="252" spans="3:52" x14ac:dyDescent="0.25">
      <c r="C252" s="354"/>
      <c r="D252" s="354"/>
      <c r="E252" s="354"/>
      <c r="F252" s="354"/>
      <c r="G252" s="354"/>
      <c r="H252" s="354"/>
      <c r="I252" s="354"/>
      <c r="J252" s="354"/>
      <c r="K252" s="354"/>
      <c r="L252" s="354"/>
      <c r="M252" s="354"/>
      <c r="N252" s="354"/>
      <c r="O252" s="354"/>
      <c r="P252" s="354"/>
      <c r="Q252" s="354"/>
      <c r="R252" s="370"/>
      <c r="S252" s="354"/>
      <c r="T252" s="354"/>
      <c r="U252" s="354"/>
      <c r="V252" s="354"/>
      <c r="W252" s="354"/>
      <c r="X252" s="354"/>
      <c r="Y252" s="354"/>
      <c r="Z252" s="354"/>
      <c r="AA252" s="354"/>
      <c r="AB252" s="354"/>
      <c r="AC252" s="354"/>
      <c r="AD252" s="354"/>
      <c r="AE252" s="354"/>
      <c r="AF252" s="354"/>
      <c r="AG252" s="354"/>
      <c r="AH252" s="354"/>
      <c r="AI252" s="354"/>
      <c r="AJ252" s="354"/>
      <c r="AK252" s="354"/>
      <c r="AL252" s="354"/>
      <c r="AM252" s="354"/>
      <c r="AN252" s="354"/>
      <c r="AO252" s="354"/>
      <c r="AP252" s="354"/>
      <c r="AQ252" s="354"/>
      <c r="AR252" s="354"/>
      <c r="AS252" s="354"/>
      <c r="AT252" s="354"/>
      <c r="AU252" s="354"/>
      <c r="AV252" s="354"/>
      <c r="AW252" s="354"/>
      <c r="AX252" s="354"/>
      <c r="AY252" s="354"/>
      <c r="AZ252" s="354"/>
    </row>
    <row r="253" spans="3:52" x14ac:dyDescent="0.25">
      <c r="C253" s="354"/>
      <c r="D253" s="354"/>
      <c r="E253" s="354"/>
      <c r="F253" s="354"/>
      <c r="G253" s="354"/>
      <c r="H253" s="354"/>
      <c r="I253" s="354"/>
      <c r="J253" s="354"/>
      <c r="K253" s="354"/>
      <c r="L253" s="354"/>
      <c r="M253" s="354"/>
      <c r="N253" s="354"/>
      <c r="O253" s="354"/>
      <c r="P253" s="354"/>
      <c r="Q253" s="354"/>
      <c r="R253" s="370"/>
      <c r="S253" s="354"/>
      <c r="T253" s="354"/>
      <c r="U253" s="354"/>
      <c r="V253" s="354"/>
      <c r="W253" s="354"/>
      <c r="X253" s="354"/>
      <c r="Y253" s="354"/>
      <c r="Z253" s="354"/>
      <c r="AA253" s="354"/>
      <c r="AB253" s="354"/>
      <c r="AC253" s="354"/>
      <c r="AD253" s="354"/>
      <c r="AE253" s="354"/>
      <c r="AF253" s="354"/>
      <c r="AG253" s="354"/>
      <c r="AH253" s="354"/>
      <c r="AI253" s="354"/>
      <c r="AJ253" s="354"/>
      <c r="AK253" s="354"/>
      <c r="AL253" s="354"/>
      <c r="AM253" s="354"/>
      <c r="AN253" s="354"/>
      <c r="AO253" s="354"/>
      <c r="AP253" s="354"/>
      <c r="AQ253" s="354"/>
      <c r="AR253" s="354"/>
      <c r="AS253" s="354"/>
      <c r="AT253" s="354"/>
      <c r="AU253" s="354"/>
      <c r="AV253" s="354"/>
      <c r="AW253" s="354"/>
      <c r="AX253" s="354"/>
      <c r="AY253" s="354"/>
      <c r="AZ253" s="354"/>
    </row>
    <row r="254" spans="3:52" x14ac:dyDescent="0.25">
      <c r="C254" s="354"/>
      <c r="D254" s="354"/>
      <c r="E254" s="354"/>
      <c r="F254" s="354"/>
      <c r="G254" s="354"/>
      <c r="H254" s="354"/>
      <c r="I254" s="354"/>
      <c r="J254" s="354"/>
      <c r="K254" s="354"/>
      <c r="L254" s="354"/>
      <c r="M254" s="354"/>
      <c r="N254" s="354"/>
      <c r="O254" s="354"/>
      <c r="P254" s="354"/>
      <c r="Q254" s="354"/>
      <c r="R254" s="370"/>
      <c r="S254" s="354"/>
      <c r="T254" s="354"/>
      <c r="U254" s="354"/>
      <c r="V254" s="354"/>
      <c r="W254" s="354"/>
      <c r="X254" s="354"/>
      <c r="Y254" s="354"/>
      <c r="Z254" s="354"/>
      <c r="AA254" s="354"/>
      <c r="AB254" s="354"/>
      <c r="AC254" s="354"/>
      <c r="AD254" s="354"/>
      <c r="AE254" s="354"/>
      <c r="AF254" s="354"/>
      <c r="AG254" s="354"/>
      <c r="AH254" s="354"/>
      <c r="AI254" s="354"/>
      <c r="AJ254" s="354"/>
      <c r="AK254" s="354"/>
      <c r="AL254" s="354"/>
      <c r="AM254" s="354"/>
      <c r="AN254" s="354"/>
      <c r="AO254" s="354"/>
      <c r="AP254" s="354"/>
      <c r="AQ254" s="354"/>
      <c r="AR254" s="354"/>
      <c r="AS254" s="354"/>
      <c r="AT254" s="354"/>
      <c r="AU254" s="354"/>
      <c r="AV254" s="354"/>
      <c r="AW254" s="354"/>
      <c r="AX254" s="354"/>
      <c r="AY254" s="354"/>
      <c r="AZ254" s="354"/>
    </row>
    <row r="255" spans="3:52" x14ac:dyDescent="0.25">
      <c r="C255" s="354"/>
      <c r="D255" s="354"/>
      <c r="E255" s="354"/>
      <c r="F255" s="354"/>
      <c r="G255" s="354"/>
      <c r="H255" s="354"/>
      <c r="I255" s="354"/>
      <c r="J255" s="354"/>
      <c r="K255" s="354"/>
      <c r="L255" s="354"/>
      <c r="M255" s="354"/>
      <c r="N255" s="354"/>
      <c r="O255" s="354"/>
      <c r="P255" s="354"/>
      <c r="Q255" s="354"/>
      <c r="R255" s="370"/>
      <c r="S255" s="354"/>
      <c r="T255" s="354"/>
      <c r="U255" s="354"/>
      <c r="V255" s="354"/>
      <c r="W255" s="354"/>
      <c r="X255" s="354"/>
      <c r="Y255" s="354"/>
      <c r="Z255" s="354"/>
      <c r="AA255" s="354"/>
      <c r="AB255" s="354"/>
      <c r="AC255" s="354"/>
      <c r="AD255" s="354"/>
      <c r="AE255" s="354"/>
      <c r="AF255" s="354"/>
      <c r="AG255" s="354"/>
      <c r="AH255" s="354"/>
      <c r="AI255" s="354"/>
      <c r="AJ255" s="354"/>
      <c r="AK255" s="354"/>
      <c r="AL255" s="354"/>
      <c r="AM255" s="354"/>
      <c r="AN255" s="354"/>
      <c r="AO255" s="354"/>
      <c r="AP255" s="354"/>
      <c r="AQ255" s="354"/>
      <c r="AR255" s="354"/>
      <c r="AS255" s="354"/>
      <c r="AT255" s="354"/>
      <c r="AU255" s="354"/>
      <c r="AV255" s="354"/>
      <c r="AW255" s="354"/>
      <c r="AX255" s="354"/>
      <c r="AY255" s="354"/>
      <c r="AZ255" s="354"/>
    </row>
    <row r="256" spans="3:52" x14ac:dyDescent="0.25">
      <c r="C256" s="354"/>
      <c r="D256" s="354"/>
      <c r="E256" s="354"/>
      <c r="F256" s="354"/>
      <c r="G256" s="354"/>
      <c r="H256" s="354"/>
      <c r="I256" s="354"/>
      <c r="J256" s="354"/>
      <c r="K256" s="354"/>
      <c r="L256" s="354"/>
      <c r="M256" s="354"/>
      <c r="N256" s="354"/>
      <c r="O256" s="354"/>
      <c r="P256" s="354"/>
      <c r="Q256" s="354"/>
      <c r="R256" s="370"/>
      <c r="S256" s="354"/>
      <c r="T256" s="354"/>
      <c r="U256" s="354"/>
      <c r="V256" s="354"/>
      <c r="W256" s="354"/>
      <c r="X256" s="354"/>
      <c r="Y256" s="354"/>
      <c r="Z256" s="354"/>
      <c r="AA256" s="354"/>
      <c r="AB256" s="354"/>
      <c r="AC256" s="354"/>
      <c r="AD256" s="354"/>
      <c r="AE256" s="354"/>
      <c r="AF256" s="354"/>
      <c r="AG256" s="354"/>
      <c r="AH256" s="354"/>
      <c r="AI256" s="354"/>
      <c r="AJ256" s="354"/>
      <c r="AK256" s="354"/>
      <c r="AL256" s="354"/>
      <c r="AM256" s="354"/>
      <c r="AN256" s="354"/>
      <c r="AO256" s="354"/>
      <c r="AP256" s="354"/>
      <c r="AQ256" s="354"/>
      <c r="AR256" s="354"/>
      <c r="AS256" s="354"/>
      <c r="AT256" s="354"/>
      <c r="AU256" s="354"/>
      <c r="AV256" s="354"/>
      <c r="AW256" s="354"/>
      <c r="AX256" s="354"/>
      <c r="AY256" s="354"/>
      <c r="AZ256" s="354"/>
    </row>
    <row r="257" spans="3:52" x14ac:dyDescent="0.25">
      <c r="C257" s="354"/>
      <c r="D257" s="354"/>
      <c r="E257" s="354"/>
      <c r="F257" s="354"/>
      <c r="G257" s="354"/>
      <c r="H257" s="354"/>
      <c r="I257" s="354"/>
      <c r="J257" s="354"/>
      <c r="K257" s="354"/>
      <c r="L257" s="354"/>
      <c r="M257" s="354"/>
      <c r="N257" s="354"/>
      <c r="O257" s="354"/>
      <c r="P257" s="354"/>
      <c r="Q257" s="354"/>
      <c r="R257" s="370"/>
      <c r="S257" s="354"/>
      <c r="T257" s="354"/>
      <c r="U257" s="354"/>
      <c r="V257" s="354"/>
      <c r="W257" s="354"/>
      <c r="X257" s="354"/>
      <c r="Y257" s="354"/>
      <c r="Z257" s="354"/>
      <c r="AA257" s="354"/>
      <c r="AB257" s="354"/>
      <c r="AC257" s="354"/>
      <c r="AD257" s="354"/>
      <c r="AE257" s="354"/>
      <c r="AF257" s="354"/>
      <c r="AG257" s="354"/>
      <c r="AH257" s="354"/>
      <c r="AI257" s="354"/>
      <c r="AJ257" s="354"/>
      <c r="AK257" s="354"/>
      <c r="AL257" s="354"/>
      <c r="AM257" s="354"/>
      <c r="AN257" s="354"/>
      <c r="AO257" s="354"/>
      <c r="AP257" s="354"/>
      <c r="AQ257" s="354"/>
      <c r="AR257" s="354"/>
      <c r="AS257" s="354"/>
      <c r="AT257" s="354"/>
      <c r="AU257" s="354"/>
      <c r="AV257" s="354"/>
      <c r="AW257" s="354"/>
      <c r="AX257" s="354"/>
      <c r="AY257" s="354"/>
      <c r="AZ257" s="354"/>
    </row>
    <row r="258" spans="3:52" x14ac:dyDescent="0.25">
      <c r="C258" s="354"/>
      <c r="D258" s="354"/>
      <c r="E258" s="354"/>
      <c r="F258" s="354"/>
      <c r="G258" s="354"/>
      <c r="H258" s="354"/>
      <c r="I258" s="354"/>
      <c r="J258" s="354"/>
      <c r="K258" s="354"/>
      <c r="L258" s="354"/>
      <c r="M258" s="354"/>
      <c r="N258" s="354"/>
      <c r="O258" s="354"/>
      <c r="P258" s="354"/>
      <c r="Q258" s="354"/>
      <c r="R258" s="370"/>
      <c r="S258" s="354"/>
      <c r="T258" s="354"/>
      <c r="U258" s="354"/>
      <c r="V258" s="354"/>
      <c r="W258" s="354"/>
      <c r="X258" s="354"/>
      <c r="Y258" s="354"/>
      <c r="Z258" s="354"/>
      <c r="AA258" s="354"/>
      <c r="AB258" s="354"/>
      <c r="AC258" s="354"/>
      <c r="AD258" s="354"/>
      <c r="AE258" s="354"/>
      <c r="AF258" s="354"/>
      <c r="AG258" s="354"/>
      <c r="AH258" s="354"/>
      <c r="AI258" s="354"/>
      <c r="AJ258" s="354"/>
      <c r="AK258" s="354"/>
      <c r="AL258" s="354"/>
      <c r="AM258" s="354"/>
      <c r="AN258" s="354"/>
      <c r="AO258" s="354"/>
      <c r="AP258" s="354"/>
      <c r="AQ258" s="354"/>
      <c r="AR258" s="354"/>
      <c r="AS258" s="354"/>
      <c r="AT258" s="354"/>
      <c r="AU258" s="354"/>
      <c r="AV258" s="354"/>
      <c r="AW258" s="354"/>
      <c r="AX258" s="354"/>
      <c r="AY258" s="354"/>
      <c r="AZ258" s="354"/>
    </row>
    <row r="259" spans="3:52" x14ac:dyDescent="0.25">
      <c r="C259" s="354"/>
      <c r="D259" s="354"/>
      <c r="E259" s="354"/>
      <c r="F259" s="354"/>
      <c r="G259" s="354"/>
      <c r="H259" s="354"/>
      <c r="I259" s="354"/>
      <c r="J259" s="354"/>
      <c r="K259" s="354"/>
      <c r="L259" s="354"/>
      <c r="M259" s="354"/>
      <c r="N259" s="354"/>
      <c r="O259" s="354"/>
      <c r="P259" s="354"/>
      <c r="Q259" s="354"/>
      <c r="R259" s="370"/>
      <c r="S259" s="354"/>
      <c r="T259" s="354"/>
      <c r="U259" s="354"/>
      <c r="V259" s="354"/>
      <c r="W259" s="354"/>
      <c r="X259" s="354"/>
      <c r="Y259" s="354"/>
      <c r="Z259" s="354"/>
      <c r="AA259" s="354"/>
      <c r="AB259" s="354"/>
      <c r="AC259" s="354"/>
      <c r="AD259" s="354"/>
      <c r="AE259" s="354"/>
      <c r="AF259" s="354"/>
      <c r="AG259" s="354"/>
      <c r="AH259" s="354"/>
      <c r="AI259" s="354"/>
      <c r="AJ259" s="354"/>
      <c r="AK259" s="354"/>
      <c r="AL259" s="354"/>
      <c r="AM259" s="354"/>
      <c r="AN259" s="354"/>
      <c r="AO259" s="354"/>
      <c r="AP259" s="354"/>
      <c r="AQ259" s="354"/>
      <c r="AR259" s="354"/>
      <c r="AS259" s="354"/>
      <c r="AT259" s="354"/>
      <c r="AU259" s="354"/>
      <c r="AV259" s="354"/>
      <c r="AW259" s="354"/>
      <c r="AX259" s="354"/>
      <c r="AY259" s="354"/>
      <c r="AZ259" s="354"/>
    </row>
    <row r="260" spans="3:52" x14ac:dyDescent="0.25">
      <c r="C260" s="354"/>
      <c r="D260" s="354"/>
      <c r="E260" s="354"/>
      <c r="F260" s="354"/>
      <c r="G260" s="354"/>
      <c r="H260" s="354"/>
      <c r="I260" s="354"/>
      <c r="J260" s="354"/>
      <c r="K260" s="354"/>
      <c r="L260" s="354"/>
      <c r="M260" s="354"/>
      <c r="N260" s="354"/>
      <c r="O260" s="354"/>
      <c r="P260" s="354"/>
      <c r="Q260" s="354"/>
      <c r="R260" s="370"/>
      <c r="S260" s="354"/>
      <c r="T260" s="354"/>
      <c r="U260" s="354"/>
      <c r="V260" s="354"/>
      <c r="W260" s="354"/>
      <c r="X260" s="354"/>
      <c r="Y260" s="354"/>
      <c r="Z260" s="354"/>
      <c r="AA260" s="354"/>
      <c r="AB260" s="354"/>
      <c r="AC260" s="354"/>
      <c r="AD260" s="354"/>
      <c r="AE260" s="354"/>
      <c r="AF260" s="354"/>
      <c r="AG260" s="354"/>
      <c r="AH260" s="354"/>
      <c r="AI260" s="354"/>
      <c r="AJ260" s="354"/>
      <c r="AK260" s="354"/>
      <c r="AL260" s="354"/>
      <c r="AM260" s="354"/>
      <c r="AN260" s="354"/>
      <c r="AO260" s="354"/>
      <c r="AP260" s="354"/>
      <c r="AQ260" s="354"/>
      <c r="AR260" s="354"/>
      <c r="AS260" s="354"/>
      <c r="AT260" s="354"/>
      <c r="AU260" s="354"/>
      <c r="AV260" s="354"/>
      <c r="AW260" s="354"/>
      <c r="AX260" s="354"/>
      <c r="AY260" s="354"/>
      <c r="AZ260" s="354"/>
    </row>
    <row r="261" spans="3:52" x14ac:dyDescent="0.25">
      <c r="C261" s="354"/>
      <c r="D261" s="354"/>
      <c r="E261" s="354"/>
      <c r="F261" s="354"/>
      <c r="G261" s="354"/>
      <c r="H261" s="354"/>
      <c r="I261" s="354"/>
      <c r="J261" s="354"/>
      <c r="K261" s="354"/>
      <c r="L261" s="354"/>
      <c r="M261" s="354"/>
      <c r="N261" s="354"/>
      <c r="O261" s="354"/>
      <c r="P261" s="354"/>
      <c r="Q261" s="354"/>
      <c r="R261" s="370"/>
      <c r="S261" s="354"/>
      <c r="T261" s="354"/>
      <c r="U261" s="354"/>
      <c r="V261" s="354"/>
      <c r="W261" s="354"/>
      <c r="X261" s="354"/>
      <c r="Y261" s="354"/>
      <c r="Z261" s="354"/>
      <c r="AA261" s="354"/>
      <c r="AB261" s="354"/>
      <c r="AC261" s="354"/>
      <c r="AD261" s="354"/>
      <c r="AE261" s="354"/>
      <c r="AF261" s="354"/>
      <c r="AG261" s="354"/>
      <c r="AH261" s="354"/>
      <c r="AI261" s="354"/>
      <c r="AJ261" s="354"/>
      <c r="AK261" s="354"/>
      <c r="AL261" s="354"/>
      <c r="AM261" s="354"/>
      <c r="AN261" s="354"/>
      <c r="AO261" s="354"/>
      <c r="AP261" s="354"/>
      <c r="AQ261" s="354"/>
      <c r="AR261" s="354"/>
      <c r="AS261" s="354"/>
      <c r="AT261" s="354"/>
      <c r="AU261" s="354"/>
      <c r="AV261" s="354"/>
      <c r="AW261" s="354"/>
      <c r="AX261" s="354"/>
      <c r="AY261" s="354"/>
      <c r="AZ261" s="354"/>
    </row>
    <row r="262" spans="3:52" x14ac:dyDescent="0.25">
      <c r="C262" s="354"/>
      <c r="D262" s="354"/>
      <c r="E262" s="354"/>
      <c r="F262" s="354"/>
      <c r="G262" s="354"/>
      <c r="H262" s="354"/>
      <c r="I262" s="354"/>
      <c r="J262" s="354"/>
      <c r="K262" s="354"/>
      <c r="L262" s="354"/>
      <c r="M262" s="354"/>
      <c r="N262" s="354"/>
      <c r="O262" s="354"/>
      <c r="P262" s="354"/>
      <c r="Q262" s="354"/>
      <c r="R262" s="370"/>
      <c r="S262" s="354"/>
      <c r="T262" s="354"/>
      <c r="U262" s="354"/>
      <c r="V262" s="354"/>
      <c r="W262" s="354"/>
      <c r="X262" s="354"/>
      <c r="Y262" s="354"/>
      <c r="Z262" s="354"/>
      <c r="AA262" s="354"/>
      <c r="AB262" s="354"/>
      <c r="AC262" s="354"/>
      <c r="AD262" s="354"/>
      <c r="AE262" s="354"/>
      <c r="AF262" s="354"/>
      <c r="AG262" s="354"/>
      <c r="AH262" s="354"/>
      <c r="AI262" s="354"/>
      <c r="AJ262" s="354"/>
      <c r="AK262" s="354"/>
      <c r="AL262" s="354"/>
      <c r="AM262" s="354"/>
      <c r="AN262" s="354"/>
      <c r="AO262" s="354"/>
      <c r="AP262" s="354"/>
      <c r="AQ262" s="354"/>
      <c r="AR262" s="354"/>
      <c r="AS262" s="354"/>
      <c r="AT262" s="354"/>
      <c r="AU262" s="354"/>
      <c r="AV262" s="354"/>
      <c r="AW262" s="354"/>
      <c r="AX262" s="354"/>
      <c r="AY262" s="354"/>
      <c r="AZ262" s="354"/>
    </row>
    <row r="263" spans="3:52" x14ac:dyDescent="0.25">
      <c r="C263" s="354"/>
      <c r="D263" s="354"/>
      <c r="E263" s="354"/>
      <c r="F263" s="354"/>
      <c r="G263" s="354"/>
      <c r="H263" s="354"/>
      <c r="I263" s="354"/>
      <c r="J263" s="354"/>
      <c r="K263" s="354"/>
      <c r="L263" s="354"/>
      <c r="M263" s="354"/>
      <c r="N263" s="354"/>
      <c r="O263" s="354"/>
      <c r="P263" s="354"/>
      <c r="Q263" s="354"/>
      <c r="R263" s="370"/>
      <c r="S263" s="354"/>
      <c r="T263" s="354"/>
      <c r="U263" s="354"/>
      <c r="V263" s="354"/>
      <c r="W263" s="354"/>
      <c r="X263" s="354"/>
      <c r="Y263" s="354"/>
      <c r="Z263" s="354"/>
      <c r="AA263" s="354"/>
      <c r="AB263" s="354"/>
      <c r="AC263" s="354"/>
      <c r="AD263" s="354"/>
      <c r="AE263" s="354"/>
      <c r="AF263" s="354"/>
      <c r="AG263" s="354"/>
      <c r="AH263" s="354"/>
      <c r="AI263" s="354"/>
      <c r="AJ263" s="354"/>
      <c r="AK263" s="354"/>
      <c r="AL263" s="354"/>
      <c r="AM263" s="354"/>
      <c r="AN263" s="354"/>
      <c r="AO263" s="354"/>
      <c r="AP263" s="354"/>
      <c r="AQ263" s="354"/>
      <c r="AR263" s="354"/>
      <c r="AS263" s="354"/>
      <c r="AT263" s="354"/>
      <c r="AU263" s="354"/>
      <c r="AV263" s="354"/>
      <c r="AW263" s="354"/>
      <c r="AX263" s="354"/>
      <c r="AY263" s="354"/>
      <c r="AZ263" s="354"/>
    </row>
    <row r="264" spans="3:52" x14ac:dyDescent="0.25">
      <c r="C264" s="354"/>
      <c r="D264" s="354"/>
      <c r="E264" s="354"/>
      <c r="F264" s="354"/>
      <c r="G264" s="354"/>
      <c r="H264" s="354"/>
      <c r="I264" s="354"/>
      <c r="J264" s="354"/>
      <c r="K264" s="354"/>
      <c r="L264" s="354"/>
      <c r="M264" s="354"/>
      <c r="N264" s="354"/>
      <c r="O264" s="354"/>
      <c r="P264" s="354"/>
      <c r="Q264" s="354"/>
      <c r="R264" s="370"/>
      <c r="S264" s="354"/>
      <c r="T264" s="354"/>
      <c r="U264" s="354"/>
      <c r="V264" s="354"/>
      <c r="W264" s="354"/>
      <c r="X264" s="354"/>
      <c r="Y264" s="354"/>
      <c r="Z264" s="354"/>
      <c r="AA264" s="354"/>
      <c r="AB264" s="354"/>
      <c r="AC264" s="354"/>
      <c r="AD264" s="354"/>
      <c r="AE264" s="354"/>
      <c r="AF264" s="354"/>
      <c r="AG264" s="354"/>
      <c r="AH264" s="354"/>
      <c r="AI264" s="354"/>
      <c r="AJ264" s="354"/>
      <c r="AK264" s="354"/>
      <c r="AL264" s="354"/>
      <c r="AM264" s="354"/>
      <c r="AN264" s="354"/>
      <c r="AO264" s="354"/>
      <c r="AP264" s="354"/>
      <c r="AQ264" s="354"/>
      <c r="AR264" s="354"/>
      <c r="AS264" s="354"/>
      <c r="AT264" s="354"/>
      <c r="AU264" s="354"/>
      <c r="AV264" s="354"/>
      <c r="AW264" s="354"/>
      <c r="AX264" s="354"/>
      <c r="AY264" s="354"/>
      <c r="AZ264" s="354"/>
    </row>
    <row r="265" spans="3:52" x14ac:dyDescent="0.25">
      <c r="C265" s="354"/>
      <c r="D265" s="354"/>
      <c r="E265" s="354"/>
      <c r="F265" s="354"/>
      <c r="G265" s="354"/>
      <c r="H265" s="354"/>
      <c r="I265" s="354"/>
      <c r="J265" s="354"/>
      <c r="K265" s="354"/>
      <c r="L265" s="354"/>
      <c r="M265" s="354"/>
      <c r="N265" s="354"/>
      <c r="O265" s="354"/>
      <c r="P265" s="354"/>
      <c r="Q265" s="354"/>
      <c r="R265" s="370"/>
      <c r="S265" s="354"/>
      <c r="T265" s="354"/>
      <c r="U265" s="354"/>
      <c r="V265" s="354"/>
      <c r="W265" s="354"/>
      <c r="X265" s="354"/>
      <c r="Y265" s="354"/>
      <c r="Z265" s="354"/>
      <c r="AA265" s="354"/>
      <c r="AB265" s="354"/>
      <c r="AC265" s="354"/>
      <c r="AD265" s="354"/>
      <c r="AE265" s="354"/>
      <c r="AF265" s="354"/>
      <c r="AG265" s="354"/>
      <c r="AH265" s="354"/>
      <c r="AI265" s="354"/>
      <c r="AJ265" s="354"/>
      <c r="AK265" s="354"/>
      <c r="AL265" s="354"/>
      <c r="AM265" s="354"/>
      <c r="AN265" s="354"/>
      <c r="AO265" s="354"/>
      <c r="AP265" s="354"/>
      <c r="AQ265" s="354"/>
      <c r="AR265" s="354"/>
      <c r="AS265" s="354"/>
      <c r="AT265" s="354"/>
      <c r="AU265" s="354"/>
      <c r="AV265" s="354"/>
      <c r="AW265" s="354"/>
      <c r="AX265" s="354"/>
      <c r="AY265" s="354"/>
      <c r="AZ265" s="354"/>
    </row>
    <row r="266" spans="3:52" x14ac:dyDescent="0.25">
      <c r="C266" s="354"/>
      <c r="D266" s="354"/>
      <c r="E266" s="354"/>
      <c r="F266" s="354"/>
      <c r="G266" s="354"/>
      <c r="H266" s="354"/>
      <c r="I266" s="354"/>
      <c r="J266" s="354"/>
      <c r="K266" s="354"/>
      <c r="L266" s="354"/>
      <c r="M266" s="354"/>
      <c r="N266" s="354"/>
      <c r="O266" s="354"/>
      <c r="P266" s="354"/>
      <c r="Q266" s="354"/>
      <c r="R266" s="370"/>
      <c r="S266" s="354"/>
      <c r="T266" s="354"/>
      <c r="U266" s="354"/>
      <c r="V266" s="354"/>
      <c r="W266" s="354"/>
      <c r="X266" s="354"/>
      <c r="Y266" s="354"/>
      <c r="Z266" s="354"/>
      <c r="AA266" s="354"/>
      <c r="AB266" s="354"/>
      <c r="AC266" s="354"/>
      <c r="AD266" s="354"/>
      <c r="AE266" s="354"/>
      <c r="AF266" s="354"/>
      <c r="AG266" s="354"/>
      <c r="AH266" s="354"/>
      <c r="AI266" s="354"/>
      <c r="AJ266" s="354"/>
      <c r="AK266" s="354"/>
      <c r="AL266" s="354"/>
      <c r="AM266" s="354"/>
      <c r="AN266" s="354"/>
      <c r="AO266" s="354"/>
      <c r="AP266" s="354"/>
      <c r="AQ266" s="354"/>
      <c r="AR266" s="354"/>
      <c r="AS266" s="354"/>
      <c r="AT266" s="354"/>
      <c r="AU266" s="354"/>
      <c r="AV266" s="354"/>
      <c r="AW266" s="354"/>
      <c r="AX266" s="354"/>
      <c r="AY266" s="354"/>
      <c r="AZ266" s="354"/>
    </row>
    <row r="267" spans="3:52" x14ac:dyDescent="0.25">
      <c r="C267" s="354"/>
      <c r="D267" s="354"/>
      <c r="E267" s="354"/>
      <c r="F267" s="354"/>
      <c r="G267" s="354"/>
      <c r="H267" s="354"/>
      <c r="I267" s="354"/>
      <c r="J267" s="354"/>
      <c r="K267" s="354"/>
      <c r="L267" s="354"/>
      <c r="M267" s="354"/>
      <c r="N267" s="354"/>
      <c r="O267" s="354"/>
      <c r="P267" s="354"/>
      <c r="Q267" s="354"/>
      <c r="R267" s="370"/>
      <c r="S267" s="354"/>
      <c r="T267" s="354"/>
      <c r="U267" s="354"/>
      <c r="V267" s="354"/>
      <c r="W267" s="354"/>
      <c r="X267" s="354"/>
      <c r="Y267" s="354"/>
      <c r="Z267" s="354"/>
      <c r="AA267" s="354"/>
      <c r="AB267" s="354"/>
      <c r="AC267" s="354"/>
      <c r="AD267" s="354"/>
      <c r="AE267" s="354"/>
      <c r="AF267" s="354"/>
      <c r="AG267" s="354"/>
      <c r="AH267" s="354"/>
      <c r="AI267" s="354"/>
      <c r="AJ267" s="354"/>
      <c r="AK267" s="354"/>
      <c r="AL267" s="354"/>
      <c r="AM267" s="354"/>
      <c r="AN267" s="354"/>
      <c r="AO267" s="354"/>
      <c r="AP267" s="354"/>
      <c r="AQ267" s="354"/>
      <c r="AR267" s="354"/>
      <c r="AS267" s="354"/>
      <c r="AT267" s="354"/>
      <c r="AU267" s="354"/>
      <c r="AV267" s="354"/>
      <c r="AW267" s="354"/>
      <c r="AX267" s="354"/>
      <c r="AY267" s="354"/>
      <c r="AZ267" s="354"/>
    </row>
    <row r="268" spans="3:52" x14ac:dyDescent="0.25">
      <c r="C268" s="354"/>
      <c r="D268" s="354"/>
      <c r="E268" s="354"/>
      <c r="F268" s="354"/>
      <c r="G268" s="354"/>
      <c r="H268" s="354"/>
      <c r="I268" s="354"/>
      <c r="J268" s="354"/>
      <c r="K268" s="354"/>
      <c r="L268" s="354"/>
      <c r="M268" s="354"/>
      <c r="N268" s="354"/>
      <c r="O268" s="354"/>
      <c r="P268" s="354"/>
      <c r="Q268" s="354"/>
      <c r="R268" s="370"/>
      <c r="S268" s="354"/>
      <c r="T268" s="354"/>
      <c r="U268" s="354"/>
      <c r="V268" s="354"/>
      <c r="W268" s="354"/>
      <c r="X268" s="354"/>
      <c r="Y268" s="354"/>
      <c r="Z268" s="354"/>
      <c r="AA268" s="354"/>
      <c r="AB268" s="354"/>
      <c r="AC268" s="354"/>
      <c r="AD268" s="354"/>
      <c r="AE268" s="354"/>
      <c r="AF268" s="354"/>
      <c r="AG268" s="354"/>
      <c r="AH268" s="354"/>
      <c r="AI268" s="354"/>
      <c r="AJ268" s="354"/>
      <c r="AK268" s="354"/>
      <c r="AL268" s="354"/>
      <c r="AM268" s="354"/>
      <c r="AN268" s="354"/>
      <c r="AO268" s="354"/>
      <c r="AP268" s="354"/>
      <c r="AQ268" s="354"/>
      <c r="AR268" s="354"/>
      <c r="AS268" s="354"/>
      <c r="AT268" s="354"/>
      <c r="AU268" s="354"/>
      <c r="AV268" s="354"/>
      <c r="AW268" s="354"/>
      <c r="AX268" s="354"/>
      <c r="AY268" s="354"/>
      <c r="AZ268" s="354"/>
    </row>
    <row r="269" spans="3:52" x14ac:dyDescent="0.25">
      <c r="C269" s="354"/>
      <c r="D269" s="354"/>
      <c r="E269" s="354"/>
      <c r="F269" s="354"/>
      <c r="G269" s="354"/>
      <c r="H269" s="354"/>
      <c r="I269" s="354"/>
      <c r="J269" s="354"/>
      <c r="K269" s="354"/>
      <c r="L269" s="354"/>
      <c r="M269" s="354"/>
      <c r="N269" s="354"/>
      <c r="O269" s="354"/>
      <c r="P269" s="354"/>
      <c r="Q269" s="354"/>
      <c r="R269" s="370"/>
      <c r="S269" s="354"/>
      <c r="T269" s="354"/>
      <c r="U269" s="354"/>
      <c r="V269" s="354"/>
      <c r="W269" s="354"/>
      <c r="X269" s="354"/>
      <c r="Y269" s="354"/>
      <c r="Z269" s="354"/>
      <c r="AA269" s="354"/>
      <c r="AB269" s="354"/>
      <c r="AC269" s="354"/>
      <c r="AD269" s="354"/>
      <c r="AE269" s="354"/>
      <c r="AF269" s="354"/>
      <c r="AG269" s="354"/>
      <c r="AH269" s="354"/>
      <c r="AI269" s="354"/>
      <c r="AJ269" s="354"/>
      <c r="AK269" s="354"/>
      <c r="AL269" s="354"/>
      <c r="AM269" s="354"/>
      <c r="AN269" s="354"/>
      <c r="AO269" s="354"/>
      <c r="AP269" s="354"/>
      <c r="AQ269" s="354"/>
      <c r="AR269" s="354"/>
      <c r="AS269" s="354"/>
      <c r="AT269" s="354"/>
      <c r="AU269" s="354"/>
      <c r="AV269" s="354"/>
      <c r="AW269" s="354"/>
      <c r="AX269" s="354"/>
      <c r="AY269" s="354"/>
      <c r="AZ269" s="354"/>
    </row>
    <row r="270" spans="3:52" x14ac:dyDescent="0.25">
      <c r="C270" s="354"/>
      <c r="D270" s="354"/>
      <c r="E270" s="354"/>
      <c r="F270" s="354"/>
      <c r="G270" s="354"/>
      <c r="H270" s="354"/>
      <c r="I270" s="354"/>
      <c r="J270" s="354"/>
      <c r="K270" s="354"/>
      <c r="L270" s="354"/>
      <c r="M270" s="354"/>
      <c r="N270" s="354"/>
      <c r="O270" s="354"/>
      <c r="P270" s="354"/>
      <c r="Q270" s="354"/>
      <c r="R270" s="370"/>
      <c r="S270" s="354"/>
      <c r="T270" s="354"/>
      <c r="U270" s="354"/>
      <c r="V270" s="354"/>
      <c r="W270" s="354"/>
      <c r="X270" s="354"/>
      <c r="Y270" s="354"/>
      <c r="Z270" s="354"/>
      <c r="AA270" s="354"/>
      <c r="AB270" s="354"/>
      <c r="AC270" s="354"/>
      <c r="AD270" s="354"/>
      <c r="AE270" s="354"/>
      <c r="AF270" s="354"/>
      <c r="AG270" s="354"/>
      <c r="AH270" s="354"/>
      <c r="AI270" s="354"/>
      <c r="AJ270" s="354"/>
      <c r="AK270" s="354"/>
      <c r="AL270" s="354"/>
      <c r="AM270" s="354"/>
      <c r="AN270" s="354"/>
      <c r="AO270" s="354"/>
      <c r="AP270" s="354"/>
      <c r="AQ270" s="354"/>
      <c r="AR270" s="354"/>
      <c r="AS270" s="354"/>
      <c r="AT270" s="354"/>
      <c r="AU270" s="354"/>
      <c r="AV270" s="354"/>
      <c r="AW270" s="354"/>
      <c r="AX270" s="354"/>
      <c r="AY270" s="354"/>
      <c r="AZ270" s="354"/>
    </row>
    <row r="271" spans="3:52" x14ac:dyDescent="0.25">
      <c r="C271" s="354"/>
      <c r="D271" s="354"/>
      <c r="E271" s="354"/>
      <c r="F271" s="354"/>
      <c r="G271" s="354"/>
      <c r="H271" s="354"/>
      <c r="I271" s="354"/>
      <c r="J271" s="354"/>
      <c r="K271" s="354"/>
      <c r="L271" s="354"/>
      <c r="M271" s="354"/>
      <c r="N271" s="354"/>
      <c r="O271" s="354"/>
      <c r="P271" s="354"/>
      <c r="Q271" s="354"/>
      <c r="R271" s="370"/>
      <c r="S271" s="354"/>
      <c r="T271" s="354"/>
      <c r="U271" s="354"/>
      <c r="V271" s="354"/>
      <c r="W271" s="354"/>
      <c r="X271" s="354"/>
      <c r="Y271" s="354"/>
      <c r="Z271" s="354"/>
      <c r="AA271" s="354"/>
      <c r="AB271" s="354"/>
      <c r="AC271" s="354"/>
      <c r="AD271" s="354"/>
      <c r="AE271" s="354"/>
      <c r="AF271" s="354"/>
      <c r="AG271" s="354"/>
      <c r="AH271" s="354"/>
      <c r="AI271" s="354"/>
      <c r="AJ271" s="354"/>
      <c r="AK271" s="354"/>
      <c r="AL271" s="354"/>
      <c r="AM271" s="354"/>
      <c r="AN271" s="354"/>
      <c r="AO271" s="354"/>
      <c r="AP271" s="354"/>
      <c r="AQ271" s="354"/>
      <c r="AR271" s="354"/>
      <c r="AS271" s="354"/>
      <c r="AT271" s="354"/>
      <c r="AU271" s="354"/>
      <c r="AV271" s="354"/>
      <c r="AW271" s="354"/>
      <c r="AX271" s="354"/>
      <c r="AY271" s="354"/>
      <c r="AZ271" s="354"/>
    </row>
    <row r="272" spans="3:52" x14ac:dyDescent="0.25">
      <c r="C272" s="354"/>
      <c r="D272" s="354"/>
      <c r="E272" s="354"/>
      <c r="F272" s="354"/>
      <c r="G272" s="354"/>
      <c r="H272" s="354"/>
      <c r="I272" s="354"/>
      <c r="J272" s="354"/>
      <c r="K272" s="354"/>
      <c r="L272" s="354"/>
      <c r="M272" s="354"/>
      <c r="N272" s="354"/>
      <c r="O272" s="354"/>
      <c r="P272" s="354"/>
      <c r="Q272" s="354"/>
      <c r="R272" s="370"/>
      <c r="S272" s="354"/>
      <c r="T272" s="354"/>
      <c r="U272" s="354"/>
      <c r="V272" s="354"/>
      <c r="W272" s="354"/>
      <c r="X272" s="354"/>
      <c r="Y272" s="354"/>
      <c r="Z272" s="354"/>
      <c r="AA272" s="354"/>
      <c r="AB272" s="354"/>
      <c r="AC272" s="354"/>
      <c r="AD272" s="354"/>
      <c r="AE272" s="354"/>
      <c r="AF272" s="354"/>
      <c r="AG272" s="354"/>
      <c r="AH272" s="354"/>
      <c r="AI272" s="354"/>
      <c r="AJ272" s="354"/>
      <c r="AK272" s="354"/>
      <c r="AL272" s="354"/>
      <c r="AM272" s="354"/>
      <c r="AN272" s="354"/>
      <c r="AO272" s="354"/>
      <c r="AP272" s="354"/>
      <c r="AQ272" s="354"/>
      <c r="AR272" s="354"/>
      <c r="AS272" s="354"/>
      <c r="AT272" s="354"/>
      <c r="AU272" s="354"/>
      <c r="AV272" s="354"/>
      <c r="AW272" s="354"/>
      <c r="AX272" s="354"/>
      <c r="AY272" s="354"/>
      <c r="AZ272" s="354"/>
    </row>
    <row r="273" spans="3:52" x14ac:dyDescent="0.25">
      <c r="C273" s="354"/>
      <c r="D273" s="354"/>
      <c r="E273" s="354"/>
      <c r="F273" s="354"/>
      <c r="G273" s="354"/>
      <c r="H273" s="354"/>
      <c r="I273" s="354"/>
      <c r="J273" s="354"/>
      <c r="K273" s="354"/>
      <c r="L273" s="354"/>
      <c r="M273" s="354"/>
      <c r="N273" s="354"/>
      <c r="O273" s="354"/>
      <c r="P273" s="354"/>
      <c r="Q273" s="354"/>
      <c r="R273" s="370"/>
      <c r="S273" s="354"/>
      <c r="T273" s="354"/>
      <c r="U273" s="354"/>
      <c r="V273" s="354"/>
      <c r="W273" s="354"/>
      <c r="X273" s="354"/>
      <c r="Y273" s="354"/>
      <c r="Z273" s="354"/>
      <c r="AA273" s="354"/>
      <c r="AB273" s="354"/>
      <c r="AC273" s="354"/>
      <c r="AD273" s="354"/>
      <c r="AE273" s="354"/>
      <c r="AF273" s="354"/>
      <c r="AG273" s="354"/>
      <c r="AH273" s="354"/>
      <c r="AI273" s="354"/>
      <c r="AJ273" s="354"/>
      <c r="AK273" s="354"/>
      <c r="AL273" s="354"/>
      <c r="AM273" s="354"/>
      <c r="AN273" s="354"/>
      <c r="AO273" s="354"/>
      <c r="AP273" s="354"/>
      <c r="AQ273" s="354"/>
      <c r="AR273" s="354"/>
      <c r="AS273" s="354"/>
      <c r="AT273" s="354"/>
      <c r="AU273" s="354"/>
      <c r="AV273" s="354"/>
      <c r="AW273" s="354"/>
      <c r="AX273" s="354"/>
      <c r="AY273" s="354"/>
      <c r="AZ273" s="354"/>
    </row>
    <row r="274" spans="3:52" x14ac:dyDescent="0.25">
      <c r="C274" s="354"/>
      <c r="D274" s="354"/>
      <c r="E274" s="354"/>
      <c r="F274" s="354"/>
      <c r="G274" s="354"/>
      <c r="H274" s="354"/>
      <c r="I274" s="354"/>
      <c r="J274" s="354"/>
      <c r="K274" s="354"/>
      <c r="L274" s="354"/>
      <c r="M274" s="354"/>
      <c r="N274" s="354"/>
      <c r="O274" s="354"/>
      <c r="P274" s="354"/>
      <c r="Q274" s="354"/>
      <c r="R274" s="370"/>
      <c r="S274" s="354"/>
      <c r="T274" s="354"/>
      <c r="U274" s="354"/>
      <c r="V274" s="354"/>
      <c r="W274" s="354"/>
      <c r="X274" s="354"/>
      <c r="Y274" s="354"/>
      <c r="Z274" s="354"/>
      <c r="AA274" s="354"/>
      <c r="AB274" s="354"/>
      <c r="AC274" s="354"/>
      <c r="AD274" s="354"/>
      <c r="AE274" s="354"/>
      <c r="AF274" s="354"/>
      <c r="AG274" s="354"/>
      <c r="AH274" s="354"/>
      <c r="AI274" s="354"/>
      <c r="AJ274" s="354"/>
      <c r="AK274" s="354"/>
      <c r="AL274" s="354"/>
      <c r="AM274" s="354"/>
      <c r="AN274" s="354"/>
      <c r="AO274" s="354"/>
      <c r="AP274" s="354"/>
      <c r="AQ274" s="354"/>
      <c r="AR274" s="354"/>
      <c r="AS274" s="354"/>
      <c r="AT274" s="354"/>
      <c r="AU274" s="354"/>
      <c r="AV274" s="354"/>
      <c r="AW274" s="354"/>
      <c r="AX274" s="354"/>
      <c r="AY274" s="354"/>
      <c r="AZ274" s="354"/>
    </row>
    <row r="275" spans="3:52" x14ac:dyDescent="0.25">
      <c r="C275" s="354"/>
      <c r="D275" s="354"/>
      <c r="E275" s="354"/>
      <c r="F275" s="354"/>
      <c r="G275" s="354"/>
      <c r="H275" s="354"/>
      <c r="I275" s="354"/>
      <c r="J275" s="354"/>
      <c r="K275" s="354"/>
      <c r="L275" s="354"/>
      <c r="M275" s="354"/>
      <c r="N275" s="354"/>
      <c r="O275" s="354"/>
      <c r="P275" s="354"/>
      <c r="Q275" s="354"/>
      <c r="R275" s="370"/>
      <c r="S275" s="354"/>
      <c r="T275" s="354"/>
      <c r="U275" s="354"/>
      <c r="V275" s="354"/>
      <c r="W275" s="354"/>
      <c r="X275" s="354"/>
      <c r="Y275" s="354"/>
      <c r="Z275" s="354"/>
      <c r="AA275" s="354"/>
      <c r="AB275" s="354"/>
      <c r="AC275" s="354"/>
      <c r="AD275" s="354"/>
      <c r="AE275" s="354"/>
      <c r="AF275" s="354"/>
      <c r="AG275" s="354"/>
      <c r="AH275" s="354"/>
      <c r="AI275" s="354"/>
      <c r="AJ275" s="354"/>
      <c r="AK275" s="354"/>
      <c r="AL275" s="354"/>
      <c r="AM275" s="354"/>
      <c r="AN275" s="354"/>
      <c r="AO275" s="354"/>
      <c r="AP275" s="354"/>
      <c r="AQ275" s="354"/>
      <c r="AR275" s="354"/>
      <c r="AS275" s="354"/>
      <c r="AT275" s="354"/>
      <c r="AU275" s="354"/>
      <c r="AV275" s="354"/>
      <c r="AW275" s="354"/>
      <c r="AX275" s="354"/>
      <c r="AY275" s="354"/>
      <c r="AZ275" s="354"/>
    </row>
    <row r="276" spans="3:52" x14ac:dyDescent="0.25">
      <c r="C276" s="354"/>
      <c r="D276" s="354"/>
      <c r="E276" s="354"/>
      <c r="F276" s="354"/>
      <c r="G276" s="354"/>
      <c r="H276" s="354"/>
      <c r="I276" s="354"/>
      <c r="J276" s="354"/>
      <c r="K276" s="354"/>
      <c r="L276" s="354"/>
      <c r="M276" s="354"/>
      <c r="N276" s="354"/>
      <c r="O276" s="354"/>
      <c r="P276" s="354"/>
      <c r="Q276" s="354"/>
      <c r="R276" s="370"/>
      <c r="S276" s="354"/>
      <c r="T276" s="354"/>
      <c r="U276" s="354"/>
      <c r="V276" s="354"/>
      <c r="W276" s="354"/>
      <c r="X276" s="354"/>
      <c r="Y276" s="354"/>
      <c r="Z276" s="354"/>
      <c r="AA276" s="354"/>
      <c r="AB276" s="354"/>
      <c r="AC276" s="354"/>
      <c r="AD276" s="354"/>
      <c r="AE276" s="354"/>
      <c r="AF276" s="354"/>
      <c r="AG276" s="354"/>
      <c r="AH276" s="354"/>
      <c r="AI276" s="354"/>
      <c r="AJ276" s="354"/>
      <c r="AK276" s="354"/>
      <c r="AL276" s="354"/>
      <c r="AM276" s="354"/>
      <c r="AN276" s="354"/>
      <c r="AO276" s="354"/>
      <c r="AP276" s="354"/>
      <c r="AQ276" s="354"/>
      <c r="AR276" s="354"/>
      <c r="AS276" s="354"/>
      <c r="AT276" s="354"/>
      <c r="AU276" s="354"/>
      <c r="AV276" s="354"/>
      <c r="AW276" s="354"/>
      <c r="AX276" s="354"/>
      <c r="AY276" s="354"/>
      <c r="AZ276" s="354"/>
    </row>
    <row r="277" spans="3:52" x14ac:dyDescent="0.25">
      <c r="C277" s="354"/>
      <c r="D277" s="354"/>
      <c r="E277" s="354"/>
      <c r="F277" s="354"/>
      <c r="G277" s="354"/>
      <c r="H277" s="354"/>
      <c r="I277" s="354"/>
      <c r="J277" s="354"/>
      <c r="K277" s="354"/>
      <c r="L277" s="354"/>
      <c r="M277" s="354"/>
      <c r="N277" s="354"/>
      <c r="O277" s="354"/>
      <c r="P277" s="354"/>
      <c r="Q277" s="354"/>
      <c r="R277" s="370"/>
      <c r="S277" s="354"/>
      <c r="T277" s="354"/>
      <c r="U277" s="354"/>
      <c r="V277" s="354"/>
      <c r="W277" s="354"/>
      <c r="X277" s="354"/>
      <c r="Y277" s="354"/>
      <c r="Z277" s="354"/>
      <c r="AA277" s="354"/>
      <c r="AB277" s="354"/>
      <c r="AC277" s="354"/>
      <c r="AD277" s="354"/>
      <c r="AE277" s="354"/>
      <c r="AF277" s="354"/>
      <c r="AG277" s="354"/>
      <c r="AH277" s="354"/>
      <c r="AI277" s="354"/>
      <c r="AJ277" s="354"/>
      <c r="AK277" s="354"/>
      <c r="AL277" s="354"/>
      <c r="AM277" s="354"/>
      <c r="AN277" s="354"/>
      <c r="AO277" s="354"/>
      <c r="AP277" s="354"/>
      <c r="AQ277" s="354"/>
      <c r="AR277" s="354"/>
      <c r="AS277" s="354"/>
      <c r="AT277" s="354"/>
      <c r="AU277" s="354"/>
      <c r="AV277" s="354"/>
      <c r="AW277" s="354"/>
      <c r="AX277" s="354"/>
      <c r="AY277" s="354"/>
      <c r="AZ277" s="354"/>
    </row>
    <row r="278" spans="3:52" x14ac:dyDescent="0.25">
      <c r="C278" s="354"/>
      <c r="D278" s="354"/>
      <c r="E278" s="354"/>
      <c r="F278" s="354"/>
      <c r="G278" s="354"/>
      <c r="H278" s="354"/>
      <c r="I278" s="354"/>
      <c r="J278" s="354"/>
      <c r="K278" s="354"/>
      <c r="L278" s="354"/>
      <c r="M278" s="354"/>
      <c r="N278" s="354"/>
      <c r="O278" s="354"/>
      <c r="P278" s="354"/>
      <c r="Q278" s="354"/>
      <c r="R278" s="370"/>
      <c r="S278" s="354"/>
      <c r="T278" s="354"/>
      <c r="U278" s="354"/>
      <c r="V278" s="354"/>
      <c r="W278" s="354"/>
      <c r="X278" s="354"/>
      <c r="Y278" s="354"/>
      <c r="Z278" s="354"/>
      <c r="AA278" s="354"/>
      <c r="AB278" s="354"/>
      <c r="AC278" s="354"/>
      <c r="AD278" s="354"/>
      <c r="AE278" s="354"/>
      <c r="AF278" s="354"/>
      <c r="AG278" s="354"/>
      <c r="AH278" s="354"/>
      <c r="AI278" s="354"/>
      <c r="AJ278" s="354"/>
      <c r="AK278" s="354"/>
      <c r="AL278" s="354"/>
      <c r="AM278" s="354"/>
      <c r="AN278" s="354"/>
      <c r="AO278" s="354"/>
      <c r="AP278" s="354"/>
      <c r="AQ278" s="354"/>
      <c r="AR278" s="354"/>
      <c r="AS278" s="354"/>
      <c r="AT278" s="354"/>
      <c r="AU278" s="354"/>
      <c r="AV278" s="354"/>
      <c r="AW278" s="354"/>
      <c r="AX278" s="354"/>
      <c r="AY278" s="354"/>
      <c r="AZ278" s="354"/>
    </row>
    <row r="279" spans="3:52" x14ac:dyDescent="0.25">
      <c r="C279" s="354"/>
      <c r="D279" s="354"/>
      <c r="E279" s="354"/>
      <c r="F279" s="354"/>
      <c r="G279" s="354"/>
      <c r="H279" s="354"/>
      <c r="I279" s="354"/>
      <c r="J279" s="354"/>
      <c r="K279" s="354"/>
      <c r="L279" s="354"/>
      <c r="M279" s="354"/>
      <c r="N279" s="354"/>
      <c r="O279" s="354"/>
      <c r="P279" s="354"/>
      <c r="Q279" s="354"/>
      <c r="R279" s="370"/>
      <c r="S279" s="354"/>
      <c r="T279" s="354"/>
      <c r="U279" s="354"/>
      <c r="V279" s="354"/>
      <c r="W279" s="354"/>
      <c r="X279" s="354"/>
      <c r="Y279" s="354"/>
      <c r="Z279" s="354"/>
      <c r="AA279" s="354"/>
      <c r="AB279" s="354"/>
      <c r="AC279" s="354"/>
      <c r="AD279" s="354"/>
      <c r="AE279" s="354"/>
      <c r="AF279" s="354"/>
      <c r="AG279" s="354"/>
      <c r="AH279" s="354"/>
      <c r="AI279" s="354"/>
      <c r="AJ279" s="354"/>
      <c r="AK279" s="354"/>
      <c r="AL279" s="354"/>
      <c r="AM279" s="354"/>
      <c r="AN279" s="354"/>
      <c r="AO279" s="354"/>
      <c r="AP279" s="354"/>
      <c r="AQ279" s="354"/>
      <c r="AR279" s="354"/>
      <c r="AS279" s="354"/>
      <c r="AT279" s="354"/>
      <c r="AU279" s="354"/>
      <c r="AV279" s="354"/>
      <c r="AW279" s="354"/>
      <c r="AX279" s="354"/>
      <c r="AY279" s="354"/>
      <c r="AZ279" s="354"/>
    </row>
    <row r="280" spans="3:52" x14ac:dyDescent="0.25">
      <c r="C280" s="354"/>
      <c r="D280" s="354"/>
      <c r="E280" s="354"/>
      <c r="F280" s="354"/>
      <c r="G280" s="354"/>
      <c r="H280" s="354"/>
      <c r="I280" s="354"/>
      <c r="J280" s="354"/>
      <c r="K280" s="354"/>
      <c r="L280" s="354"/>
      <c r="M280" s="354"/>
      <c r="N280" s="354"/>
      <c r="O280" s="354"/>
      <c r="P280" s="354"/>
      <c r="Q280" s="354"/>
      <c r="R280" s="370"/>
      <c r="S280" s="354"/>
      <c r="T280" s="354"/>
      <c r="U280" s="354"/>
      <c r="V280" s="354"/>
      <c r="W280" s="354"/>
      <c r="X280" s="354"/>
      <c r="Y280" s="354"/>
      <c r="Z280" s="354"/>
      <c r="AA280" s="354"/>
      <c r="AB280" s="354"/>
      <c r="AC280" s="354"/>
      <c r="AD280" s="354"/>
      <c r="AE280" s="354"/>
      <c r="AF280" s="354"/>
      <c r="AG280" s="354"/>
      <c r="AH280" s="354"/>
      <c r="AI280" s="354"/>
      <c r="AJ280" s="354"/>
      <c r="AK280" s="354"/>
      <c r="AL280" s="354"/>
      <c r="AM280" s="354"/>
      <c r="AN280" s="354"/>
      <c r="AO280" s="354"/>
      <c r="AP280" s="354"/>
      <c r="AQ280" s="354"/>
      <c r="AR280" s="354"/>
      <c r="AS280" s="354"/>
      <c r="AT280" s="354"/>
      <c r="AU280" s="354"/>
      <c r="AV280" s="354"/>
      <c r="AW280" s="354"/>
      <c r="AX280" s="354"/>
      <c r="AY280" s="354"/>
      <c r="AZ280" s="354"/>
    </row>
    <row r="281" spans="3:52" x14ac:dyDescent="0.25">
      <c r="C281" s="354"/>
      <c r="D281" s="354"/>
      <c r="E281" s="354"/>
      <c r="F281" s="354"/>
      <c r="G281" s="354"/>
      <c r="H281" s="354"/>
      <c r="I281" s="354"/>
      <c r="J281" s="354"/>
      <c r="K281" s="354"/>
      <c r="L281" s="354"/>
      <c r="M281" s="354"/>
      <c r="N281" s="354"/>
      <c r="O281" s="354"/>
      <c r="P281" s="354"/>
      <c r="Q281" s="354"/>
      <c r="R281" s="370"/>
      <c r="S281" s="354"/>
      <c r="T281" s="354"/>
      <c r="U281" s="354"/>
      <c r="V281" s="354"/>
      <c r="W281" s="354"/>
      <c r="X281" s="354"/>
      <c r="Y281" s="354"/>
      <c r="Z281" s="354"/>
      <c r="AA281" s="354"/>
      <c r="AB281" s="354"/>
      <c r="AC281" s="354"/>
      <c r="AD281" s="354"/>
      <c r="AE281" s="354"/>
      <c r="AF281" s="354"/>
      <c r="AG281" s="354"/>
      <c r="AH281" s="354"/>
      <c r="AI281" s="354"/>
      <c r="AJ281" s="354"/>
      <c r="AK281" s="354"/>
      <c r="AL281" s="354"/>
      <c r="AM281" s="354"/>
      <c r="AN281" s="354"/>
      <c r="AO281" s="354"/>
      <c r="AP281" s="354"/>
      <c r="AQ281" s="354"/>
      <c r="AR281" s="354"/>
      <c r="AS281" s="354"/>
      <c r="AT281" s="354"/>
      <c r="AU281" s="354"/>
      <c r="AV281" s="354"/>
      <c r="AW281" s="354"/>
      <c r="AX281" s="354"/>
      <c r="AY281" s="354"/>
      <c r="AZ281" s="354"/>
    </row>
    <row r="282" spans="3:52" x14ac:dyDescent="0.25">
      <c r="C282" s="354"/>
      <c r="D282" s="354"/>
      <c r="E282" s="354"/>
      <c r="F282" s="354"/>
      <c r="G282" s="354"/>
      <c r="H282" s="354"/>
      <c r="I282" s="354"/>
      <c r="J282" s="354"/>
      <c r="K282" s="354"/>
      <c r="L282" s="354"/>
      <c r="M282" s="354"/>
      <c r="N282" s="354"/>
      <c r="O282" s="354"/>
      <c r="P282" s="354"/>
      <c r="Q282" s="354"/>
      <c r="R282" s="370"/>
      <c r="S282" s="354"/>
      <c r="T282" s="354"/>
      <c r="U282" s="354"/>
      <c r="V282" s="354"/>
      <c r="W282" s="354"/>
      <c r="X282" s="354"/>
      <c r="Y282" s="354"/>
      <c r="Z282" s="354"/>
      <c r="AA282" s="354"/>
      <c r="AB282" s="354"/>
      <c r="AC282" s="354"/>
      <c r="AD282" s="354"/>
      <c r="AE282" s="354"/>
      <c r="AF282" s="354"/>
      <c r="AG282" s="354"/>
      <c r="AH282" s="354"/>
      <c r="AI282" s="354"/>
      <c r="AJ282" s="354"/>
      <c r="AK282" s="354"/>
      <c r="AL282" s="354"/>
      <c r="AM282" s="354"/>
      <c r="AN282" s="354"/>
      <c r="AO282" s="354"/>
      <c r="AP282" s="354"/>
      <c r="AQ282" s="354"/>
      <c r="AR282" s="354"/>
      <c r="AS282" s="354"/>
      <c r="AT282" s="354"/>
      <c r="AU282" s="354"/>
      <c r="AV282" s="354"/>
      <c r="AW282" s="354"/>
      <c r="AX282" s="354"/>
      <c r="AY282" s="354"/>
      <c r="AZ282" s="354"/>
    </row>
    <row r="283" spans="3:52" x14ac:dyDescent="0.25">
      <c r="C283" s="354"/>
      <c r="D283" s="354"/>
      <c r="E283" s="354"/>
      <c r="F283" s="354"/>
      <c r="G283" s="354"/>
      <c r="H283" s="354"/>
      <c r="I283" s="354"/>
      <c r="J283" s="354"/>
      <c r="K283" s="354"/>
      <c r="L283" s="354"/>
      <c r="M283" s="354"/>
      <c r="N283" s="354"/>
      <c r="O283" s="354"/>
      <c r="P283" s="354"/>
      <c r="Q283" s="354"/>
      <c r="R283" s="370"/>
      <c r="S283" s="354"/>
      <c r="T283" s="354"/>
      <c r="U283" s="354"/>
      <c r="V283" s="354"/>
      <c r="W283" s="354"/>
      <c r="X283" s="354"/>
      <c r="Y283" s="354"/>
      <c r="Z283" s="354"/>
      <c r="AA283" s="354"/>
      <c r="AB283" s="354"/>
      <c r="AC283" s="354"/>
      <c r="AD283" s="354"/>
      <c r="AE283" s="354"/>
      <c r="AF283" s="354"/>
      <c r="AG283" s="354"/>
      <c r="AH283" s="354"/>
      <c r="AI283" s="354"/>
      <c r="AJ283" s="354"/>
      <c r="AK283" s="354"/>
      <c r="AL283" s="354"/>
      <c r="AM283" s="354"/>
      <c r="AN283" s="354"/>
      <c r="AO283" s="354"/>
      <c r="AP283" s="354"/>
      <c r="AQ283" s="354"/>
      <c r="AR283" s="354"/>
      <c r="AS283" s="354"/>
      <c r="AT283" s="354"/>
      <c r="AU283" s="354"/>
      <c r="AV283" s="354"/>
      <c r="AW283" s="354"/>
      <c r="AX283" s="354"/>
      <c r="AY283" s="354"/>
      <c r="AZ283" s="354"/>
    </row>
    <row r="284" spans="3:52" x14ac:dyDescent="0.25">
      <c r="C284" s="354"/>
      <c r="D284" s="354"/>
      <c r="E284" s="354"/>
      <c r="F284" s="354"/>
      <c r="G284" s="354"/>
      <c r="H284" s="354"/>
      <c r="I284" s="354"/>
      <c r="J284" s="354"/>
      <c r="K284" s="354"/>
      <c r="L284" s="354"/>
      <c r="M284" s="354"/>
      <c r="N284" s="354"/>
      <c r="O284" s="354"/>
      <c r="P284" s="354"/>
      <c r="Q284" s="354"/>
      <c r="R284" s="370"/>
      <c r="S284" s="354"/>
      <c r="T284" s="354"/>
      <c r="U284" s="354"/>
      <c r="V284" s="354"/>
      <c r="W284" s="354"/>
      <c r="X284" s="354"/>
      <c r="Y284" s="354"/>
      <c r="Z284" s="354"/>
      <c r="AA284" s="354"/>
      <c r="AB284" s="354"/>
      <c r="AC284" s="354"/>
      <c r="AD284" s="354"/>
      <c r="AE284" s="354"/>
      <c r="AF284" s="354"/>
      <c r="AG284" s="354"/>
      <c r="AH284" s="354"/>
      <c r="AI284" s="354"/>
      <c r="AJ284" s="354"/>
      <c r="AK284" s="354"/>
      <c r="AL284" s="354"/>
      <c r="AM284" s="354"/>
      <c r="AN284" s="354"/>
      <c r="AO284" s="354"/>
      <c r="AP284" s="354"/>
      <c r="AQ284" s="354"/>
      <c r="AR284" s="354"/>
      <c r="AS284" s="354"/>
      <c r="AT284" s="354"/>
      <c r="AU284" s="354"/>
      <c r="AV284" s="354"/>
      <c r="AW284" s="354"/>
      <c r="AX284" s="354"/>
      <c r="AY284" s="354"/>
      <c r="AZ284" s="354"/>
    </row>
    <row r="285" spans="3:52" x14ac:dyDescent="0.25">
      <c r="C285" s="354"/>
      <c r="D285" s="354"/>
      <c r="E285" s="354"/>
      <c r="F285" s="354"/>
      <c r="G285" s="354"/>
      <c r="H285" s="354"/>
      <c r="I285" s="354"/>
      <c r="J285" s="354"/>
      <c r="K285" s="354"/>
      <c r="L285" s="354"/>
      <c r="M285" s="354"/>
      <c r="N285" s="354"/>
      <c r="O285" s="354"/>
      <c r="P285" s="354"/>
      <c r="Q285" s="354"/>
      <c r="R285" s="370"/>
      <c r="S285" s="354"/>
      <c r="T285" s="354"/>
      <c r="U285" s="354"/>
      <c r="V285" s="354"/>
      <c r="W285" s="354"/>
      <c r="X285" s="354"/>
      <c r="Y285" s="354"/>
      <c r="Z285" s="354"/>
      <c r="AA285" s="354"/>
      <c r="AB285" s="354"/>
      <c r="AC285" s="354"/>
      <c r="AD285" s="354"/>
      <c r="AE285" s="354"/>
      <c r="AF285" s="354"/>
      <c r="AG285" s="354"/>
      <c r="AH285" s="354"/>
      <c r="AI285" s="354"/>
      <c r="AJ285" s="354"/>
      <c r="AK285" s="354"/>
      <c r="AL285" s="354"/>
      <c r="AM285" s="354"/>
      <c r="AN285" s="354"/>
      <c r="AO285" s="354"/>
      <c r="AP285" s="354"/>
      <c r="AQ285" s="354"/>
      <c r="AR285" s="354"/>
      <c r="AS285" s="354"/>
      <c r="AT285" s="354"/>
      <c r="AU285" s="354"/>
      <c r="AV285" s="354"/>
      <c r="AW285" s="354"/>
      <c r="AX285" s="354"/>
      <c r="AY285" s="354"/>
      <c r="AZ285" s="354"/>
    </row>
    <row r="286" spans="3:52" x14ac:dyDescent="0.25">
      <c r="C286" s="354"/>
      <c r="D286" s="354"/>
      <c r="E286" s="354"/>
      <c r="F286" s="354"/>
      <c r="G286" s="354"/>
      <c r="H286" s="354"/>
      <c r="I286" s="354"/>
      <c r="J286" s="354"/>
      <c r="K286" s="354"/>
      <c r="L286" s="354"/>
      <c r="M286" s="354"/>
      <c r="N286" s="354"/>
      <c r="O286" s="354"/>
      <c r="P286" s="354"/>
      <c r="Q286" s="354"/>
      <c r="R286" s="370"/>
      <c r="S286" s="354"/>
      <c r="T286" s="354"/>
      <c r="U286" s="354"/>
      <c r="V286" s="354"/>
      <c r="W286" s="354"/>
      <c r="X286" s="354"/>
      <c r="Y286" s="354"/>
      <c r="Z286" s="354"/>
      <c r="AA286" s="354"/>
      <c r="AB286" s="354"/>
      <c r="AC286" s="354"/>
      <c r="AD286" s="354"/>
      <c r="AE286" s="354"/>
      <c r="AF286" s="354"/>
      <c r="AG286" s="354"/>
      <c r="AH286" s="354"/>
      <c r="AI286" s="354"/>
      <c r="AJ286" s="354"/>
      <c r="AK286" s="354"/>
      <c r="AL286" s="354"/>
      <c r="AM286" s="354"/>
      <c r="AN286" s="354"/>
      <c r="AO286" s="354"/>
      <c r="AP286" s="354"/>
      <c r="AQ286" s="354"/>
      <c r="AR286" s="354"/>
      <c r="AS286" s="354"/>
      <c r="AT286" s="354"/>
      <c r="AU286" s="354"/>
      <c r="AV286" s="354"/>
      <c r="AW286" s="354"/>
      <c r="AX286" s="354"/>
      <c r="AY286" s="354"/>
      <c r="AZ286" s="354"/>
    </row>
    <row r="287" spans="3:52" x14ac:dyDescent="0.25">
      <c r="C287" s="354"/>
      <c r="D287" s="354"/>
      <c r="E287" s="354"/>
      <c r="F287" s="354"/>
      <c r="G287" s="354"/>
      <c r="H287" s="354"/>
      <c r="I287" s="354"/>
      <c r="J287" s="354"/>
      <c r="K287" s="354"/>
      <c r="L287" s="354"/>
      <c r="M287" s="354"/>
      <c r="N287" s="354"/>
      <c r="O287" s="354"/>
      <c r="P287" s="354"/>
      <c r="Q287" s="354"/>
      <c r="R287" s="370"/>
      <c r="S287" s="354"/>
      <c r="T287" s="354"/>
      <c r="U287" s="354"/>
      <c r="V287" s="354"/>
      <c r="W287" s="354"/>
      <c r="X287" s="354"/>
      <c r="Y287" s="354"/>
      <c r="Z287" s="354"/>
      <c r="AA287" s="354"/>
      <c r="AB287" s="354"/>
      <c r="AC287" s="354"/>
      <c r="AD287" s="354"/>
      <c r="AE287" s="354"/>
      <c r="AF287" s="354"/>
      <c r="AG287" s="354"/>
      <c r="AH287" s="354"/>
      <c r="AI287" s="354"/>
      <c r="AJ287" s="354"/>
      <c r="AK287" s="354"/>
      <c r="AL287" s="354"/>
      <c r="AM287" s="354"/>
      <c r="AN287" s="354"/>
      <c r="AO287" s="354"/>
      <c r="AP287" s="354"/>
      <c r="AQ287" s="354"/>
      <c r="AR287" s="354"/>
      <c r="AS287" s="354"/>
      <c r="AT287" s="354"/>
      <c r="AU287" s="354"/>
      <c r="AV287" s="354"/>
      <c r="AW287" s="354"/>
      <c r="AX287" s="354"/>
      <c r="AY287" s="354"/>
      <c r="AZ287" s="354"/>
    </row>
    <row r="288" spans="3:52" x14ac:dyDescent="0.25">
      <c r="C288" s="354"/>
      <c r="D288" s="354"/>
      <c r="E288" s="354"/>
      <c r="F288" s="354"/>
      <c r="G288" s="354"/>
      <c r="H288" s="354"/>
      <c r="I288" s="354"/>
      <c r="J288" s="354"/>
      <c r="K288" s="354"/>
      <c r="L288" s="354"/>
      <c r="M288" s="354"/>
      <c r="N288" s="354"/>
      <c r="O288" s="354"/>
      <c r="P288" s="354"/>
      <c r="Q288" s="354"/>
      <c r="R288" s="370"/>
      <c r="S288" s="354"/>
      <c r="T288" s="354"/>
      <c r="U288" s="354"/>
      <c r="V288" s="354"/>
      <c r="W288" s="354"/>
      <c r="X288" s="354"/>
      <c r="Y288" s="354"/>
      <c r="Z288" s="354"/>
      <c r="AA288" s="354"/>
      <c r="AB288" s="354"/>
      <c r="AC288" s="354"/>
      <c r="AD288" s="354"/>
      <c r="AE288" s="354"/>
      <c r="AF288" s="354"/>
      <c r="AG288" s="354"/>
      <c r="AH288" s="354"/>
      <c r="AI288" s="354"/>
      <c r="AJ288" s="354"/>
      <c r="AK288" s="354"/>
      <c r="AL288" s="354"/>
      <c r="AM288" s="354"/>
      <c r="AN288" s="354"/>
      <c r="AO288" s="354"/>
      <c r="AP288" s="354"/>
      <c r="AQ288" s="354"/>
      <c r="AR288" s="354"/>
      <c r="AS288" s="354"/>
      <c r="AT288" s="354"/>
      <c r="AU288" s="354"/>
      <c r="AV288" s="354"/>
      <c r="AW288" s="354"/>
      <c r="AX288" s="354"/>
      <c r="AY288" s="354"/>
      <c r="AZ288" s="354"/>
    </row>
    <row r="289" spans="3:52" x14ac:dyDescent="0.25">
      <c r="C289" s="354"/>
      <c r="D289" s="354"/>
      <c r="E289" s="354"/>
      <c r="F289" s="354"/>
      <c r="G289" s="354"/>
      <c r="H289" s="354"/>
      <c r="I289" s="354"/>
      <c r="J289" s="354"/>
      <c r="K289" s="354"/>
      <c r="L289" s="354"/>
      <c r="M289" s="354"/>
      <c r="N289" s="354"/>
      <c r="O289" s="354"/>
      <c r="P289" s="354"/>
      <c r="Q289" s="354"/>
      <c r="R289" s="370"/>
      <c r="S289" s="354"/>
      <c r="T289" s="354"/>
      <c r="U289" s="354"/>
      <c r="V289" s="354"/>
      <c r="W289" s="354"/>
      <c r="X289" s="354"/>
      <c r="Y289" s="354"/>
      <c r="Z289" s="354"/>
      <c r="AA289" s="354"/>
      <c r="AB289" s="354"/>
      <c r="AC289" s="354"/>
      <c r="AD289" s="354"/>
      <c r="AE289" s="354"/>
      <c r="AF289" s="354"/>
      <c r="AG289" s="354"/>
      <c r="AH289" s="354"/>
      <c r="AI289" s="354"/>
      <c r="AJ289" s="354"/>
      <c r="AK289" s="354"/>
      <c r="AL289" s="354"/>
      <c r="AM289" s="354"/>
      <c r="AN289" s="354"/>
      <c r="AO289" s="354"/>
      <c r="AP289" s="354"/>
      <c r="AQ289" s="354"/>
      <c r="AR289" s="354"/>
      <c r="AS289" s="354"/>
      <c r="AT289" s="354"/>
      <c r="AU289" s="354"/>
      <c r="AV289" s="354"/>
      <c r="AW289" s="354"/>
      <c r="AX289" s="354"/>
      <c r="AY289" s="354"/>
      <c r="AZ289" s="354"/>
    </row>
    <row r="290" spans="3:52" x14ac:dyDescent="0.25">
      <c r="C290" s="354"/>
      <c r="D290" s="354"/>
      <c r="E290" s="354"/>
      <c r="F290" s="354"/>
      <c r="G290" s="354"/>
      <c r="H290" s="354"/>
      <c r="I290" s="354"/>
      <c r="J290" s="354"/>
      <c r="K290" s="354"/>
      <c r="L290" s="354"/>
      <c r="M290" s="354"/>
      <c r="N290" s="354"/>
      <c r="O290" s="354"/>
      <c r="P290" s="354"/>
      <c r="Q290" s="354"/>
      <c r="R290" s="370"/>
      <c r="S290" s="354"/>
      <c r="T290" s="354"/>
      <c r="U290" s="354"/>
      <c r="V290" s="354"/>
      <c r="W290" s="354"/>
      <c r="X290" s="354"/>
      <c r="Y290" s="354"/>
      <c r="Z290" s="354"/>
      <c r="AA290" s="354"/>
      <c r="AB290" s="354"/>
      <c r="AC290" s="354"/>
      <c r="AD290" s="354"/>
      <c r="AE290" s="354"/>
      <c r="AF290" s="354"/>
      <c r="AG290" s="354"/>
      <c r="AH290" s="354"/>
      <c r="AI290" s="354"/>
      <c r="AJ290" s="354"/>
      <c r="AK290" s="354"/>
      <c r="AL290" s="354"/>
      <c r="AM290" s="354"/>
      <c r="AN290" s="354"/>
      <c r="AO290" s="354"/>
      <c r="AP290" s="354"/>
      <c r="AQ290" s="354"/>
      <c r="AR290" s="354"/>
      <c r="AS290" s="354"/>
      <c r="AT290" s="354"/>
      <c r="AU290" s="354"/>
      <c r="AV290" s="354"/>
      <c r="AW290" s="354"/>
      <c r="AX290" s="354"/>
      <c r="AY290" s="354"/>
      <c r="AZ290" s="354"/>
    </row>
    <row r="291" spans="3:52" x14ac:dyDescent="0.25">
      <c r="C291" s="354"/>
      <c r="D291" s="354"/>
      <c r="E291" s="354"/>
      <c r="F291" s="354"/>
      <c r="G291" s="354"/>
      <c r="H291" s="354"/>
      <c r="I291" s="354"/>
      <c r="J291" s="354"/>
      <c r="K291" s="354"/>
      <c r="L291" s="354"/>
      <c r="M291" s="354"/>
      <c r="N291" s="354"/>
      <c r="O291" s="354"/>
      <c r="P291" s="354"/>
      <c r="Q291" s="354"/>
      <c r="R291" s="370"/>
      <c r="S291" s="354"/>
      <c r="T291" s="354"/>
      <c r="U291" s="354"/>
      <c r="V291" s="354"/>
      <c r="W291" s="354"/>
      <c r="X291" s="354"/>
      <c r="Y291" s="354"/>
      <c r="Z291" s="354"/>
      <c r="AA291" s="354"/>
      <c r="AB291" s="354"/>
      <c r="AC291" s="354"/>
      <c r="AD291" s="354"/>
      <c r="AE291" s="354"/>
      <c r="AF291" s="354"/>
      <c r="AG291" s="354"/>
      <c r="AH291" s="354"/>
      <c r="AI291" s="354"/>
      <c r="AJ291" s="354"/>
      <c r="AK291" s="354"/>
      <c r="AL291" s="354"/>
      <c r="AM291" s="354"/>
      <c r="AN291" s="354"/>
      <c r="AO291" s="354"/>
      <c r="AP291" s="354"/>
      <c r="AQ291" s="354"/>
      <c r="AR291" s="354"/>
      <c r="AS291" s="354"/>
      <c r="AT291" s="354"/>
      <c r="AU291" s="354"/>
      <c r="AV291" s="354"/>
      <c r="AW291" s="354"/>
      <c r="AX291" s="354"/>
      <c r="AY291" s="354"/>
      <c r="AZ291" s="354"/>
    </row>
    <row r="292" spans="3:52" x14ac:dyDescent="0.25">
      <c r="C292" s="354"/>
      <c r="D292" s="354"/>
      <c r="E292" s="354"/>
      <c r="F292" s="354"/>
      <c r="G292" s="354"/>
      <c r="H292" s="354"/>
      <c r="I292" s="354"/>
      <c r="J292" s="354"/>
      <c r="K292" s="354"/>
      <c r="L292" s="354"/>
      <c r="M292" s="354"/>
      <c r="N292" s="354"/>
      <c r="O292" s="354"/>
      <c r="P292" s="354"/>
      <c r="Q292" s="354"/>
      <c r="R292" s="370"/>
      <c r="S292" s="354"/>
      <c r="T292" s="354"/>
      <c r="U292" s="354"/>
      <c r="V292" s="354"/>
      <c r="W292" s="354"/>
      <c r="X292" s="354"/>
      <c r="Y292" s="354"/>
      <c r="Z292" s="354"/>
      <c r="AA292" s="354"/>
      <c r="AB292" s="354"/>
      <c r="AC292" s="354"/>
      <c r="AD292" s="354"/>
      <c r="AE292" s="354"/>
      <c r="AF292" s="354"/>
      <c r="AG292" s="354"/>
      <c r="AH292" s="354"/>
      <c r="AI292" s="354"/>
      <c r="AJ292" s="354"/>
      <c r="AK292" s="354"/>
      <c r="AL292" s="354"/>
      <c r="AM292" s="354"/>
      <c r="AN292" s="354"/>
      <c r="AO292" s="354"/>
      <c r="AP292" s="354"/>
      <c r="AQ292" s="354"/>
      <c r="AR292" s="354"/>
      <c r="AS292" s="354"/>
      <c r="AT292" s="354"/>
      <c r="AU292" s="354"/>
      <c r="AV292" s="354"/>
      <c r="AW292" s="354"/>
      <c r="AX292" s="354"/>
      <c r="AY292" s="354"/>
      <c r="AZ292" s="354"/>
    </row>
    <row r="293" spans="3:52" x14ac:dyDescent="0.25">
      <c r="C293" s="354"/>
      <c r="D293" s="354"/>
      <c r="E293" s="354"/>
      <c r="F293" s="354"/>
      <c r="G293" s="354"/>
      <c r="H293" s="354"/>
      <c r="I293" s="354"/>
      <c r="J293" s="354"/>
      <c r="K293" s="354"/>
      <c r="L293" s="354"/>
      <c r="M293" s="354"/>
      <c r="N293" s="354"/>
      <c r="O293" s="354"/>
      <c r="P293" s="354"/>
      <c r="Q293" s="354"/>
      <c r="R293" s="370"/>
      <c r="S293" s="354"/>
      <c r="T293" s="354"/>
      <c r="U293" s="354"/>
      <c r="V293" s="354"/>
      <c r="W293" s="354"/>
      <c r="X293" s="354"/>
      <c r="Y293" s="354"/>
      <c r="Z293" s="354"/>
      <c r="AA293" s="354"/>
      <c r="AB293" s="354"/>
      <c r="AC293" s="354"/>
      <c r="AD293" s="354"/>
      <c r="AE293" s="354"/>
      <c r="AF293" s="354"/>
      <c r="AG293" s="354"/>
      <c r="AH293" s="354"/>
      <c r="AI293" s="354"/>
      <c r="AJ293" s="354"/>
      <c r="AK293" s="354"/>
      <c r="AL293" s="354"/>
      <c r="AM293" s="354"/>
      <c r="AN293" s="354"/>
      <c r="AO293" s="354"/>
      <c r="AP293" s="354"/>
      <c r="AQ293" s="354"/>
      <c r="AR293" s="354"/>
      <c r="AS293" s="354"/>
      <c r="AT293" s="354"/>
      <c r="AU293" s="354"/>
      <c r="AV293" s="354"/>
      <c r="AW293" s="354"/>
      <c r="AX293" s="354"/>
      <c r="AY293" s="354"/>
      <c r="AZ293" s="354"/>
    </row>
    <row r="294" spans="3:52" x14ac:dyDescent="0.25">
      <c r="C294" s="354"/>
      <c r="D294" s="354"/>
      <c r="E294" s="354"/>
      <c r="F294" s="354"/>
      <c r="G294" s="354"/>
      <c r="H294" s="354"/>
      <c r="I294" s="354"/>
      <c r="J294" s="354"/>
      <c r="K294" s="354"/>
      <c r="L294" s="354"/>
      <c r="M294" s="354"/>
      <c r="N294" s="354"/>
      <c r="O294" s="354"/>
      <c r="P294" s="354"/>
      <c r="Q294" s="354"/>
      <c r="R294" s="370"/>
      <c r="S294" s="354"/>
      <c r="T294" s="354"/>
      <c r="U294" s="354"/>
      <c r="V294" s="354"/>
      <c r="W294" s="354"/>
      <c r="X294" s="354"/>
      <c r="Y294" s="354"/>
      <c r="Z294" s="354"/>
      <c r="AA294" s="354"/>
      <c r="AB294" s="354"/>
      <c r="AC294" s="354"/>
      <c r="AD294" s="354"/>
      <c r="AE294" s="354"/>
      <c r="AF294" s="354"/>
      <c r="AG294" s="354"/>
      <c r="AH294" s="354"/>
      <c r="AI294" s="354"/>
      <c r="AJ294" s="354"/>
      <c r="AK294" s="354"/>
      <c r="AL294" s="354"/>
      <c r="AM294" s="354"/>
      <c r="AN294" s="354"/>
      <c r="AO294" s="354"/>
      <c r="AP294" s="354"/>
      <c r="AQ294" s="354"/>
      <c r="AR294" s="354"/>
      <c r="AS294" s="354"/>
      <c r="AT294" s="354"/>
      <c r="AU294" s="354"/>
      <c r="AV294" s="354"/>
      <c r="AW294" s="354"/>
      <c r="AX294" s="354"/>
      <c r="AY294" s="354"/>
      <c r="AZ294" s="354"/>
    </row>
    <row r="295" spans="3:52" x14ac:dyDescent="0.25">
      <c r="C295" s="354"/>
      <c r="D295" s="354"/>
      <c r="E295" s="354"/>
      <c r="F295" s="354"/>
      <c r="G295" s="354"/>
      <c r="H295" s="354"/>
      <c r="I295" s="354"/>
      <c r="J295" s="354"/>
      <c r="K295" s="354"/>
      <c r="L295" s="354"/>
      <c r="M295" s="354"/>
      <c r="N295" s="354"/>
      <c r="O295" s="354"/>
      <c r="P295" s="354"/>
      <c r="Q295" s="354"/>
      <c r="R295" s="370"/>
      <c r="S295" s="354"/>
      <c r="T295" s="354"/>
      <c r="U295" s="354"/>
      <c r="V295" s="354"/>
      <c r="W295" s="354"/>
      <c r="X295" s="354"/>
      <c r="Y295" s="354"/>
      <c r="Z295" s="354"/>
      <c r="AA295" s="354"/>
      <c r="AB295" s="354"/>
      <c r="AC295" s="354"/>
      <c r="AD295" s="354"/>
      <c r="AE295" s="354"/>
      <c r="AF295" s="354"/>
      <c r="AG295" s="354"/>
      <c r="AH295" s="354"/>
      <c r="AI295" s="354"/>
      <c r="AJ295" s="354"/>
      <c r="AK295" s="354"/>
      <c r="AL295" s="354"/>
      <c r="AM295" s="354"/>
      <c r="AN295" s="354"/>
      <c r="AO295" s="354"/>
      <c r="AP295" s="354"/>
      <c r="AQ295" s="354"/>
      <c r="AR295" s="354"/>
      <c r="AS295" s="354"/>
      <c r="AT295" s="354"/>
      <c r="AU295" s="354"/>
      <c r="AV295" s="354"/>
      <c r="AW295" s="354"/>
      <c r="AX295" s="354"/>
      <c r="AY295" s="354"/>
      <c r="AZ295" s="354"/>
    </row>
    <row r="296" spans="3:52" x14ac:dyDescent="0.25">
      <c r="C296" s="354"/>
      <c r="D296" s="354"/>
      <c r="E296" s="354"/>
      <c r="F296" s="354"/>
      <c r="G296" s="354"/>
      <c r="H296" s="354"/>
      <c r="I296" s="354"/>
      <c r="J296" s="354"/>
      <c r="K296" s="354"/>
      <c r="L296" s="354"/>
      <c r="M296" s="354"/>
      <c r="N296" s="354"/>
      <c r="O296" s="354"/>
      <c r="P296" s="354"/>
      <c r="Q296" s="354"/>
      <c r="R296" s="370"/>
      <c r="S296" s="354"/>
      <c r="T296" s="354"/>
      <c r="U296" s="354"/>
      <c r="V296" s="354"/>
      <c r="W296" s="354"/>
      <c r="X296" s="354"/>
      <c r="Y296" s="354"/>
      <c r="Z296" s="354"/>
      <c r="AA296" s="354"/>
      <c r="AB296" s="354"/>
      <c r="AC296" s="354"/>
      <c r="AD296" s="354"/>
      <c r="AE296" s="354"/>
      <c r="AF296" s="354"/>
      <c r="AG296" s="354"/>
      <c r="AH296" s="354"/>
      <c r="AI296" s="354"/>
      <c r="AJ296" s="354"/>
      <c r="AK296" s="354"/>
      <c r="AL296" s="354"/>
      <c r="AM296" s="354"/>
      <c r="AN296" s="354"/>
      <c r="AO296" s="354"/>
      <c r="AP296" s="354"/>
      <c r="AQ296" s="354"/>
      <c r="AR296" s="354"/>
      <c r="AS296" s="354"/>
      <c r="AT296" s="354"/>
      <c r="AU296" s="354"/>
      <c r="AV296" s="354"/>
      <c r="AW296" s="354"/>
      <c r="AX296" s="354"/>
      <c r="AY296" s="354"/>
      <c r="AZ296" s="354"/>
    </row>
    <row r="297" spans="3:52" x14ac:dyDescent="0.25">
      <c r="C297" s="354"/>
      <c r="D297" s="354"/>
      <c r="E297" s="354"/>
      <c r="F297" s="354"/>
      <c r="G297" s="354"/>
      <c r="H297" s="354"/>
      <c r="I297" s="354"/>
      <c r="J297" s="354"/>
      <c r="K297" s="354"/>
      <c r="L297" s="354"/>
      <c r="M297" s="354"/>
      <c r="N297" s="354"/>
      <c r="O297" s="354"/>
      <c r="P297" s="354"/>
      <c r="Q297" s="354"/>
      <c r="R297" s="370"/>
      <c r="S297" s="354"/>
      <c r="T297" s="354"/>
      <c r="U297" s="354"/>
      <c r="V297" s="354"/>
      <c r="W297" s="354"/>
      <c r="X297" s="354"/>
      <c r="Y297" s="354"/>
      <c r="Z297" s="354"/>
      <c r="AA297" s="354"/>
      <c r="AB297" s="354"/>
      <c r="AC297" s="354"/>
      <c r="AD297" s="354"/>
      <c r="AE297" s="354"/>
      <c r="AF297" s="354"/>
      <c r="AG297" s="354"/>
      <c r="AH297" s="354"/>
      <c r="AI297" s="354"/>
      <c r="AJ297" s="354"/>
      <c r="AK297" s="354"/>
      <c r="AL297" s="354"/>
      <c r="AM297" s="354"/>
      <c r="AN297" s="354"/>
      <c r="AO297" s="354"/>
      <c r="AP297" s="354"/>
      <c r="AQ297" s="354"/>
      <c r="AR297" s="354"/>
      <c r="AS297" s="354"/>
      <c r="AT297" s="354"/>
      <c r="AU297" s="354"/>
      <c r="AV297" s="354"/>
      <c r="AW297" s="354"/>
      <c r="AX297" s="354"/>
      <c r="AY297" s="354"/>
      <c r="AZ297" s="354"/>
    </row>
    <row r="298" spans="3:52" x14ac:dyDescent="0.25">
      <c r="C298" s="354"/>
      <c r="D298" s="354"/>
      <c r="E298" s="354"/>
      <c r="F298" s="354"/>
      <c r="G298" s="354"/>
      <c r="H298" s="354"/>
      <c r="I298" s="354"/>
      <c r="J298" s="354"/>
      <c r="K298" s="354"/>
      <c r="L298" s="354"/>
      <c r="M298" s="354"/>
      <c r="N298" s="354"/>
      <c r="O298" s="354"/>
      <c r="P298" s="354"/>
      <c r="Q298" s="354"/>
      <c r="R298" s="370"/>
      <c r="S298" s="354"/>
      <c r="T298" s="354"/>
      <c r="U298" s="354"/>
      <c r="V298" s="354"/>
      <c r="W298" s="354"/>
      <c r="X298" s="354"/>
      <c r="Y298" s="354"/>
      <c r="Z298" s="354"/>
      <c r="AA298" s="354"/>
      <c r="AB298" s="354"/>
      <c r="AC298" s="354"/>
      <c r="AD298" s="354"/>
      <c r="AE298" s="354"/>
      <c r="AF298" s="354"/>
      <c r="AG298" s="354"/>
      <c r="AH298" s="354"/>
      <c r="AI298" s="354"/>
      <c r="AJ298" s="354"/>
      <c r="AK298" s="354"/>
      <c r="AL298" s="354"/>
      <c r="AM298" s="354"/>
      <c r="AN298" s="354"/>
      <c r="AO298" s="354"/>
      <c r="AP298" s="354"/>
      <c r="AQ298" s="354"/>
      <c r="AR298" s="354"/>
      <c r="AS298" s="354"/>
      <c r="AT298" s="354"/>
      <c r="AU298" s="354"/>
      <c r="AV298" s="354"/>
      <c r="AW298" s="354"/>
      <c r="AX298" s="354"/>
      <c r="AY298" s="354"/>
      <c r="AZ298" s="354"/>
    </row>
    <row r="299" spans="3:52" x14ac:dyDescent="0.25">
      <c r="C299" s="354"/>
      <c r="D299" s="354"/>
      <c r="E299" s="354"/>
      <c r="F299" s="354"/>
      <c r="G299" s="354"/>
      <c r="H299" s="354"/>
      <c r="I299" s="354"/>
      <c r="J299" s="354"/>
      <c r="K299" s="354"/>
      <c r="L299" s="354"/>
      <c r="M299" s="354"/>
      <c r="N299" s="354"/>
      <c r="O299" s="354"/>
      <c r="P299" s="354"/>
      <c r="Q299" s="354"/>
      <c r="R299" s="370"/>
      <c r="S299" s="354"/>
      <c r="T299" s="354"/>
      <c r="U299" s="354"/>
      <c r="V299" s="354"/>
      <c r="W299" s="354"/>
      <c r="X299" s="354"/>
      <c r="Y299" s="354"/>
      <c r="Z299" s="354"/>
      <c r="AA299" s="354"/>
      <c r="AB299" s="354"/>
      <c r="AC299" s="354"/>
      <c r="AD299" s="354"/>
      <c r="AE299" s="354"/>
      <c r="AF299" s="354"/>
      <c r="AG299" s="354"/>
      <c r="AH299" s="354"/>
      <c r="AI299" s="354"/>
      <c r="AJ299" s="354"/>
      <c r="AK299" s="354"/>
      <c r="AL299" s="354"/>
      <c r="AM299" s="354"/>
      <c r="AN299" s="354"/>
      <c r="AO299" s="354"/>
      <c r="AP299" s="354"/>
      <c r="AQ299" s="354"/>
      <c r="AR299" s="354"/>
      <c r="AS299" s="354"/>
      <c r="AT299" s="354"/>
      <c r="AU299" s="354"/>
      <c r="AV299" s="354"/>
      <c r="AW299" s="354"/>
      <c r="AX299" s="354"/>
      <c r="AY299" s="354"/>
      <c r="AZ299" s="354"/>
    </row>
    <row r="300" spans="3:52" x14ac:dyDescent="0.25">
      <c r="C300" s="354"/>
      <c r="D300" s="354"/>
      <c r="E300" s="354"/>
      <c r="F300" s="354"/>
      <c r="G300" s="354"/>
      <c r="H300" s="354"/>
      <c r="I300" s="354"/>
      <c r="J300" s="354"/>
      <c r="K300" s="354"/>
      <c r="L300" s="354"/>
      <c r="M300" s="354"/>
      <c r="N300" s="354"/>
      <c r="O300" s="354"/>
      <c r="P300" s="354"/>
      <c r="Q300" s="354"/>
      <c r="R300" s="370"/>
      <c r="S300" s="354"/>
      <c r="T300" s="354"/>
      <c r="U300" s="354"/>
      <c r="V300" s="354"/>
      <c r="W300" s="354"/>
      <c r="X300" s="354"/>
      <c r="Y300" s="354"/>
      <c r="Z300" s="354"/>
      <c r="AA300" s="354"/>
      <c r="AB300" s="354"/>
      <c r="AC300" s="354"/>
      <c r="AD300" s="354"/>
      <c r="AE300" s="354"/>
      <c r="AF300" s="354"/>
      <c r="AG300" s="354"/>
      <c r="AH300" s="354"/>
      <c r="AI300" s="354"/>
      <c r="AJ300" s="354"/>
      <c r="AK300" s="354"/>
      <c r="AL300" s="354"/>
      <c r="AM300" s="354"/>
      <c r="AN300" s="354"/>
      <c r="AO300" s="354"/>
      <c r="AP300" s="354"/>
      <c r="AQ300" s="354"/>
      <c r="AR300" s="354"/>
      <c r="AS300" s="354"/>
      <c r="AT300" s="354"/>
      <c r="AU300" s="354"/>
      <c r="AV300" s="354"/>
      <c r="AW300" s="354"/>
      <c r="AX300" s="354"/>
      <c r="AY300" s="354"/>
      <c r="AZ300" s="354"/>
    </row>
    <row r="301" spans="3:52" x14ac:dyDescent="0.25">
      <c r="C301" s="354"/>
      <c r="D301" s="354"/>
      <c r="E301" s="354"/>
      <c r="F301" s="354"/>
      <c r="G301" s="354"/>
      <c r="H301" s="354"/>
      <c r="I301" s="354"/>
      <c r="J301" s="354"/>
      <c r="K301" s="354"/>
      <c r="L301" s="354"/>
      <c r="M301" s="354"/>
      <c r="N301" s="354"/>
      <c r="O301" s="354"/>
      <c r="P301" s="354"/>
      <c r="Q301" s="354"/>
      <c r="R301" s="370"/>
      <c r="S301" s="354"/>
      <c r="T301" s="354"/>
      <c r="U301" s="354"/>
      <c r="V301" s="354"/>
      <c r="W301" s="354"/>
      <c r="X301" s="354"/>
      <c r="Y301" s="354"/>
      <c r="Z301" s="354"/>
      <c r="AA301" s="354"/>
      <c r="AB301" s="354"/>
      <c r="AC301" s="354"/>
      <c r="AD301" s="354"/>
      <c r="AE301" s="354"/>
      <c r="AF301" s="354"/>
      <c r="AG301" s="354"/>
      <c r="AH301" s="354"/>
      <c r="AI301" s="354"/>
      <c r="AJ301" s="354"/>
      <c r="AK301" s="354"/>
      <c r="AL301" s="354"/>
      <c r="AM301" s="354"/>
      <c r="AN301" s="354"/>
      <c r="AO301" s="354"/>
      <c r="AP301" s="354"/>
      <c r="AQ301" s="354"/>
      <c r="AR301" s="354"/>
      <c r="AS301" s="354"/>
      <c r="AT301" s="354"/>
      <c r="AU301" s="354"/>
      <c r="AV301" s="354"/>
      <c r="AW301" s="354"/>
      <c r="AX301" s="354"/>
      <c r="AY301" s="354"/>
      <c r="AZ301" s="354"/>
    </row>
    <row r="302" spans="3:52" x14ac:dyDescent="0.25">
      <c r="C302" s="354"/>
      <c r="D302" s="354"/>
      <c r="E302" s="354"/>
      <c r="F302" s="354"/>
      <c r="G302" s="354"/>
      <c r="H302" s="354"/>
      <c r="I302" s="354"/>
      <c r="J302" s="354"/>
      <c r="K302" s="354"/>
      <c r="L302" s="354"/>
      <c r="M302" s="354"/>
      <c r="N302" s="354"/>
      <c r="O302" s="354"/>
      <c r="P302" s="354"/>
      <c r="Q302" s="354"/>
      <c r="R302" s="370"/>
      <c r="S302" s="354"/>
      <c r="T302" s="354"/>
      <c r="U302" s="354"/>
      <c r="V302" s="354"/>
      <c r="W302" s="354"/>
      <c r="X302" s="354"/>
      <c r="Y302" s="354"/>
      <c r="Z302" s="354"/>
      <c r="AA302" s="354"/>
      <c r="AB302" s="354"/>
      <c r="AC302" s="354"/>
      <c r="AD302" s="354"/>
      <c r="AE302" s="354"/>
      <c r="AF302" s="354"/>
      <c r="AG302" s="354"/>
      <c r="AH302" s="354"/>
      <c r="AI302" s="354"/>
      <c r="AJ302" s="354"/>
      <c r="AK302" s="354"/>
      <c r="AL302" s="354"/>
      <c r="AM302" s="354"/>
      <c r="AN302" s="354"/>
      <c r="AO302" s="354"/>
      <c r="AP302" s="354"/>
      <c r="AQ302" s="354"/>
      <c r="AR302" s="354"/>
      <c r="AS302" s="354"/>
      <c r="AT302" s="354"/>
      <c r="AU302" s="354"/>
      <c r="AV302" s="354"/>
      <c r="AW302" s="354"/>
      <c r="AX302" s="354"/>
      <c r="AY302" s="354"/>
      <c r="AZ302" s="354"/>
    </row>
    <row r="303" spans="3:52" x14ac:dyDescent="0.25">
      <c r="C303" s="354"/>
      <c r="D303" s="354"/>
      <c r="E303" s="354"/>
      <c r="F303" s="354"/>
      <c r="G303" s="354"/>
      <c r="H303" s="354"/>
      <c r="I303" s="354"/>
      <c r="J303" s="354"/>
      <c r="K303" s="354"/>
      <c r="L303" s="354"/>
      <c r="M303" s="354"/>
      <c r="N303" s="354"/>
      <c r="O303" s="354"/>
      <c r="P303" s="354"/>
      <c r="Q303" s="354"/>
      <c r="R303" s="370"/>
      <c r="S303" s="354"/>
      <c r="T303" s="354"/>
      <c r="U303" s="354"/>
      <c r="V303" s="354"/>
      <c r="W303" s="354"/>
      <c r="X303" s="354"/>
      <c r="Y303" s="354"/>
      <c r="Z303" s="354"/>
      <c r="AA303" s="354"/>
      <c r="AB303" s="354"/>
      <c r="AC303" s="354"/>
      <c r="AD303" s="354"/>
      <c r="AE303" s="354"/>
      <c r="AF303" s="354"/>
      <c r="AG303" s="354"/>
      <c r="AH303" s="354"/>
      <c r="AI303" s="354"/>
      <c r="AJ303" s="354"/>
      <c r="AK303" s="354"/>
      <c r="AL303" s="354"/>
      <c r="AM303" s="354"/>
      <c r="AN303" s="354"/>
      <c r="AO303" s="354"/>
      <c r="AP303" s="354"/>
      <c r="AQ303" s="354"/>
      <c r="AR303" s="354"/>
      <c r="AS303" s="354"/>
      <c r="AT303" s="354"/>
      <c r="AU303" s="354"/>
      <c r="AV303" s="354"/>
      <c r="AW303" s="354"/>
      <c r="AX303" s="354"/>
      <c r="AY303" s="354"/>
      <c r="AZ303" s="354"/>
    </row>
    <row r="304" spans="3:52" x14ac:dyDescent="0.25">
      <c r="C304" s="354"/>
      <c r="D304" s="354"/>
      <c r="E304" s="354"/>
      <c r="F304" s="354"/>
      <c r="G304" s="354"/>
      <c r="H304" s="354"/>
      <c r="I304" s="354"/>
      <c r="J304" s="354"/>
      <c r="K304" s="354"/>
      <c r="L304" s="354"/>
      <c r="M304" s="354"/>
      <c r="N304" s="354"/>
      <c r="O304" s="354"/>
      <c r="P304" s="354"/>
      <c r="Q304" s="354"/>
      <c r="R304" s="370"/>
      <c r="S304" s="354"/>
      <c r="T304" s="354"/>
      <c r="U304" s="354"/>
      <c r="V304" s="354"/>
      <c r="W304" s="354"/>
      <c r="X304" s="354"/>
      <c r="Y304" s="354"/>
      <c r="Z304" s="354"/>
      <c r="AA304" s="354"/>
      <c r="AB304" s="354"/>
      <c r="AC304" s="354"/>
      <c r="AD304" s="354"/>
      <c r="AE304" s="354"/>
      <c r="AF304" s="354"/>
      <c r="AG304" s="354"/>
      <c r="AH304" s="354"/>
      <c r="AI304" s="354"/>
      <c r="AJ304" s="354"/>
      <c r="AK304" s="354"/>
      <c r="AL304" s="354"/>
      <c r="AM304" s="354"/>
      <c r="AN304" s="354"/>
      <c r="AO304" s="354"/>
      <c r="AP304" s="354"/>
      <c r="AQ304" s="354"/>
      <c r="AR304" s="354"/>
      <c r="AS304" s="354"/>
      <c r="AT304" s="354"/>
      <c r="AU304" s="354"/>
      <c r="AV304" s="354"/>
      <c r="AW304" s="354"/>
      <c r="AX304" s="354"/>
      <c r="AY304" s="354"/>
      <c r="AZ304" s="354"/>
    </row>
    <row r="305" spans="3:52" x14ac:dyDescent="0.25">
      <c r="C305" s="354"/>
      <c r="D305" s="354"/>
      <c r="E305" s="354"/>
      <c r="F305" s="354"/>
      <c r="G305" s="354"/>
      <c r="H305" s="354"/>
      <c r="I305" s="354"/>
      <c r="J305" s="354"/>
      <c r="K305" s="354"/>
      <c r="L305" s="354"/>
      <c r="M305" s="354"/>
      <c r="N305" s="354"/>
      <c r="O305" s="354"/>
      <c r="P305" s="354"/>
      <c r="Q305" s="354"/>
      <c r="R305" s="370"/>
      <c r="S305" s="354"/>
      <c r="T305" s="354"/>
      <c r="U305" s="354"/>
      <c r="V305" s="354"/>
      <c r="W305" s="354"/>
      <c r="X305" s="354"/>
      <c r="Y305" s="354"/>
      <c r="Z305" s="354"/>
      <c r="AA305" s="354"/>
      <c r="AB305" s="354"/>
      <c r="AC305" s="354"/>
      <c r="AD305" s="354"/>
      <c r="AE305" s="354"/>
      <c r="AF305" s="354"/>
      <c r="AG305" s="354"/>
      <c r="AH305" s="354"/>
      <c r="AI305" s="354"/>
      <c r="AJ305" s="354"/>
      <c r="AK305" s="354"/>
      <c r="AL305" s="354"/>
      <c r="AM305" s="354"/>
      <c r="AN305" s="354"/>
      <c r="AO305" s="354"/>
      <c r="AP305" s="354"/>
      <c r="AQ305" s="354"/>
      <c r="AR305" s="354"/>
      <c r="AS305" s="354"/>
      <c r="AT305" s="354"/>
      <c r="AU305" s="354"/>
      <c r="AV305" s="354"/>
      <c r="AW305" s="354"/>
      <c r="AX305" s="354"/>
      <c r="AY305" s="354"/>
      <c r="AZ305" s="354"/>
    </row>
    <row r="306" spans="3:52" x14ac:dyDescent="0.25">
      <c r="C306" s="354"/>
      <c r="D306" s="354"/>
      <c r="E306" s="354"/>
      <c r="F306" s="354"/>
      <c r="G306" s="354"/>
      <c r="H306" s="354"/>
      <c r="I306" s="354"/>
      <c r="J306" s="354"/>
      <c r="K306" s="354"/>
      <c r="L306" s="354"/>
      <c r="M306" s="354"/>
      <c r="N306" s="354"/>
      <c r="O306" s="354"/>
      <c r="P306" s="354"/>
      <c r="Q306" s="354"/>
      <c r="R306" s="370"/>
      <c r="S306" s="354"/>
      <c r="T306" s="354"/>
      <c r="U306" s="354"/>
      <c r="V306" s="354"/>
      <c r="W306" s="354"/>
      <c r="X306" s="354"/>
      <c r="Y306" s="354"/>
      <c r="Z306" s="354"/>
      <c r="AA306" s="354"/>
      <c r="AB306" s="354"/>
      <c r="AC306" s="354"/>
      <c r="AD306" s="354"/>
      <c r="AE306" s="354"/>
      <c r="AF306" s="354"/>
      <c r="AG306" s="354"/>
      <c r="AH306" s="354"/>
      <c r="AI306" s="354"/>
      <c r="AJ306" s="354"/>
      <c r="AK306" s="354"/>
      <c r="AL306" s="354"/>
      <c r="AM306" s="354"/>
      <c r="AN306" s="354"/>
      <c r="AO306" s="354"/>
      <c r="AP306" s="354"/>
      <c r="AQ306" s="354"/>
      <c r="AR306" s="354"/>
      <c r="AS306" s="354"/>
      <c r="AT306" s="354"/>
      <c r="AU306" s="354"/>
      <c r="AV306" s="354"/>
      <c r="AW306" s="354"/>
      <c r="AX306" s="354"/>
      <c r="AY306" s="354"/>
      <c r="AZ306" s="354"/>
    </row>
    <row r="307" spans="3:52" x14ac:dyDescent="0.25">
      <c r="C307" s="354"/>
      <c r="D307" s="354"/>
      <c r="E307" s="354"/>
      <c r="F307" s="354"/>
      <c r="G307" s="354"/>
      <c r="H307" s="354"/>
      <c r="I307" s="354"/>
      <c r="J307" s="354"/>
      <c r="K307" s="354"/>
      <c r="L307" s="354"/>
      <c r="M307" s="354"/>
      <c r="N307" s="354"/>
      <c r="O307" s="354"/>
      <c r="P307" s="354"/>
      <c r="Q307" s="354"/>
      <c r="R307" s="370"/>
      <c r="S307" s="354"/>
      <c r="T307" s="354"/>
      <c r="U307" s="354"/>
      <c r="V307" s="354"/>
      <c r="W307" s="354"/>
      <c r="X307" s="354"/>
      <c r="Y307" s="354"/>
      <c r="Z307" s="354"/>
      <c r="AA307" s="354"/>
      <c r="AB307" s="354"/>
      <c r="AC307" s="354"/>
      <c r="AD307" s="354"/>
      <c r="AE307" s="354"/>
      <c r="AF307" s="354"/>
      <c r="AG307" s="354"/>
      <c r="AH307" s="354"/>
      <c r="AI307" s="354"/>
      <c r="AJ307" s="354"/>
      <c r="AK307" s="354"/>
      <c r="AL307" s="354"/>
      <c r="AM307" s="354"/>
      <c r="AN307" s="354"/>
      <c r="AO307" s="354"/>
      <c r="AP307" s="354"/>
      <c r="AQ307" s="354"/>
      <c r="AR307" s="354"/>
      <c r="AS307" s="354"/>
      <c r="AT307" s="354"/>
      <c r="AU307" s="354"/>
      <c r="AV307" s="354"/>
      <c r="AW307" s="354"/>
      <c r="AX307" s="354"/>
      <c r="AY307" s="354"/>
      <c r="AZ307" s="354"/>
    </row>
    <row r="308" spans="3:52" x14ac:dyDescent="0.25">
      <c r="C308" s="354"/>
      <c r="D308" s="354"/>
      <c r="E308" s="354"/>
      <c r="F308" s="354"/>
      <c r="G308" s="354"/>
      <c r="H308" s="354"/>
      <c r="I308" s="354"/>
      <c r="J308" s="354"/>
      <c r="K308" s="354"/>
      <c r="L308" s="354"/>
      <c r="M308" s="354"/>
      <c r="N308" s="354"/>
      <c r="O308" s="354"/>
      <c r="P308" s="354"/>
      <c r="Q308" s="354"/>
      <c r="R308" s="370"/>
      <c r="S308" s="354"/>
      <c r="T308" s="354"/>
      <c r="U308" s="354"/>
      <c r="V308" s="354"/>
      <c r="W308" s="354"/>
      <c r="X308" s="354"/>
      <c r="Y308" s="354"/>
      <c r="Z308" s="354"/>
      <c r="AA308" s="354"/>
      <c r="AB308" s="354"/>
      <c r="AC308" s="354"/>
      <c r="AD308" s="354"/>
      <c r="AE308" s="354"/>
      <c r="AF308" s="354"/>
      <c r="AG308" s="354"/>
      <c r="AH308" s="354"/>
      <c r="AI308" s="354"/>
      <c r="AJ308" s="354"/>
      <c r="AK308" s="354"/>
      <c r="AL308" s="354"/>
      <c r="AM308" s="354"/>
      <c r="AN308" s="354"/>
      <c r="AO308" s="354"/>
      <c r="AP308" s="354"/>
      <c r="AQ308" s="354"/>
      <c r="AR308" s="354"/>
      <c r="AS308" s="354"/>
      <c r="AT308" s="354"/>
      <c r="AU308" s="354"/>
      <c r="AV308" s="354"/>
      <c r="AW308" s="354"/>
      <c r="AX308" s="354"/>
      <c r="AY308" s="354"/>
      <c r="AZ308" s="354"/>
    </row>
    <row r="309" spans="3:52" x14ac:dyDescent="0.25">
      <c r="C309" s="354"/>
      <c r="D309" s="354"/>
      <c r="E309" s="354"/>
      <c r="F309" s="354"/>
      <c r="G309" s="354"/>
      <c r="H309" s="354"/>
      <c r="I309" s="354"/>
      <c r="J309" s="354"/>
      <c r="K309" s="354"/>
      <c r="L309" s="354"/>
      <c r="M309" s="354"/>
      <c r="N309" s="354"/>
      <c r="O309" s="354"/>
      <c r="P309" s="354"/>
      <c r="Q309" s="354"/>
      <c r="R309" s="370"/>
      <c r="S309" s="354"/>
      <c r="T309" s="354"/>
      <c r="U309" s="354"/>
      <c r="V309" s="354"/>
      <c r="W309" s="354"/>
      <c r="X309" s="354"/>
      <c r="Y309" s="354"/>
      <c r="Z309" s="354"/>
      <c r="AA309" s="354"/>
      <c r="AB309" s="354"/>
      <c r="AC309" s="354"/>
      <c r="AD309" s="354"/>
      <c r="AE309" s="354"/>
      <c r="AF309" s="354"/>
      <c r="AG309" s="354"/>
      <c r="AH309" s="354"/>
      <c r="AI309" s="354"/>
      <c r="AJ309" s="354"/>
      <c r="AK309" s="354"/>
      <c r="AL309" s="354"/>
      <c r="AM309" s="354"/>
      <c r="AN309" s="354"/>
      <c r="AO309" s="354"/>
      <c r="AP309" s="354"/>
      <c r="AQ309" s="354"/>
      <c r="AR309" s="354"/>
      <c r="AS309" s="354"/>
      <c r="AT309" s="354"/>
      <c r="AU309" s="354"/>
      <c r="AV309" s="354"/>
      <c r="AW309" s="354"/>
      <c r="AX309" s="354"/>
      <c r="AY309" s="354"/>
      <c r="AZ309" s="354"/>
    </row>
    <row r="310" spans="3:52" x14ac:dyDescent="0.25">
      <c r="C310" s="354"/>
      <c r="D310" s="354"/>
      <c r="E310" s="354"/>
      <c r="F310" s="354"/>
      <c r="G310" s="354"/>
      <c r="H310" s="354"/>
      <c r="I310" s="354"/>
      <c r="J310" s="354"/>
      <c r="K310" s="354"/>
      <c r="L310" s="354"/>
      <c r="M310" s="354"/>
      <c r="N310" s="354"/>
      <c r="O310" s="354"/>
      <c r="P310" s="354"/>
      <c r="Q310" s="354"/>
      <c r="R310" s="370"/>
      <c r="S310" s="354"/>
      <c r="T310" s="354"/>
      <c r="U310" s="354"/>
      <c r="V310" s="354"/>
      <c r="W310" s="354"/>
      <c r="X310" s="354"/>
      <c r="Y310" s="354"/>
      <c r="Z310" s="354"/>
      <c r="AA310" s="354"/>
      <c r="AB310" s="354"/>
      <c r="AC310" s="354"/>
      <c r="AD310" s="354"/>
      <c r="AE310" s="354"/>
      <c r="AF310" s="354"/>
      <c r="AG310" s="354"/>
      <c r="AH310" s="354"/>
      <c r="AI310" s="354"/>
      <c r="AJ310" s="354"/>
      <c r="AK310" s="354"/>
      <c r="AL310" s="354"/>
      <c r="AM310" s="354"/>
      <c r="AN310" s="354"/>
      <c r="AO310" s="354"/>
      <c r="AP310" s="354"/>
      <c r="AQ310" s="354"/>
      <c r="AR310" s="354"/>
      <c r="AS310" s="354"/>
      <c r="AT310" s="354"/>
      <c r="AU310" s="354"/>
      <c r="AV310" s="354"/>
      <c r="AW310" s="354"/>
      <c r="AX310" s="354"/>
      <c r="AY310" s="354"/>
      <c r="AZ310" s="354"/>
    </row>
    <row r="311" spans="3:52" x14ac:dyDescent="0.25">
      <c r="C311" s="354"/>
      <c r="D311" s="354"/>
      <c r="E311" s="354"/>
      <c r="F311" s="354"/>
      <c r="G311" s="354"/>
      <c r="H311" s="354"/>
      <c r="I311" s="354"/>
      <c r="J311" s="354"/>
      <c r="K311" s="354"/>
      <c r="L311" s="354"/>
      <c r="M311" s="354"/>
      <c r="N311" s="354"/>
      <c r="O311" s="354"/>
      <c r="P311" s="354"/>
      <c r="Q311" s="354"/>
      <c r="R311" s="370"/>
      <c r="S311" s="354"/>
      <c r="T311" s="354"/>
      <c r="U311" s="354"/>
      <c r="V311" s="354"/>
      <c r="W311" s="354"/>
      <c r="X311" s="354"/>
      <c r="Y311" s="354"/>
      <c r="Z311" s="354"/>
      <c r="AA311" s="354"/>
      <c r="AB311" s="354"/>
      <c r="AC311" s="354"/>
      <c r="AD311" s="354"/>
      <c r="AE311" s="354"/>
      <c r="AF311" s="354"/>
      <c r="AG311" s="354"/>
      <c r="AH311" s="354"/>
      <c r="AI311" s="354"/>
      <c r="AJ311" s="354"/>
      <c r="AK311" s="354"/>
      <c r="AL311" s="354"/>
      <c r="AM311" s="354"/>
      <c r="AN311" s="354"/>
      <c r="AO311" s="354"/>
      <c r="AP311" s="354"/>
      <c r="AQ311" s="354"/>
      <c r="AR311" s="354"/>
      <c r="AS311" s="354"/>
      <c r="AT311" s="354"/>
      <c r="AU311" s="354"/>
      <c r="AV311" s="354"/>
      <c r="AW311" s="354"/>
      <c r="AX311" s="354"/>
      <c r="AY311" s="354"/>
      <c r="AZ311" s="354"/>
    </row>
    <row r="312" spans="3:52" x14ac:dyDescent="0.25">
      <c r="C312" s="354"/>
      <c r="D312" s="354"/>
      <c r="E312" s="354"/>
      <c r="F312" s="354"/>
      <c r="G312" s="354"/>
      <c r="H312" s="354"/>
      <c r="I312" s="354"/>
      <c r="J312" s="354"/>
      <c r="K312" s="354"/>
      <c r="L312" s="354"/>
      <c r="M312" s="354"/>
      <c r="N312" s="354"/>
      <c r="O312" s="354"/>
      <c r="P312" s="354"/>
      <c r="Q312" s="354"/>
      <c r="R312" s="370"/>
      <c r="S312" s="354"/>
      <c r="T312" s="354"/>
      <c r="U312" s="354"/>
      <c r="V312" s="354"/>
      <c r="W312" s="354"/>
      <c r="X312" s="354"/>
      <c r="Y312" s="354"/>
      <c r="Z312" s="354"/>
      <c r="AA312" s="354"/>
      <c r="AB312" s="354"/>
      <c r="AC312" s="354"/>
      <c r="AD312" s="354"/>
      <c r="AE312" s="354"/>
      <c r="AF312" s="354"/>
      <c r="AG312" s="354"/>
      <c r="AH312" s="354"/>
      <c r="AI312" s="354"/>
      <c r="AJ312" s="354"/>
      <c r="AK312" s="354"/>
      <c r="AL312" s="354"/>
      <c r="AM312" s="354"/>
      <c r="AN312" s="354"/>
      <c r="AO312" s="354"/>
      <c r="AP312" s="354"/>
      <c r="AQ312" s="354"/>
      <c r="AR312" s="354"/>
      <c r="AS312" s="354"/>
      <c r="AT312" s="354"/>
      <c r="AU312" s="354"/>
      <c r="AV312" s="354"/>
      <c r="AW312" s="354"/>
      <c r="AX312" s="354"/>
      <c r="AY312" s="354"/>
      <c r="AZ312" s="354"/>
    </row>
    <row r="313" spans="3:52" x14ac:dyDescent="0.25">
      <c r="C313" s="354"/>
      <c r="D313" s="354"/>
      <c r="E313" s="354"/>
      <c r="F313" s="354"/>
      <c r="G313" s="354"/>
      <c r="H313" s="354"/>
      <c r="I313" s="354"/>
      <c r="J313" s="354"/>
      <c r="K313" s="354"/>
      <c r="L313" s="354"/>
      <c r="M313" s="354"/>
      <c r="N313" s="354"/>
      <c r="O313" s="354"/>
      <c r="P313" s="354"/>
      <c r="Q313" s="354"/>
      <c r="R313" s="370"/>
      <c r="S313" s="354"/>
      <c r="T313" s="354"/>
      <c r="U313" s="354"/>
      <c r="V313" s="354"/>
      <c r="W313" s="354"/>
      <c r="X313" s="354"/>
      <c r="Y313" s="354"/>
      <c r="Z313" s="354"/>
      <c r="AA313" s="354"/>
      <c r="AB313" s="354"/>
      <c r="AC313" s="354"/>
      <c r="AD313" s="354"/>
      <c r="AE313" s="354"/>
      <c r="AF313" s="354"/>
      <c r="AG313" s="354"/>
      <c r="AH313" s="354"/>
      <c r="AI313" s="354"/>
      <c r="AJ313" s="354"/>
      <c r="AK313" s="354"/>
      <c r="AL313" s="354"/>
      <c r="AM313" s="354"/>
      <c r="AN313" s="354"/>
      <c r="AO313" s="354"/>
      <c r="AP313" s="354"/>
      <c r="AQ313" s="354"/>
      <c r="AR313" s="354"/>
      <c r="AS313" s="354"/>
      <c r="AT313" s="354"/>
      <c r="AU313" s="354"/>
      <c r="AV313" s="354"/>
      <c r="AW313" s="354"/>
      <c r="AX313" s="354"/>
      <c r="AY313" s="354"/>
      <c r="AZ313" s="354"/>
    </row>
    <row r="314" spans="3:52" x14ac:dyDescent="0.25">
      <c r="C314" s="354"/>
      <c r="D314" s="354"/>
      <c r="E314" s="354"/>
      <c r="F314" s="354"/>
      <c r="G314" s="354"/>
      <c r="H314" s="354"/>
      <c r="I314" s="354"/>
      <c r="J314" s="354"/>
      <c r="K314" s="354"/>
      <c r="L314" s="354"/>
      <c r="M314" s="354"/>
      <c r="N314" s="354"/>
      <c r="O314" s="354"/>
      <c r="P314" s="354"/>
      <c r="Q314" s="354"/>
      <c r="R314" s="370"/>
      <c r="S314" s="354"/>
      <c r="T314" s="354"/>
      <c r="U314" s="354"/>
      <c r="V314" s="354"/>
      <c r="W314" s="354"/>
      <c r="X314" s="354"/>
      <c r="Y314" s="354"/>
      <c r="Z314" s="354"/>
      <c r="AA314" s="354"/>
      <c r="AB314" s="354"/>
      <c r="AC314" s="354"/>
      <c r="AD314" s="354"/>
      <c r="AE314" s="354"/>
      <c r="AF314" s="354"/>
      <c r="AG314" s="354"/>
      <c r="AH314" s="354"/>
      <c r="AI314" s="354"/>
      <c r="AJ314" s="354"/>
      <c r="AK314" s="354"/>
      <c r="AL314" s="354"/>
      <c r="AM314" s="354"/>
      <c r="AN314" s="354"/>
      <c r="AO314" s="354"/>
      <c r="AP314" s="354"/>
      <c r="AQ314" s="354"/>
      <c r="AR314" s="354"/>
      <c r="AS314" s="354"/>
      <c r="AT314" s="354"/>
      <c r="AU314" s="354"/>
      <c r="AV314" s="354"/>
      <c r="AW314" s="354"/>
      <c r="AX314" s="354"/>
      <c r="AY314" s="354"/>
      <c r="AZ314" s="354"/>
    </row>
    <row r="315" spans="3:52" x14ac:dyDescent="0.25">
      <c r="C315" s="354"/>
      <c r="D315" s="354"/>
      <c r="E315" s="354"/>
      <c r="F315" s="354"/>
      <c r="G315" s="354"/>
      <c r="H315" s="354"/>
      <c r="I315" s="354"/>
      <c r="J315" s="354"/>
      <c r="K315" s="354"/>
      <c r="L315" s="354"/>
      <c r="M315" s="354"/>
      <c r="N315" s="354"/>
      <c r="O315" s="354"/>
      <c r="P315" s="354"/>
      <c r="Q315" s="354"/>
      <c r="R315" s="370"/>
      <c r="S315" s="354"/>
      <c r="T315" s="354"/>
      <c r="U315" s="354"/>
      <c r="V315" s="354"/>
      <c r="W315" s="354"/>
      <c r="X315" s="354"/>
      <c r="Y315" s="354"/>
      <c r="Z315" s="354"/>
      <c r="AA315" s="354"/>
      <c r="AB315" s="354"/>
      <c r="AC315" s="354"/>
      <c r="AD315" s="354"/>
      <c r="AE315" s="354"/>
      <c r="AF315" s="354"/>
      <c r="AG315" s="354"/>
      <c r="AH315" s="354"/>
      <c r="AI315" s="354"/>
      <c r="AJ315" s="354"/>
      <c r="AK315" s="354"/>
      <c r="AL315" s="354"/>
      <c r="AM315" s="354"/>
      <c r="AN315" s="354"/>
      <c r="AO315" s="354"/>
      <c r="AP315" s="354"/>
      <c r="AQ315" s="354"/>
      <c r="AR315" s="354"/>
      <c r="AS315" s="354"/>
      <c r="AT315" s="354"/>
      <c r="AU315" s="354"/>
      <c r="AV315" s="354"/>
      <c r="AW315" s="354"/>
      <c r="AX315" s="354"/>
      <c r="AY315" s="354"/>
      <c r="AZ315" s="354"/>
    </row>
    <row r="316" spans="3:52" x14ac:dyDescent="0.25">
      <c r="C316" s="354"/>
      <c r="D316" s="354"/>
      <c r="E316" s="354"/>
      <c r="F316" s="354"/>
      <c r="G316" s="354"/>
      <c r="H316" s="354"/>
      <c r="I316" s="354"/>
      <c r="J316" s="354"/>
      <c r="K316" s="354"/>
      <c r="L316" s="354"/>
      <c r="M316" s="354"/>
      <c r="N316" s="354"/>
      <c r="O316" s="354"/>
      <c r="P316" s="354"/>
      <c r="Q316" s="354"/>
      <c r="R316" s="370"/>
      <c r="S316" s="354"/>
      <c r="T316" s="354"/>
      <c r="U316" s="354"/>
      <c r="V316" s="354"/>
      <c r="W316" s="354"/>
      <c r="X316" s="354"/>
      <c r="Y316" s="354"/>
      <c r="Z316" s="354"/>
      <c r="AA316" s="354"/>
      <c r="AB316" s="354"/>
      <c r="AC316" s="354"/>
      <c r="AD316" s="354"/>
      <c r="AE316" s="354"/>
      <c r="AF316" s="354"/>
      <c r="AG316" s="354"/>
      <c r="AH316" s="354"/>
      <c r="AI316" s="354"/>
      <c r="AJ316" s="354"/>
      <c r="AK316" s="354"/>
      <c r="AL316" s="354"/>
      <c r="AM316" s="354"/>
      <c r="AN316" s="354"/>
      <c r="AO316" s="354"/>
      <c r="AP316" s="354"/>
      <c r="AQ316" s="354"/>
      <c r="AR316" s="354"/>
      <c r="AS316" s="354"/>
      <c r="AT316" s="354"/>
      <c r="AU316" s="354"/>
      <c r="AV316" s="354"/>
      <c r="AW316" s="354"/>
      <c r="AX316" s="354"/>
      <c r="AY316" s="354"/>
      <c r="AZ316" s="354"/>
    </row>
    <row r="317" spans="3:52" x14ac:dyDescent="0.25">
      <c r="C317" s="354"/>
      <c r="D317" s="354"/>
      <c r="E317" s="354"/>
      <c r="F317" s="354"/>
      <c r="G317" s="354"/>
      <c r="H317" s="354"/>
      <c r="I317" s="354"/>
      <c r="J317" s="354"/>
      <c r="K317" s="354"/>
      <c r="L317" s="354"/>
      <c r="M317" s="354"/>
      <c r="N317" s="354"/>
      <c r="O317" s="354"/>
      <c r="P317" s="354"/>
      <c r="Q317" s="354"/>
      <c r="R317" s="370"/>
      <c r="S317" s="354"/>
      <c r="T317" s="354"/>
      <c r="U317" s="354"/>
      <c r="V317" s="354"/>
      <c r="W317" s="354"/>
      <c r="X317" s="354"/>
      <c r="Y317" s="354"/>
      <c r="Z317" s="354"/>
      <c r="AA317" s="354"/>
      <c r="AB317" s="354"/>
      <c r="AC317" s="354"/>
      <c r="AD317" s="354"/>
      <c r="AE317" s="354"/>
      <c r="AF317" s="354"/>
      <c r="AG317" s="354"/>
      <c r="AH317" s="354"/>
      <c r="AI317" s="354"/>
      <c r="AJ317" s="354"/>
      <c r="AK317" s="354"/>
      <c r="AL317" s="354"/>
      <c r="AM317" s="354"/>
      <c r="AN317" s="354"/>
      <c r="AO317" s="354"/>
      <c r="AP317" s="354"/>
      <c r="AQ317" s="354"/>
      <c r="AR317" s="354"/>
      <c r="AS317" s="354"/>
      <c r="AT317" s="354"/>
      <c r="AU317" s="354"/>
      <c r="AV317" s="354"/>
      <c r="AW317" s="354"/>
      <c r="AX317" s="354"/>
      <c r="AY317" s="354"/>
      <c r="AZ317" s="354"/>
    </row>
    <row r="318" spans="3:52" x14ac:dyDescent="0.25">
      <c r="C318" s="354"/>
      <c r="D318" s="354"/>
      <c r="E318" s="354"/>
      <c r="F318" s="354"/>
      <c r="G318" s="354"/>
      <c r="H318" s="354"/>
      <c r="I318" s="354"/>
      <c r="J318" s="354"/>
      <c r="K318" s="354"/>
      <c r="L318" s="354"/>
      <c r="M318" s="354"/>
      <c r="N318" s="354"/>
      <c r="O318" s="354"/>
      <c r="P318" s="354"/>
      <c r="Q318" s="354"/>
      <c r="R318" s="370"/>
      <c r="S318" s="354"/>
      <c r="T318" s="354"/>
      <c r="U318" s="354"/>
      <c r="V318" s="354"/>
      <c r="W318" s="354"/>
      <c r="X318" s="354"/>
      <c r="Y318" s="354"/>
      <c r="Z318" s="354"/>
      <c r="AA318" s="354"/>
      <c r="AB318" s="354"/>
      <c r="AC318" s="354"/>
      <c r="AD318" s="354"/>
      <c r="AE318" s="354"/>
      <c r="AF318" s="354"/>
      <c r="AG318" s="354"/>
      <c r="AH318" s="354"/>
      <c r="AI318" s="354"/>
      <c r="AJ318" s="354"/>
      <c r="AK318" s="354"/>
      <c r="AL318" s="354"/>
      <c r="AM318" s="354"/>
      <c r="AN318" s="354"/>
      <c r="AO318" s="354"/>
      <c r="AP318" s="354"/>
      <c r="AQ318" s="354"/>
      <c r="AR318" s="354"/>
      <c r="AS318" s="354"/>
      <c r="AT318" s="354"/>
      <c r="AU318" s="354"/>
      <c r="AV318" s="354"/>
      <c r="AW318" s="354"/>
      <c r="AX318" s="354"/>
      <c r="AY318" s="354"/>
      <c r="AZ318" s="354"/>
    </row>
    <row r="319" spans="3:52" x14ac:dyDescent="0.25">
      <c r="C319" s="354"/>
      <c r="D319" s="354"/>
      <c r="E319" s="354"/>
      <c r="F319" s="354"/>
      <c r="G319" s="354"/>
      <c r="H319" s="354"/>
      <c r="I319" s="354"/>
      <c r="J319" s="354"/>
      <c r="K319" s="354"/>
      <c r="L319" s="354"/>
      <c r="M319" s="354"/>
      <c r="N319" s="354"/>
      <c r="O319" s="354"/>
      <c r="P319" s="354"/>
      <c r="Q319" s="354"/>
      <c r="R319" s="370"/>
      <c r="S319" s="354"/>
      <c r="T319" s="354"/>
      <c r="U319" s="354"/>
      <c r="V319" s="354"/>
      <c r="W319" s="354"/>
      <c r="X319" s="354"/>
      <c r="Y319" s="354"/>
      <c r="Z319" s="354"/>
      <c r="AA319" s="354"/>
      <c r="AB319" s="354"/>
      <c r="AC319" s="354"/>
      <c r="AD319" s="354"/>
      <c r="AE319" s="354"/>
      <c r="AF319" s="354"/>
      <c r="AG319" s="354"/>
      <c r="AH319" s="354"/>
      <c r="AI319" s="354"/>
      <c r="AJ319" s="354"/>
      <c r="AK319" s="354"/>
      <c r="AL319" s="354"/>
      <c r="AM319" s="354"/>
      <c r="AN319" s="354"/>
      <c r="AO319" s="354"/>
      <c r="AP319" s="354"/>
      <c r="AQ319" s="354"/>
      <c r="AR319" s="354"/>
      <c r="AS319" s="354"/>
      <c r="AT319" s="354"/>
      <c r="AU319" s="354"/>
      <c r="AV319" s="354"/>
      <c r="AW319" s="354"/>
      <c r="AX319" s="354"/>
      <c r="AY319" s="354"/>
      <c r="AZ319" s="354"/>
    </row>
    <row r="320" spans="3:52" x14ac:dyDescent="0.25">
      <c r="C320" s="354"/>
      <c r="D320" s="354"/>
      <c r="E320" s="354"/>
      <c r="F320" s="354"/>
      <c r="G320" s="354"/>
      <c r="H320" s="354"/>
      <c r="I320" s="354"/>
      <c r="J320" s="354"/>
      <c r="K320" s="354"/>
      <c r="L320" s="354"/>
      <c r="M320" s="354"/>
      <c r="N320" s="354"/>
      <c r="O320" s="354"/>
      <c r="P320" s="354"/>
      <c r="Q320" s="354"/>
      <c r="R320" s="370"/>
      <c r="S320" s="354"/>
      <c r="T320" s="354"/>
      <c r="U320" s="354"/>
      <c r="V320" s="354"/>
      <c r="W320" s="354"/>
      <c r="X320" s="354"/>
      <c r="Y320" s="354"/>
      <c r="Z320" s="354"/>
      <c r="AA320" s="354"/>
      <c r="AB320" s="354"/>
      <c r="AC320" s="354"/>
      <c r="AD320" s="354"/>
      <c r="AE320" s="354"/>
      <c r="AF320" s="354"/>
      <c r="AG320" s="354"/>
      <c r="AH320" s="354"/>
      <c r="AI320" s="354"/>
      <c r="AJ320" s="354"/>
      <c r="AK320" s="354"/>
      <c r="AL320" s="354"/>
      <c r="AM320" s="354"/>
      <c r="AN320" s="354"/>
      <c r="AO320" s="354"/>
      <c r="AP320" s="354"/>
      <c r="AQ320" s="354"/>
      <c r="AR320" s="354"/>
      <c r="AS320" s="354"/>
      <c r="AT320" s="354"/>
      <c r="AU320" s="354"/>
      <c r="AV320" s="354"/>
      <c r="AW320" s="354"/>
      <c r="AX320" s="354"/>
      <c r="AY320" s="354"/>
      <c r="AZ320" s="354"/>
    </row>
    <row r="321" spans="3:52" x14ac:dyDescent="0.25">
      <c r="C321" s="354"/>
      <c r="D321" s="354"/>
      <c r="E321" s="354"/>
      <c r="F321" s="354"/>
      <c r="G321" s="354"/>
      <c r="H321" s="354"/>
      <c r="I321" s="354"/>
      <c r="J321" s="354"/>
      <c r="K321" s="354"/>
      <c r="L321" s="354"/>
      <c r="M321" s="354"/>
      <c r="N321" s="354"/>
      <c r="O321" s="354"/>
      <c r="P321" s="354"/>
      <c r="Q321" s="354"/>
      <c r="R321" s="370"/>
      <c r="S321" s="354"/>
      <c r="T321" s="354"/>
      <c r="U321" s="354"/>
      <c r="V321" s="354"/>
      <c r="W321" s="354"/>
      <c r="X321" s="354"/>
      <c r="Y321" s="354"/>
      <c r="Z321" s="354"/>
      <c r="AA321" s="354"/>
      <c r="AB321" s="354"/>
      <c r="AC321" s="354"/>
      <c r="AD321" s="354"/>
      <c r="AE321" s="354"/>
      <c r="AF321" s="354"/>
      <c r="AG321" s="354"/>
      <c r="AH321" s="354"/>
      <c r="AI321" s="354"/>
      <c r="AJ321" s="354"/>
      <c r="AK321" s="354"/>
      <c r="AL321" s="354"/>
      <c r="AM321" s="354"/>
      <c r="AN321" s="354"/>
      <c r="AO321" s="354"/>
      <c r="AP321" s="354"/>
      <c r="AQ321" s="354"/>
      <c r="AR321" s="354"/>
      <c r="AS321" s="354"/>
      <c r="AT321" s="354"/>
      <c r="AU321" s="354"/>
      <c r="AV321" s="354"/>
      <c r="AW321" s="354"/>
      <c r="AX321" s="354"/>
      <c r="AY321" s="354"/>
      <c r="AZ321" s="354"/>
    </row>
    <row r="322" spans="3:52" x14ac:dyDescent="0.25">
      <c r="C322" s="354"/>
      <c r="D322" s="354"/>
      <c r="E322" s="354"/>
      <c r="F322" s="354"/>
      <c r="G322" s="354"/>
      <c r="H322" s="354"/>
      <c r="I322" s="354"/>
      <c r="J322" s="354"/>
      <c r="K322" s="354"/>
      <c r="L322" s="354"/>
      <c r="M322" s="354"/>
      <c r="N322" s="354"/>
      <c r="O322" s="354"/>
      <c r="P322" s="354"/>
      <c r="Q322" s="354"/>
      <c r="R322" s="370"/>
      <c r="S322" s="354"/>
      <c r="T322" s="354"/>
      <c r="U322" s="354"/>
      <c r="V322" s="354"/>
      <c r="W322" s="354"/>
      <c r="X322" s="354"/>
      <c r="Y322" s="354"/>
      <c r="Z322" s="354"/>
      <c r="AA322" s="354"/>
      <c r="AB322" s="354"/>
      <c r="AC322" s="354"/>
      <c r="AD322" s="354"/>
      <c r="AE322" s="354"/>
      <c r="AF322" s="354"/>
      <c r="AG322" s="354"/>
      <c r="AH322" s="354"/>
      <c r="AI322" s="354"/>
      <c r="AJ322" s="354"/>
      <c r="AK322" s="354"/>
      <c r="AL322" s="354"/>
      <c r="AM322" s="354"/>
      <c r="AN322" s="354"/>
      <c r="AO322" s="354"/>
      <c r="AP322" s="354"/>
      <c r="AQ322" s="354"/>
      <c r="AR322" s="354"/>
      <c r="AS322" s="354"/>
      <c r="AT322" s="354"/>
      <c r="AU322" s="354"/>
      <c r="AV322" s="354"/>
      <c r="AW322" s="354"/>
      <c r="AX322" s="354"/>
      <c r="AY322" s="354"/>
      <c r="AZ322" s="354"/>
    </row>
    <row r="323" spans="3:52" x14ac:dyDescent="0.25">
      <c r="C323" s="354"/>
      <c r="D323" s="354"/>
      <c r="E323" s="354"/>
      <c r="F323" s="354"/>
      <c r="G323" s="354"/>
      <c r="H323" s="354"/>
      <c r="I323" s="354"/>
      <c r="J323" s="354"/>
      <c r="K323" s="354"/>
      <c r="L323" s="354"/>
      <c r="M323" s="354"/>
      <c r="N323" s="354"/>
      <c r="O323" s="354"/>
      <c r="P323" s="354"/>
      <c r="Q323" s="354"/>
      <c r="R323" s="370"/>
      <c r="S323" s="354"/>
      <c r="T323" s="354"/>
      <c r="U323" s="354"/>
      <c r="V323" s="354"/>
      <c r="W323" s="354"/>
      <c r="X323" s="354"/>
      <c r="Y323" s="354"/>
      <c r="Z323" s="354"/>
      <c r="AA323" s="354"/>
      <c r="AB323" s="354"/>
      <c r="AC323" s="354"/>
      <c r="AD323" s="354"/>
      <c r="AE323" s="354"/>
      <c r="AF323" s="354"/>
      <c r="AG323" s="354"/>
      <c r="AH323" s="354"/>
      <c r="AI323" s="354"/>
      <c r="AJ323" s="354"/>
      <c r="AK323" s="354"/>
      <c r="AL323" s="354"/>
      <c r="AM323" s="354"/>
      <c r="AN323" s="354"/>
      <c r="AO323" s="354"/>
      <c r="AP323" s="354"/>
      <c r="AQ323" s="354"/>
      <c r="AR323" s="354"/>
      <c r="AS323" s="354"/>
      <c r="AT323" s="354"/>
      <c r="AU323" s="354"/>
      <c r="AV323" s="354"/>
      <c r="AW323" s="354"/>
      <c r="AX323" s="354"/>
      <c r="AY323" s="354"/>
      <c r="AZ323" s="354"/>
    </row>
    <row r="324" spans="3:52" x14ac:dyDescent="0.25">
      <c r="C324" s="354"/>
      <c r="D324" s="354"/>
      <c r="E324" s="354"/>
      <c r="F324" s="354"/>
      <c r="G324" s="354"/>
      <c r="H324" s="354"/>
      <c r="I324" s="354"/>
      <c r="J324" s="354"/>
      <c r="K324" s="354"/>
      <c r="L324" s="354"/>
      <c r="M324" s="354"/>
      <c r="N324" s="354"/>
      <c r="O324" s="354"/>
      <c r="P324" s="354"/>
      <c r="Q324" s="354"/>
      <c r="R324" s="370"/>
      <c r="S324" s="354"/>
      <c r="T324" s="354"/>
      <c r="U324" s="354"/>
      <c r="V324" s="354"/>
      <c r="W324" s="354"/>
      <c r="X324" s="354"/>
      <c r="Y324" s="354"/>
      <c r="Z324" s="354"/>
      <c r="AA324" s="354"/>
      <c r="AB324" s="354"/>
      <c r="AC324" s="354"/>
      <c r="AD324" s="354"/>
      <c r="AE324" s="354"/>
      <c r="AF324" s="354"/>
      <c r="AG324" s="354"/>
      <c r="AH324" s="354"/>
      <c r="AI324" s="354"/>
      <c r="AJ324" s="354"/>
      <c r="AK324" s="354"/>
      <c r="AL324" s="354"/>
      <c r="AM324" s="354"/>
      <c r="AN324" s="354"/>
      <c r="AO324" s="354"/>
      <c r="AP324" s="354"/>
      <c r="AQ324" s="354"/>
      <c r="AR324" s="354"/>
      <c r="AS324" s="354"/>
      <c r="AT324" s="354"/>
      <c r="AU324" s="354"/>
      <c r="AV324" s="354"/>
      <c r="AW324" s="354"/>
      <c r="AX324" s="354"/>
      <c r="AY324" s="354"/>
      <c r="AZ324" s="354"/>
    </row>
    <row r="325" spans="3:52" x14ac:dyDescent="0.25">
      <c r="C325" s="354"/>
      <c r="D325" s="354"/>
      <c r="E325" s="354"/>
      <c r="F325" s="354"/>
      <c r="G325" s="354"/>
      <c r="H325" s="354"/>
      <c r="I325" s="354"/>
      <c r="J325" s="354"/>
      <c r="K325" s="354"/>
      <c r="L325" s="354"/>
      <c r="M325" s="354"/>
      <c r="N325" s="354"/>
      <c r="O325" s="354"/>
      <c r="P325" s="354"/>
      <c r="Q325" s="354"/>
      <c r="R325" s="370"/>
      <c r="S325" s="354"/>
      <c r="T325" s="354"/>
      <c r="U325" s="354"/>
      <c r="V325" s="354"/>
      <c r="W325" s="354"/>
      <c r="X325" s="354"/>
      <c r="Y325" s="354"/>
      <c r="Z325" s="354"/>
      <c r="AA325" s="354"/>
      <c r="AB325" s="354"/>
      <c r="AC325" s="354"/>
      <c r="AD325" s="354"/>
      <c r="AE325" s="354"/>
      <c r="AF325" s="354"/>
      <c r="AG325" s="354"/>
      <c r="AH325" s="354"/>
      <c r="AI325" s="354"/>
      <c r="AJ325" s="354"/>
      <c r="AK325" s="354"/>
      <c r="AL325" s="354"/>
      <c r="AM325" s="354"/>
      <c r="AN325" s="354"/>
      <c r="AO325" s="354"/>
      <c r="AP325" s="354"/>
      <c r="AQ325" s="354"/>
      <c r="AR325" s="354"/>
      <c r="AS325" s="354"/>
      <c r="AT325" s="354"/>
      <c r="AU325" s="354"/>
      <c r="AV325" s="354"/>
      <c r="AW325" s="354"/>
      <c r="AX325" s="354"/>
      <c r="AY325" s="354"/>
      <c r="AZ325" s="354"/>
    </row>
    <row r="326" spans="3:52" x14ac:dyDescent="0.25">
      <c r="C326" s="354"/>
      <c r="D326" s="354"/>
      <c r="E326" s="354"/>
      <c r="F326" s="354"/>
      <c r="G326" s="354"/>
      <c r="H326" s="354"/>
      <c r="I326" s="354"/>
      <c r="J326" s="354"/>
      <c r="K326" s="354"/>
      <c r="L326" s="354"/>
      <c r="M326" s="354"/>
      <c r="N326" s="354"/>
      <c r="O326" s="354"/>
      <c r="P326" s="354"/>
      <c r="Q326" s="354"/>
      <c r="R326" s="370"/>
      <c r="S326" s="354"/>
      <c r="T326" s="354"/>
      <c r="U326" s="354"/>
      <c r="V326" s="354"/>
      <c r="W326" s="354"/>
      <c r="X326" s="354"/>
      <c r="Y326" s="354"/>
      <c r="Z326" s="354"/>
      <c r="AA326" s="354"/>
      <c r="AB326" s="354"/>
      <c r="AC326" s="354"/>
      <c r="AD326" s="354"/>
      <c r="AE326" s="354"/>
      <c r="AF326" s="354"/>
      <c r="AG326" s="354"/>
      <c r="AH326" s="354"/>
      <c r="AI326" s="354"/>
      <c r="AJ326" s="354"/>
      <c r="AK326" s="354"/>
      <c r="AL326" s="354"/>
      <c r="AM326" s="354"/>
      <c r="AN326" s="354"/>
      <c r="AO326" s="354"/>
      <c r="AP326" s="354"/>
      <c r="AQ326" s="354"/>
      <c r="AR326" s="354"/>
      <c r="AS326" s="354"/>
      <c r="AT326" s="354"/>
      <c r="AU326" s="354"/>
      <c r="AV326" s="354"/>
      <c r="AW326" s="354"/>
      <c r="AX326" s="354"/>
      <c r="AY326" s="354"/>
      <c r="AZ326" s="354"/>
    </row>
    <row r="327" spans="3:52" x14ac:dyDescent="0.25">
      <c r="C327" s="354"/>
      <c r="D327" s="354"/>
      <c r="E327" s="354"/>
      <c r="F327" s="354"/>
      <c r="G327" s="354"/>
      <c r="H327" s="354"/>
      <c r="I327" s="354"/>
      <c r="J327" s="354"/>
      <c r="K327" s="354"/>
      <c r="L327" s="354"/>
      <c r="M327" s="354"/>
      <c r="N327" s="354"/>
      <c r="O327" s="354"/>
      <c r="P327" s="354"/>
      <c r="Q327" s="354"/>
      <c r="R327" s="370"/>
      <c r="S327" s="354"/>
      <c r="T327" s="354"/>
      <c r="U327" s="354"/>
      <c r="V327" s="354"/>
      <c r="W327" s="354"/>
      <c r="X327" s="354"/>
      <c r="Y327" s="354"/>
      <c r="Z327" s="354"/>
      <c r="AA327" s="354"/>
      <c r="AB327" s="354"/>
      <c r="AC327" s="354"/>
      <c r="AD327" s="354"/>
      <c r="AE327" s="354"/>
      <c r="AF327" s="354"/>
      <c r="AG327" s="354"/>
      <c r="AH327" s="354"/>
      <c r="AI327" s="354"/>
      <c r="AJ327" s="354"/>
      <c r="AK327" s="354"/>
      <c r="AL327" s="354"/>
      <c r="AM327" s="354"/>
      <c r="AN327" s="354"/>
      <c r="AO327" s="354"/>
      <c r="AP327" s="354"/>
      <c r="AQ327" s="354"/>
      <c r="AR327" s="354"/>
      <c r="AS327" s="354"/>
      <c r="AT327" s="354"/>
      <c r="AU327" s="354"/>
      <c r="AV327" s="354"/>
      <c r="AW327" s="354"/>
      <c r="AX327" s="354"/>
      <c r="AY327" s="354"/>
      <c r="AZ327" s="354"/>
    </row>
    <row r="328" spans="3:52" x14ac:dyDescent="0.25">
      <c r="C328" s="354"/>
      <c r="D328" s="354"/>
      <c r="E328" s="354"/>
      <c r="F328" s="354"/>
      <c r="G328" s="354"/>
      <c r="H328" s="354"/>
      <c r="I328" s="354"/>
      <c r="J328" s="354"/>
      <c r="K328" s="354"/>
      <c r="L328" s="354"/>
      <c r="M328" s="354"/>
      <c r="N328" s="354"/>
      <c r="O328" s="354"/>
      <c r="P328" s="354"/>
      <c r="Q328" s="354"/>
      <c r="R328" s="370"/>
      <c r="S328" s="354"/>
      <c r="T328" s="354"/>
      <c r="U328" s="354"/>
      <c r="V328" s="354"/>
      <c r="W328" s="354"/>
      <c r="X328" s="354"/>
      <c r="Y328" s="354"/>
      <c r="Z328" s="354"/>
      <c r="AA328" s="354"/>
      <c r="AB328" s="354"/>
      <c r="AC328" s="354"/>
      <c r="AD328" s="354"/>
      <c r="AE328" s="354"/>
      <c r="AF328" s="354"/>
      <c r="AG328" s="354"/>
      <c r="AH328" s="354"/>
      <c r="AI328" s="354"/>
      <c r="AJ328" s="354"/>
      <c r="AK328" s="354"/>
      <c r="AL328" s="354"/>
      <c r="AM328" s="354"/>
      <c r="AN328" s="354"/>
      <c r="AO328" s="354"/>
      <c r="AP328" s="354"/>
      <c r="AQ328" s="354"/>
      <c r="AR328" s="354"/>
      <c r="AS328" s="354"/>
      <c r="AT328" s="354"/>
      <c r="AU328" s="354"/>
      <c r="AV328" s="354"/>
      <c r="AW328" s="354"/>
      <c r="AX328" s="354"/>
      <c r="AY328" s="354"/>
      <c r="AZ328" s="354"/>
    </row>
    <row r="329" spans="3:52" x14ac:dyDescent="0.25">
      <c r="C329" s="354"/>
      <c r="D329" s="354"/>
      <c r="E329" s="354"/>
      <c r="F329" s="354"/>
      <c r="G329" s="354"/>
      <c r="H329" s="354"/>
      <c r="I329" s="354"/>
      <c r="J329" s="354"/>
      <c r="K329" s="354"/>
      <c r="L329" s="354"/>
      <c r="M329" s="354"/>
      <c r="N329" s="354"/>
      <c r="O329" s="354"/>
      <c r="P329" s="354"/>
      <c r="Q329" s="354"/>
      <c r="R329" s="370"/>
      <c r="S329" s="354"/>
      <c r="T329" s="354"/>
      <c r="U329" s="354"/>
      <c r="V329" s="354"/>
      <c r="W329" s="354"/>
      <c r="X329" s="354"/>
      <c r="Y329" s="354"/>
      <c r="Z329" s="354"/>
      <c r="AA329" s="354"/>
      <c r="AB329" s="354"/>
      <c r="AC329" s="354"/>
      <c r="AD329" s="354"/>
      <c r="AE329" s="354"/>
      <c r="AF329" s="354"/>
      <c r="AG329" s="354"/>
      <c r="AH329" s="354"/>
      <c r="AI329" s="354"/>
      <c r="AJ329" s="354"/>
      <c r="AK329" s="354"/>
      <c r="AL329" s="354"/>
      <c r="AM329" s="354"/>
      <c r="AN329" s="354"/>
      <c r="AO329" s="354"/>
      <c r="AP329" s="354"/>
      <c r="AQ329" s="354"/>
      <c r="AR329" s="354"/>
      <c r="AS329" s="354"/>
      <c r="AT329" s="354"/>
      <c r="AU329" s="354"/>
      <c r="AV329" s="354"/>
      <c r="AW329" s="354"/>
      <c r="AX329" s="354"/>
      <c r="AY329" s="354"/>
      <c r="AZ329" s="354"/>
    </row>
    <row r="330" spans="3:52" x14ac:dyDescent="0.25">
      <c r="C330" s="354"/>
      <c r="D330" s="354"/>
      <c r="E330" s="354"/>
      <c r="F330" s="354"/>
      <c r="G330" s="354"/>
      <c r="H330" s="354"/>
      <c r="I330" s="354"/>
      <c r="J330" s="354"/>
      <c r="K330" s="354"/>
      <c r="L330" s="354"/>
      <c r="M330" s="354"/>
      <c r="N330" s="354"/>
      <c r="O330" s="354"/>
      <c r="P330" s="354"/>
      <c r="Q330" s="354"/>
      <c r="R330" s="370"/>
      <c r="S330" s="354"/>
      <c r="T330" s="354"/>
      <c r="U330" s="354"/>
      <c r="V330" s="354"/>
      <c r="W330" s="354"/>
      <c r="X330" s="354"/>
      <c r="Y330" s="354"/>
      <c r="Z330" s="354"/>
      <c r="AA330" s="354"/>
      <c r="AB330" s="354"/>
      <c r="AC330" s="354"/>
      <c r="AD330" s="354"/>
      <c r="AE330" s="354"/>
      <c r="AF330" s="354"/>
      <c r="AG330" s="354"/>
      <c r="AH330" s="354"/>
      <c r="AI330" s="354"/>
      <c r="AJ330" s="354"/>
      <c r="AK330" s="354"/>
      <c r="AL330" s="354"/>
      <c r="AM330" s="354"/>
      <c r="AN330" s="354"/>
      <c r="AO330" s="354"/>
      <c r="AP330" s="354"/>
      <c r="AQ330" s="354"/>
      <c r="AR330" s="354"/>
      <c r="AS330" s="354"/>
      <c r="AT330" s="354"/>
      <c r="AU330" s="354"/>
      <c r="AV330" s="354"/>
      <c r="AW330" s="354"/>
      <c r="AX330" s="354"/>
      <c r="AY330" s="354"/>
      <c r="AZ330" s="354"/>
    </row>
    <row r="331" spans="3:52" x14ac:dyDescent="0.25">
      <c r="C331" s="354"/>
      <c r="D331" s="354"/>
      <c r="E331" s="354"/>
      <c r="F331" s="354"/>
      <c r="G331" s="354"/>
      <c r="H331" s="354"/>
      <c r="I331" s="354"/>
      <c r="J331" s="354"/>
      <c r="K331" s="354"/>
      <c r="L331" s="354"/>
      <c r="M331" s="354"/>
      <c r="N331" s="354"/>
      <c r="O331" s="354"/>
      <c r="P331" s="354"/>
      <c r="Q331" s="354"/>
      <c r="R331" s="370"/>
      <c r="S331" s="354"/>
      <c r="T331" s="354"/>
      <c r="U331" s="354"/>
      <c r="V331" s="354"/>
      <c r="W331" s="354"/>
      <c r="X331" s="354"/>
      <c r="Y331" s="354"/>
      <c r="Z331" s="354"/>
      <c r="AA331" s="354"/>
      <c r="AB331" s="354"/>
      <c r="AC331" s="354"/>
      <c r="AD331" s="354"/>
      <c r="AE331" s="354"/>
      <c r="AF331" s="354"/>
      <c r="AG331" s="354"/>
      <c r="AH331" s="354"/>
      <c r="AI331" s="354"/>
      <c r="AJ331" s="354"/>
      <c r="AK331" s="354"/>
      <c r="AL331" s="354"/>
      <c r="AM331" s="354"/>
      <c r="AN331" s="354"/>
      <c r="AO331" s="354"/>
      <c r="AP331" s="354"/>
      <c r="AQ331" s="354"/>
      <c r="AR331" s="354"/>
      <c r="AS331" s="354"/>
      <c r="AT331" s="354"/>
      <c r="AU331" s="354"/>
      <c r="AV331" s="354"/>
      <c r="AW331" s="354"/>
      <c r="AX331" s="354"/>
      <c r="AY331" s="354"/>
      <c r="AZ331" s="354"/>
    </row>
    <row r="332" spans="3:52" x14ac:dyDescent="0.25">
      <c r="C332" s="354"/>
      <c r="D332" s="354"/>
      <c r="E332" s="354"/>
      <c r="F332" s="354"/>
      <c r="G332" s="354"/>
      <c r="H332" s="354"/>
      <c r="I332" s="354"/>
      <c r="J332" s="354"/>
      <c r="K332" s="354"/>
      <c r="L332" s="354"/>
      <c r="M332" s="354"/>
      <c r="N332" s="354"/>
      <c r="O332" s="354"/>
      <c r="P332" s="354"/>
      <c r="Q332" s="354"/>
      <c r="R332" s="370"/>
      <c r="S332" s="354"/>
      <c r="T332" s="354"/>
      <c r="U332" s="354"/>
      <c r="V332" s="354"/>
      <c r="W332" s="354"/>
      <c r="X332" s="354"/>
      <c r="Y332" s="354"/>
      <c r="Z332" s="354"/>
      <c r="AA332" s="354"/>
      <c r="AB332" s="354"/>
      <c r="AC332" s="354"/>
      <c r="AD332" s="354"/>
      <c r="AE332" s="354"/>
      <c r="AF332" s="354"/>
      <c r="AG332" s="354"/>
      <c r="AH332" s="354"/>
      <c r="AI332" s="354"/>
      <c r="AJ332" s="354"/>
      <c r="AK332" s="354"/>
      <c r="AL332" s="354"/>
      <c r="AM332" s="354"/>
      <c r="AN332" s="354"/>
      <c r="AO332" s="354"/>
      <c r="AP332" s="354"/>
      <c r="AQ332" s="354"/>
      <c r="AR332" s="354"/>
      <c r="AS332" s="354"/>
      <c r="AT332" s="354"/>
      <c r="AU332" s="354"/>
      <c r="AV332" s="354"/>
      <c r="AW332" s="354"/>
      <c r="AX332" s="354"/>
      <c r="AY332" s="354"/>
      <c r="AZ332" s="354"/>
    </row>
    <row r="333" spans="3:52" x14ac:dyDescent="0.25">
      <c r="C333" s="354"/>
      <c r="D333" s="354"/>
      <c r="E333" s="354"/>
      <c r="F333" s="354"/>
      <c r="G333" s="354"/>
      <c r="H333" s="354"/>
      <c r="I333" s="354"/>
      <c r="J333" s="354"/>
      <c r="K333" s="354"/>
      <c r="L333" s="354"/>
      <c r="M333" s="354"/>
      <c r="N333" s="354"/>
      <c r="O333" s="354"/>
      <c r="P333" s="354"/>
      <c r="Q333" s="354"/>
      <c r="R333" s="370"/>
      <c r="S333" s="354"/>
      <c r="T333" s="354"/>
      <c r="U333" s="354"/>
      <c r="V333" s="354"/>
      <c r="W333" s="354"/>
      <c r="X333" s="354"/>
      <c r="Y333" s="354"/>
      <c r="Z333" s="354"/>
      <c r="AA333" s="354"/>
      <c r="AB333" s="354"/>
      <c r="AC333" s="354"/>
      <c r="AD333" s="354"/>
      <c r="AE333" s="354"/>
      <c r="AF333" s="354"/>
      <c r="AG333" s="354"/>
      <c r="AH333" s="354"/>
      <c r="AI333" s="354"/>
      <c r="AJ333" s="354"/>
      <c r="AK333" s="354"/>
      <c r="AL333" s="354"/>
      <c r="AM333" s="354"/>
      <c r="AN333" s="354"/>
      <c r="AO333" s="354"/>
      <c r="AP333" s="354"/>
      <c r="AQ333" s="354"/>
      <c r="AR333" s="354"/>
      <c r="AS333" s="354"/>
      <c r="AT333" s="354"/>
      <c r="AU333" s="354"/>
      <c r="AV333" s="354"/>
      <c r="AW333" s="354"/>
      <c r="AX333" s="354"/>
      <c r="AY333" s="354"/>
      <c r="AZ333" s="354"/>
    </row>
    <row r="334" spans="3:52" x14ac:dyDescent="0.25">
      <c r="C334" s="354"/>
      <c r="D334" s="354"/>
      <c r="E334" s="354"/>
      <c r="F334" s="354"/>
      <c r="G334" s="354"/>
      <c r="H334" s="354"/>
      <c r="I334" s="354"/>
      <c r="J334" s="354"/>
      <c r="K334" s="354"/>
      <c r="L334" s="354"/>
      <c r="M334" s="354"/>
      <c r="N334" s="354"/>
      <c r="O334" s="354"/>
      <c r="P334" s="354"/>
      <c r="Q334" s="354"/>
      <c r="R334" s="370"/>
      <c r="S334" s="354"/>
      <c r="T334" s="354"/>
      <c r="U334" s="354"/>
      <c r="V334" s="354"/>
      <c r="W334" s="354"/>
      <c r="X334" s="354"/>
      <c r="Y334" s="354"/>
      <c r="Z334" s="354"/>
      <c r="AA334" s="354"/>
      <c r="AB334" s="354"/>
      <c r="AC334" s="354"/>
      <c r="AD334" s="354"/>
      <c r="AE334" s="354"/>
      <c r="AF334" s="354"/>
      <c r="AG334" s="354"/>
      <c r="AH334" s="354"/>
      <c r="AI334" s="354"/>
      <c r="AJ334" s="354"/>
      <c r="AK334" s="354"/>
      <c r="AL334" s="354"/>
      <c r="AM334" s="354"/>
      <c r="AN334" s="354"/>
      <c r="AO334" s="354"/>
      <c r="AP334" s="354"/>
      <c r="AQ334" s="354"/>
      <c r="AR334" s="354"/>
      <c r="AS334" s="354"/>
      <c r="AT334" s="354"/>
      <c r="AU334" s="354"/>
      <c r="AV334" s="354"/>
      <c r="AW334" s="354"/>
      <c r="AX334" s="354"/>
      <c r="AY334" s="354"/>
      <c r="AZ334" s="354"/>
    </row>
    <row r="335" spans="3:52" x14ac:dyDescent="0.25">
      <c r="C335" s="354"/>
      <c r="D335" s="354"/>
      <c r="E335" s="354"/>
      <c r="F335" s="354"/>
      <c r="G335" s="354"/>
      <c r="H335" s="354"/>
      <c r="I335" s="354"/>
      <c r="J335" s="354"/>
      <c r="K335" s="354"/>
      <c r="L335" s="354"/>
      <c r="M335" s="354"/>
      <c r="N335" s="354"/>
      <c r="O335" s="354"/>
      <c r="P335" s="354"/>
      <c r="Q335" s="354"/>
      <c r="R335" s="370"/>
      <c r="S335" s="354"/>
      <c r="T335" s="354"/>
      <c r="U335" s="354"/>
      <c r="V335" s="354"/>
      <c r="W335" s="354"/>
      <c r="X335" s="354"/>
      <c r="Y335" s="354"/>
      <c r="Z335" s="354"/>
      <c r="AA335" s="354"/>
      <c r="AB335" s="354"/>
      <c r="AC335" s="354"/>
      <c r="AD335" s="354"/>
      <c r="AE335" s="354"/>
      <c r="AF335" s="354"/>
      <c r="AG335" s="354"/>
      <c r="AH335" s="354"/>
      <c r="AI335" s="354"/>
      <c r="AJ335" s="354"/>
      <c r="AK335" s="354"/>
      <c r="AL335" s="354"/>
      <c r="AM335" s="354"/>
      <c r="AN335" s="354"/>
      <c r="AO335" s="354"/>
      <c r="AP335" s="354"/>
      <c r="AQ335" s="354"/>
      <c r="AR335" s="354"/>
      <c r="AS335" s="354"/>
      <c r="AT335" s="354"/>
      <c r="AU335" s="354"/>
      <c r="AV335" s="354"/>
      <c r="AW335" s="354"/>
      <c r="AX335" s="354"/>
      <c r="AY335" s="354"/>
      <c r="AZ335" s="354"/>
    </row>
    <row r="336" spans="3:52" x14ac:dyDescent="0.25">
      <c r="C336" s="354"/>
      <c r="D336" s="354"/>
      <c r="E336" s="354"/>
      <c r="F336" s="354"/>
      <c r="G336" s="354"/>
      <c r="H336" s="354"/>
      <c r="I336" s="354"/>
      <c r="J336" s="354"/>
      <c r="K336" s="354"/>
      <c r="L336" s="354"/>
      <c r="M336" s="354"/>
      <c r="N336" s="354"/>
      <c r="O336" s="354"/>
      <c r="P336" s="354"/>
      <c r="Q336" s="354"/>
      <c r="R336" s="370"/>
      <c r="S336" s="354"/>
      <c r="T336" s="354"/>
      <c r="U336" s="354"/>
      <c r="V336" s="354"/>
      <c r="W336" s="354"/>
      <c r="X336" s="354"/>
      <c r="Y336" s="354"/>
      <c r="Z336" s="354"/>
      <c r="AA336" s="354"/>
      <c r="AB336" s="354"/>
      <c r="AC336" s="354"/>
      <c r="AD336" s="354"/>
      <c r="AE336" s="354"/>
      <c r="AF336" s="354"/>
      <c r="AG336" s="354"/>
      <c r="AH336" s="354"/>
      <c r="AI336" s="354"/>
      <c r="AJ336" s="354"/>
      <c r="AK336" s="354"/>
      <c r="AL336" s="354"/>
      <c r="AM336" s="354"/>
      <c r="AN336" s="354"/>
      <c r="AO336" s="354"/>
      <c r="AP336" s="354"/>
      <c r="AQ336" s="354"/>
      <c r="AR336" s="354"/>
      <c r="AS336" s="354"/>
      <c r="AT336" s="354"/>
      <c r="AU336" s="354"/>
      <c r="AV336" s="354"/>
      <c r="AW336" s="354"/>
      <c r="AX336" s="354"/>
      <c r="AY336" s="354"/>
      <c r="AZ336" s="354"/>
    </row>
    <row r="337" spans="3:52" x14ac:dyDescent="0.25">
      <c r="C337" s="354"/>
      <c r="D337" s="354"/>
      <c r="E337" s="354"/>
      <c r="F337" s="354"/>
      <c r="G337" s="354"/>
      <c r="H337" s="354"/>
      <c r="I337" s="354"/>
      <c r="J337" s="354"/>
      <c r="K337" s="354"/>
      <c r="L337" s="354"/>
      <c r="M337" s="354"/>
      <c r="N337" s="354"/>
      <c r="O337" s="354"/>
      <c r="P337" s="354"/>
      <c r="Q337" s="354"/>
      <c r="R337" s="370"/>
      <c r="S337" s="354"/>
      <c r="T337" s="354"/>
      <c r="U337" s="354"/>
      <c r="V337" s="354"/>
      <c r="W337" s="354"/>
      <c r="X337" s="354"/>
      <c r="Y337" s="354"/>
      <c r="Z337" s="354"/>
      <c r="AA337" s="354"/>
      <c r="AB337" s="354"/>
      <c r="AC337" s="354"/>
      <c r="AD337" s="354"/>
      <c r="AE337" s="354"/>
      <c r="AF337" s="354"/>
      <c r="AG337" s="354"/>
      <c r="AH337" s="354"/>
      <c r="AI337" s="354"/>
      <c r="AJ337" s="354"/>
      <c r="AK337" s="354"/>
      <c r="AL337" s="354"/>
      <c r="AM337" s="354"/>
      <c r="AN337" s="354"/>
      <c r="AO337" s="354"/>
      <c r="AP337" s="354"/>
      <c r="AQ337" s="354"/>
      <c r="AR337" s="354"/>
      <c r="AS337" s="354"/>
      <c r="AT337" s="354"/>
      <c r="AU337" s="354"/>
      <c r="AV337" s="354"/>
      <c r="AW337" s="354"/>
      <c r="AX337" s="354"/>
      <c r="AY337" s="354"/>
      <c r="AZ337" s="354"/>
    </row>
    <row r="338" spans="3:52" x14ac:dyDescent="0.25">
      <c r="C338" s="354"/>
      <c r="D338" s="354"/>
      <c r="E338" s="354"/>
      <c r="F338" s="354"/>
      <c r="G338" s="354"/>
      <c r="H338" s="354"/>
      <c r="I338" s="354"/>
      <c r="J338" s="354"/>
      <c r="K338" s="354"/>
      <c r="L338" s="354"/>
      <c r="M338" s="354"/>
      <c r="N338" s="354"/>
      <c r="O338" s="354"/>
      <c r="P338" s="354"/>
      <c r="Q338" s="354"/>
      <c r="R338" s="370"/>
      <c r="S338" s="354"/>
      <c r="T338" s="354"/>
      <c r="U338" s="354"/>
      <c r="V338" s="354"/>
      <c r="W338" s="354"/>
      <c r="X338" s="354"/>
      <c r="Y338" s="354"/>
      <c r="Z338" s="354"/>
      <c r="AA338" s="354"/>
      <c r="AB338" s="354"/>
      <c r="AC338" s="354"/>
      <c r="AD338" s="354"/>
      <c r="AE338" s="354"/>
      <c r="AF338" s="354"/>
      <c r="AG338" s="354"/>
      <c r="AH338" s="354"/>
      <c r="AI338" s="354"/>
      <c r="AJ338" s="354"/>
      <c r="AK338" s="354"/>
      <c r="AL338" s="354"/>
      <c r="AM338" s="354"/>
      <c r="AN338" s="354"/>
      <c r="AO338" s="354"/>
      <c r="AP338" s="354"/>
      <c r="AQ338" s="354"/>
      <c r="AR338" s="354"/>
      <c r="AS338" s="354"/>
      <c r="AT338" s="354"/>
      <c r="AU338" s="354"/>
      <c r="AV338" s="354"/>
      <c r="AW338" s="354"/>
      <c r="AX338" s="354"/>
      <c r="AY338" s="354"/>
      <c r="AZ338" s="354"/>
    </row>
    <row r="339" spans="3:52" x14ac:dyDescent="0.25">
      <c r="C339" s="354"/>
      <c r="D339" s="354"/>
      <c r="E339" s="354"/>
      <c r="F339" s="354"/>
      <c r="G339" s="354"/>
      <c r="H339" s="354"/>
      <c r="I339" s="354"/>
      <c r="J339" s="354"/>
      <c r="K339" s="354"/>
      <c r="L339" s="354"/>
      <c r="M339" s="354"/>
      <c r="N339" s="354"/>
      <c r="O339" s="354"/>
      <c r="P339" s="354"/>
      <c r="Q339" s="354"/>
      <c r="R339" s="370"/>
      <c r="S339" s="354"/>
      <c r="T339" s="354"/>
      <c r="U339" s="354"/>
      <c r="V339" s="354"/>
      <c r="W339" s="354"/>
      <c r="X339" s="354"/>
      <c r="Y339" s="354"/>
      <c r="Z339" s="354"/>
      <c r="AA339" s="354"/>
      <c r="AB339" s="354"/>
      <c r="AC339" s="354"/>
      <c r="AD339" s="354"/>
      <c r="AE339" s="354"/>
      <c r="AF339" s="354"/>
      <c r="AG339" s="354"/>
      <c r="AH339" s="354"/>
      <c r="AI339" s="354"/>
      <c r="AJ339" s="354"/>
      <c r="AK339" s="354"/>
      <c r="AL339" s="354"/>
      <c r="AM339" s="354"/>
      <c r="AN339" s="354"/>
      <c r="AO339" s="354"/>
      <c r="AP339" s="354"/>
      <c r="AQ339" s="354"/>
      <c r="AR339" s="354"/>
      <c r="AS339" s="354"/>
      <c r="AT339" s="354"/>
      <c r="AU339" s="354"/>
      <c r="AV339" s="354"/>
      <c r="AW339" s="354"/>
      <c r="AX339" s="354"/>
      <c r="AY339" s="354"/>
      <c r="AZ339" s="354"/>
    </row>
    <row r="340" spans="3:52" x14ac:dyDescent="0.25">
      <c r="C340" s="354"/>
      <c r="D340" s="354"/>
      <c r="E340" s="354"/>
      <c r="F340" s="354"/>
      <c r="G340" s="354"/>
      <c r="H340" s="354"/>
      <c r="I340" s="354"/>
      <c r="J340" s="354"/>
      <c r="K340" s="354"/>
      <c r="L340" s="354"/>
      <c r="M340" s="354"/>
      <c r="N340" s="354"/>
      <c r="O340" s="354"/>
      <c r="P340" s="354"/>
      <c r="Q340" s="354"/>
      <c r="R340" s="370"/>
      <c r="S340" s="354"/>
      <c r="T340" s="354"/>
      <c r="U340" s="354"/>
      <c r="V340" s="354"/>
      <c r="W340" s="354"/>
      <c r="X340" s="354"/>
      <c r="Y340" s="354"/>
      <c r="Z340" s="354"/>
      <c r="AA340" s="354"/>
      <c r="AB340" s="354"/>
      <c r="AC340" s="354"/>
      <c r="AD340" s="354"/>
      <c r="AE340" s="354"/>
      <c r="AF340" s="354"/>
      <c r="AG340" s="354"/>
      <c r="AH340" s="354"/>
      <c r="AI340" s="354"/>
      <c r="AJ340" s="354"/>
      <c r="AK340" s="354"/>
      <c r="AL340" s="354"/>
      <c r="AM340" s="354"/>
      <c r="AN340" s="354"/>
      <c r="AO340" s="354"/>
      <c r="AP340" s="354"/>
      <c r="AQ340" s="354"/>
      <c r="AR340" s="354"/>
      <c r="AS340" s="354"/>
      <c r="AT340" s="354"/>
      <c r="AU340" s="354"/>
      <c r="AV340" s="354"/>
      <c r="AW340" s="354"/>
      <c r="AX340" s="354"/>
      <c r="AY340" s="354"/>
      <c r="AZ340" s="354"/>
    </row>
    <row r="341" spans="3:52" x14ac:dyDescent="0.25">
      <c r="C341" s="354"/>
      <c r="D341" s="354"/>
      <c r="E341" s="354"/>
      <c r="F341" s="354"/>
      <c r="G341" s="354"/>
      <c r="H341" s="354"/>
      <c r="I341" s="354"/>
      <c r="J341" s="354"/>
      <c r="K341" s="354"/>
      <c r="L341" s="354"/>
      <c r="M341" s="354"/>
      <c r="N341" s="354"/>
      <c r="O341" s="354"/>
      <c r="P341" s="354"/>
      <c r="Q341" s="354"/>
      <c r="R341" s="370"/>
      <c r="S341" s="354"/>
      <c r="T341" s="354"/>
      <c r="U341" s="354"/>
      <c r="V341" s="354"/>
      <c r="W341" s="354"/>
      <c r="X341" s="354"/>
      <c r="Y341" s="354"/>
      <c r="Z341" s="354"/>
      <c r="AA341" s="354"/>
      <c r="AB341" s="354"/>
      <c r="AC341" s="354"/>
      <c r="AD341" s="354"/>
      <c r="AE341" s="354"/>
      <c r="AF341" s="354"/>
      <c r="AG341" s="354"/>
      <c r="AH341" s="354"/>
      <c r="AI341" s="354"/>
      <c r="AJ341" s="354"/>
      <c r="AK341" s="354"/>
      <c r="AL341" s="354"/>
      <c r="AM341" s="354"/>
      <c r="AN341" s="354"/>
      <c r="AO341" s="354"/>
      <c r="AP341" s="354"/>
      <c r="AQ341" s="354"/>
      <c r="AR341" s="354"/>
      <c r="AS341" s="354"/>
      <c r="AT341" s="354"/>
      <c r="AU341" s="354"/>
      <c r="AV341" s="354"/>
      <c r="AW341" s="354"/>
      <c r="AX341" s="354"/>
      <c r="AY341" s="354"/>
      <c r="AZ341" s="354"/>
    </row>
    <row r="342" spans="3:52" x14ac:dyDescent="0.25">
      <c r="C342" s="354"/>
      <c r="D342" s="354"/>
      <c r="E342" s="354"/>
      <c r="F342" s="354"/>
      <c r="G342" s="354"/>
      <c r="H342" s="354"/>
      <c r="I342" s="354"/>
      <c r="J342" s="354"/>
      <c r="K342" s="354"/>
      <c r="L342" s="354"/>
      <c r="M342" s="354"/>
      <c r="N342" s="354"/>
      <c r="O342" s="354"/>
      <c r="P342" s="354"/>
      <c r="Q342" s="354"/>
      <c r="R342" s="370"/>
      <c r="S342" s="354"/>
      <c r="T342" s="354"/>
      <c r="U342" s="354"/>
      <c r="V342" s="354"/>
      <c r="W342" s="354"/>
      <c r="X342" s="354"/>
      <c r="Y342" s="354"/>
      <c r="Z342" s="354"/>
      <c r="AA342" s="354"/>
      <c r="AB342" s="354"/>
      <c r="AC342" s="354"/>
      <c r="AD342" s="354"/>
      <c r="AE342" s="354"/>
      <c r="AF342" s="354"/>
      <c r="AG342" s="354"/>
      <c r="AH342" s="354"/>
      <c r="AI342" s="354"/>
      <c r="AJ342" s="354"/>
      <c r="AK342" s="354"/>
      <c r="AL342" s="354"/>
      <c r="AM342" s="354"/>
      <c r="AN342" s="354"/>
      <c r="AO342" s="354"/>
      <c r="AP342" s="354"/>
      <c r="AQ342" s="354"/>
      <c r="AR342" s="354"/>
      <c r="AS342" s="354"/>
      <c r="AT342" s="354"/>
      <c r="AU342" s="354"/>
      <c r="AV342" s="354"/>
      <c r="AW342" s="354"/>
      <c r="AX342" s="354"/>
      <c r="AY342" s="354"/>
      <c r="AZ342" s="354"/>
    </row>
    <row r="343" spans="3:52" x14ac:dyDescent="0.25">
      <c r="C343" s="354"/>
      <c r="D343" s="354"/>
      <c r="E343" s="354"/>
      <c r="F343" s="354"/>
      <c r="G343" s="354"/>
      <c r="H343" s="354"/>
      <c r="I343" s="354"/>
      <c r="J343" s="354"/>
      <c r="K343" s="354"/>
      <c r="L343" s="354"/>
      <c r="M343" s="354"/>
      <c r="N343" s="354"/>
      <c r="O343" s="354"/>
      <c r="P343" s="354"/>
      <c r="Q343" s="354"/>
      <c r="R343" s="370"/>
      <c r="S343" s="354"/>
      <c r="T343" s="354"/>
      <c r="U343" s="354"/>
      <c r="V343" s="354"/>
      <c r="W343" s="354"/>
      <c r="X343" s="354"/>
      <c r="Y343" s="354"/>
      <c r="Z343" s="354"/>
      <c r="AA343" s="354"/>
      <c r="AB343" s="354"/>
      <c r="AC343" s="354"/>
      <c r="AD343" s="354"/>
      <c r="AE343" s="354"/>
      <c r="AF343" s="354"/>
      <c r="AG343" s="354"/>
      <c r="AH343" s="354"/>
      <c r="AI343" s="354"/>
      <c r="AJ343" s="354"/>
      <c r="AK343" s="354"/>
      <c r="AL343" s="354"/>
      <c r="AM343" s="354"/>
      <c r="AN343" s="354"/>
      <c r="AO343" s="354"/>
      <c r="AP343" s="354"/>
      <c r="AQ343" s="354"/>
      <c r="AR343" s="354"/>
      <c r="AS343" s="354"/>
      <c r="AT343" s="354"/>
      <c r="AU343" s="354"/>
      <c r="AV343" s="354"/>
      <c r="AW343" s="354"/>
      <c r="AX343" s="354"/>
      <c r="AY343" s="354"/>
      <c r="AZ343" s="354"/>
    </row>
    <row r="344" spans="3:52" x14ac:dyDescent="0.25">
      <c r="C344" s="354"/>
      <c r="D344" s="354"/>
      <c r="E344" s="354"/>
      <c r="F344" s="354"/>
      <c r="G344" s="354"/>
      <c r="H344" s="354"/>
      <c r="I344" s="354"/>
      <c r="J344" s="354"/>
      <c r="K344" s="354"/>
      <c r="L344" s="354"/>
      <c r="M344" s="354"/>
      <c r="N344" s="354"/>
      <c r="O344" s="354"/>
      <c r="P344" s="354"/>
      <c r="Q344" s="354"/>
      <c r="R344" s="370"/>
      <c r="S344" s="354"/>
      <c r="T344" s="354"/>
      <c r="U344" s="354"/>
      <c r="V344" s="354"/>
      <c r="W344" s="354"/>
      <c r="X344" s="354"/>
      <c r="Y344" s="354"/>
      <c r="Z344" s="354"/>
      <c r="AA344" s="354"/>
      <c r="AB344" s="354"/>
      <c r="AC344" s="354"/>
      <c r="AD344" s="354"/>
      <c r="AE344" s="354"/>
      <c r="AF344" s="354"/>
      <c r="AG344" s="354"/>
      <c r="AH344" s="354"/>
      <c r="AI344" s="354"/>
      <c r="AJ344" s="354"/>
      <c r="AK344" s="354"/>
      <c r="AL344" s="354"/>
      <c r="AM344" s="354"/>
      <c r="AN344" s="354"/>
      <c r="AO344" s="354"/>
      <c r="AP344" s="354"/>
      <c r="AQ344" s="354"/>
      <c r="AR344" s="354"/>
      <c r="AS344" s="354"/>
      <c r="AT344" s="354"/>
      <c r="AU344" s="354"/>
      <c r="AV344" s="354"/>
      <c r="AW344" s="354"/>
      <c r="AX344" s="354"/>
      <c r="AY344" s="354"/>
      <c r="AZ344" s="354"/>
    </row>
    <row r="345" spans="3:52" x14ac:dyDescent="0.25">
      <c r="C345" s="354"/>
      <c r="D345" s="354"/>
      <c r="E345" s="354"/>
      <c r="F345" s="354"/>
      <c r="G345" s="354"/>
      <c r="H345" s="354"/>
      <c r="I345" s="354"/>
      <c r="J345" s="354"/>
      <c r="K345" s="354"/>
      <c r="L345" s="354"/>
      <c r="M345" s="354"/>
      <c r="N345" s="354"/>
      <c r="O345" s="354"/>
      <c r="P345" s="354"/>
      <c r="Q345" s="354"/>
      <c r="R345" s="370"/>
      <c r="S345" s="354"/>
      <c r="T345" s="354"/>
      <c r="U345" s="354"/>
      <c r="V345" s="354"/>
      <c r="W345" s="354"/>
      <c r="X345" s="354"/>
      <c r="Y345" s="354"/>
      <c r="Z345" s="354"/>
      <c r="AA345" s="354"/>
      <c r="AB345" s="354"/>
      <c r="AC345" s="354"/>
      <c r="AD345" s="354"/>
      <c r="AE345" s="354"/>
      <c r="AF345" s="354"/>
      <c r="AG345" s="354"/>
      <c r="AH345" s="354"/>
      <c r="AI345" s="354"/>
      <c r="AJ345" s="354"/>
      <c r="AK345" s="354"/>
      <c r="AL345" s="354"/>
      <c r="AM345" s="354"/>
      <c r="AN345" s="354"/>
      <c r="AO345" s="354"/>
      <c r="AP345" s="354"/>
      <c r="AQ345" s="354"/>
      <c r="AR345" s="354"/>
      <c r="AS345" s="354"/>
      <c r="AT345" s="354"/>
      <c r="AU345" s="354"/>
      <c r="AV345" s="354"/>
      <c r="AW345" s="354"/>
      <c r="AX345" s="354"/>
      <c r="AY345" s="354"/>
      <c r="AZ345" s="354"/>
    </row>
    <row r="346" spans="3:52" x14ac:dyDescent="0.25">
      <c r="C346" s="354"/>
      <c r="D346" s="354"/>
      <c r="E346" s="354"/>
      <c r="F346" s="354"/>
      <c r="G346" s="354"/>
      <c r="H346" s="354"/>
      <c r="I346" s="354"/>
      <c r="J346" s="354"/>
      <c r="K346" s="354"/>
      <c r="L346" s="354"/>
      <c r="M346" s="354"/>
      <c r="N346" s="354"/>
      <c r="O346" s="354"/>
      <c r="P346" s="354"/>
      <c r="Q346" s="354"/>
      <c r="R346" s="370"/>
      <c r="S346" s="354"/>
      <c r="T346" s="354"/>
      <c r="U346" s="354"/>
      <c r="V346" s="354"/>
      <c r="W346" s="354"/>
      <c r="X346" s="354"/>
      <c r="Y346" s="354"/>
      <c r="Z346" s="354"/>
      <c r="AA346" s="354"/>
      <c r="AB346" s="354"/>
      <c r="AC346" s="354"/>
      <c r="AD346" s="354"/>
      <c r="AE346" s="354"/>
      <c r="AF346" s="354"/>
      <c r="AG346" s="354"/>
      <c r="AH346" s="354"/>
      <c r="AI346" s="354"/>
      <c r="AJ346" s="354"/>
      <c r="AK346" s="354"/>
      <c r="AL346" s="354"/>
      <c r="AM346" s="354"/>
      <c r="AN346" s="354"/>
      <c r="AO346" s="354"/>
      <c r="AP346" s="354"/>
      <c r="AQ346" s="354"/>
      <c r="AR346" s="354"/>
      <c r="AS346" s="354"/>
      <c r="AT346" s="354"/>
      <c r="AU346" s="354"/>
      <c r="AV346" s="354"/>
      <c r="AW346" s="354"/>
      <c r="AX346" s="354"/>
      <c r="AY346" s="354"/>
      <c r="AZ346" s="354"/>
    </row>
    <row r="347" spans="3:52" x14ac:dyDescent="0.25">
      <c r="C347" s="354"/>
      <c r="D347" s="354"/>
      <c r="E347" s="354"/>
      <c r="F347" s="354"/>
      <c r="G347" s="354"/>
      <c r="H347" s="354"/>
      <c r="I347" s="354"/>
      <c r="J347" s="354"/>
      <c r="K347" s="354"/>
      <c r="L347" s="354"/>
      <c r="M347" s="354"/>
      <c r="N347" s="354"/>
      <c r="O347" s="354"/>
      <c r="P347" s="354"/>
      <c r="Q347" s="354"/>
      <c r="R347" s="370"/>
      <c r="S347" s="354"/>
      <c r="T347" s="354"/>
      <c r="U347" s="354"/>
      <c r="V347" s="354"/>
      <c r="W347" s="354"/>
      <c r="X347" s="354"/>
      <c r="Y347" s="354"/>
      <c r="Z347" s="354"/>
      <c r="AA347" s="354"/>
      <c r="AB347" s="354"/>
      <c r="AC347" s="354"/>
      <c r="AD347" s="354"/>
      <c r="AE347" s="354"/>
      <c r="AF347" s="354"/>
      <c r="AG347" s="354"/>
      <c r="AH347" s="354"/>
      <c r="AI347" s="354"/>
      <c r="AJ347" s="354"/>
      <c r="AK347" s="354"/>
      <c r="AL347" s="354"/>
      <c r="AM347" s="354"/>
      <c r="AN347" s="354"/>
      <c r="AO347" s="354"/>
      <c r="AP347" s="354"/>
      <c r="AQ347" s="354"/>
      <c r="AR347" s="354"/>
      <c r="AS347" s="354"/>
      <c r="AT347" s="354"/>
      <c r="AU347" s="354"/>
      <c r="AV347" s="354"/>
      <c r="AW347" s="354"/>
      <c r="AX347" s="354"/>
      <c r="AY347" s="354"/>
      <c r="AZ347" s="354"/>
    </row>
    <row r="348" spans="3:52" x14ac:dyDescent="0.25">
      <c r="C348" s="354"/>
      <c r="D348" s="354"/>
      <c r="E348" s="354"/>
      <c r="F348" s="354"/>
      <c r="G348" s="354"/>
      <c r="H348" s="354"/>
      <c r="I348" s="354"/>
      <c r="J348" s="354"/>
      <c r="K348" s="354"/>
      <c r="L348" s="354"/>
      <c r="M348" s="354"/>
      <c r="N348" s="354"/>
      <c r="O348" s="354"/>
      <c r="P348" s="354"/>
      <c r="Q348" s="354"/>
      <c r="R348" s="370"/>
      <c r="S348" s="354"/>
      <c r="T348" s="354"/>
      <c r="U348" s="354"/>
      <c r="V348" s="354"/>
      <c r="W348" s="354"/>
      <c r="X348" s="354"/>
      <c r="Y348" s="354"/>
      <c r="Z348" s="354"/>
      <c r="AA348" s="354"/>
      <c r="AB348" s="354"/>
      <c r="AC348" s="354"/>
      <c r="AD348" s="354"/>
      <c r="AE348" s="354"/>
      <c r="AF348" s="354"/>
      <c r="AG348" s="354"/>
      <c r="AH348" s="354"/>
      <c r="AI348" s="354"/>
      <c r="AJ348" s="354"/>
      <c r="AK348" s="354"/>
      <c r="AL348" s="354"/>
      <c r="AM348" s="354"/>
      <c r="AN348" s="354"/>
      <c r="AO348" s="354"/>
      <c r="AP348" s="354"/>
      <c r="AQ348" s="354"/>
      <c r="AR348" s="354"/>
      <c r="AS348" s="354"/>
      <c r="AT348" s="354"/>
      <c r="AU348" s="354"/>
      <c r="AV348" s="354"/>
      <c r="AW348" s="354"/>
      <c r="AX348" s="354"/>
      <c r="AY348" s="354"/>
      <c r="AZ348" s="354"/>
    </row>
    <row r="349" spans="3:52" x14ac:dyDescent="0.25">
      <c r="C349" s="354"/>
      <c r="D349" s="354"/>
      <c r="E349" s="354"/>
      <c r="F349" s="354"/>
      <c r="G349" s="354"/>
      <c r="H349" s="354"/>
      <c r="I349" s="354"/>
      <c r="J349" s="354"/>
      <c r="K349" s="354"/>
      <c r="L349" s="354"/>
      <c r="M349" s="354"/>
      <c r="N349" s="354"/>
      <c r="O349" s="354"/>
      <c r="P349" s="354"/>
      <c r="Q349" s="354"/>
      <c r="R349" s="370"/>
      <c r="S349" s="354"/>
      <c r="T349" s="354"/>
      <c r="U349" s="354"/>
      <c r="V349" s="354"/>
      <c r="W349" s="354"/>
      <c r="X349" s="354"/>
      <c r="Y349" s="354"/>
      <c r="Z349" s="354"/>
      <c r="AA349" s="354"/>
      <c r="AB349" s="354"/>
      <c r="AC349" s="354"/>
      <c r="AD349" s="354"/>
      <c r="AE349" s="354"/>
      <c r="AF349" s="354"/>
      <c r="AG349" s="354"/>
      <c r="AH349" s="354"/>
      <c r="AI349" s="354"/>
      <c r="AJ349" s="354"/>
      <c r="AK349" s="354"/>
      <c r="AL349" s="354"/>
      <c r="AM349" s="354"/>
      <c r="AN349" s="354"/>
      <c r="AO349" s="354"/>
      <c r="AP349" s="354"/>
      <c r="AQ349" s="354"/>
      <c r="AR349" s="354"/>
      <c r="AS349" s="354"/>
      <c r="AT349" s="354"/>
      <c r="AU349" s="354"/>
      <c r="AV349" s="354"/>
      <c r="AW349" s="354"/>
      <c r="AX349" s="354"/>
      <c r="AY349" s="354"/>
      <c r="AZ349" s="354"/>
    </row>
    <row r="350" spans="3:52" x14ac:dyDescent="0.25">
      <c r="C350" s="354"/>
      <c r="D350" s="354"/>
      <c r="E350" s="354"/>
      <c r="F350" s="354"/>
      <c r="G350" s="354"/>
      <c r="H350" s="354"/>
      <c r="I350" s="354"/>
      <c r="J350" s="354"/>
      <c r="K350" s="354"/>
      <c r="L350" s="354"/>
      <c r="M350" s="354"/>
      <c r="N350" s="354"/>
      <c r="O350" s="354"/>
      <c r="P350" s="354"/>
      <c r="Q350" s="354"/>
      <c r="R350" s="370"/>
      <c r="S350" s="354"/>
      <c r="T350" s="354"/>
      <c r="U350" s="354"/>
      <c r="V350" s="354"/>
      <c r="W350" s="354"/>
      <c r="X350" s="354"/>
      <c r="Y350" s="354"/>
      <c r="Z350" s="354"/>
      <c r="AA350" s="354"/>
      <c r="AB350" s="354"/>
      <c r="AC350" s="354"/>
      <c r="AD350" s="354"/>
      <c r="AE350" s="354"/>
      <c r="AF350" s="354"/>
      <c r="AG350" s="354"/>
      <c r="AH350" s="354"/>
      <c r="AI350" s="354"/>
      <c r="AJ350" s="354"/>
      <c r="AK350" s="354"/>
      <c r="AL350" s="354"/>
      <c r="AM350" s="354"/>
      <c r="AN350" s="354"/>
      <c r="AO350" s="354"/>
      <c r="AP350" s="354"/>
      <c r="AQ350" s="354"/>
      <c r="AR350" s="354"/>
      <c r="AS350" s="354"/>
      <c r="AT350" s="354"/>
      <c r="AU350" s="354"/>
      <c r="AV350" s="354"/>
      <c r="AW350" s="354"/>
      <c r="AX350" s="354"/>
      <c r="AY350" s="354"/>
      <c r="AZ350" s="354"/>
    </row>
    <row r="351" spans="3:52" x14ac:dyDescent="0.25">
      <c r="C351" s="354"/>
      <c r="D351" s="354"/>
      <c r="E351" s="354"/>
      <c r="F351" s="354"/>
      <c r="G351" s="354"/>
      <c r="H351" s="354"/>
      <c r="I351" s="354"/>
      <c r="J351" s="354"/>
      <c r="K351" s="354"/>
      <c r="L351" s="354"/>
      <c r="M351" s="354"/>
      <c r="N351" s="354"/>
      <c r="O351" s="354"/>
      <c r="P351" s="354"/>
      <c r="Q351" s="354"/>
      <c r="R351" s="370"/>
      <c r="S351" s="354"/>
      <c r="T351" s="354"/>
      <c r="U351" s="354"/>
      <c r="V351" s="354"/>
      <c r="W351" s="354"/>
      <c r="X351" s="354"/>
      <c r="Y351" s="354"/>
      <c r="Z351" s="354"/>
      <c r="AA351" s="354"/>
      <c r="AB351" s="354"/>
      <c r="AC351" s="354"/>
      <c r="AD351" s="354"/>
      <c r="AE351" s="354"/>
      <c r="AF351" s="354"/>
      <c r="AG351" s="354"/>
      <c r="AH351" s="354"/>
      <c r="AI351" s="354"/>
      <c r="AJ351" s="354"/>
      <c r="AK351" s="354"/>
      <c r="AL351" s="354"/>
      <c r="AM351" s="354"/>
      <c r="AN351" s="354"/>
      <c r="AO351" s="354"/>
      <c r="AP351" s="354"/>
      <c r="AQ351" s="354"/>
      <c r="AR351" s="354"/>
      <c r="AS351" s="354"/>
      <c r="AT351" s="354"/>
      <c r="AU351" s="354"/>
      <c r="AV351" s="354"/>
      <c r="AW351" s="354"/>
      <c r="AX351" s="354"/>
      <c r="AY351" s="354"/>
      <c r="AZ351" s="354"/>
    </row>
    <row r="352" spans="3:52" x14ac:dyDescent="0.25">
      <c r="C352" s="354"/>
      <c r="D352" s="354"/>
      <c r="E352" s="354"/>
      <c r="F352" s="354"/>
      <c r="G352" s="354"/>
      <c r="H352" s="354"/>
      <c r="I352" s="354"/>
      <c r="J352" s="354"/>
      <c r="K352" s="354"/>
      <c r="L352" s="354"/>
      <c r="M352" s="354"/>
      <c r="N352" s="354"/>
      <c r="O352" s="354"/>
      <c r="P352" s="354"/>
      <c r="Q352" s="354"/>
      <c r="R352" s="370"/>
      <c r="S352" s="354"/>
      <c r="T352" s="354"/>
      <c r="U352" s="354"/>
      <c r="V352" s="354"/>
      <c r="W352" s="354"/>
      <c r="X352" s="354"/>
      <c r="Y352" s="354"/>
      <c r="Z352" s="354"/>
      <c r="AA352" s="354"/>
      <c r="AB352" s="354"/>
      <c r="AC352" s="354"/>
      <c r="AD352" s="354"/>
      <c r="AE352" s="354"/>
      <c r="AF352" s="354"/>
      <c r="AG352" s="354"/>
      <c r="AH352" s="354"/>
      <c r="AI352" s="354"/>
      <c r="AJ352" s="354"/>
      <c r="AK352" s="354"/>
      <c r="AL352" s="354"/>
      <c r="AM352" s="354"/>
      <c r="AN352" s="354"/>
      <c r="AO352" s="354"/>
      <c r="AP352" s="354"/>
      <c r="AQ352" s="354"/>
      <c r="AR352" s="354"/>
      <c r="AS352" s="354"/>
      <c r="AT352" s="354"/>
      <c r="AU352" s="354"/>
      <c r="AV352" s="354"/>
      <c r="AW352" s="354"/>
      <c r="AX352" s="354"/>
      <c r="AY352" s="354"/>
      <c r="AZ352" s="354"/>
    </row>
    <row r="353" spans="3:52" x14ac:dyDescent="0.25">
      <c r="C353" s="354"/>
      <c r="D353" s="354"/>
      <c r="E353" s="354"/>
      <c r="F353" s="354"/>
      <c r="G353" s="354"/>
      <c r="H353" s="354"/>
      <c r="I353" s="354"/>
      <c r="J353" s="354"/>
      <c r="K353" s="354"/>
      <c r="L353" s="354"/>
      <c r="M353" s="354"/>
      <c r="N353" s="354"/>
      <c r="O353" s="354"/>
      <c r="P353" s="354"/>
      <c r="Q353" s="354"/>
      <c r="R353" s="370"/>
      <c r="S353" s="354"/>
      <c r="T353" s="354"/>
      <c r="U353" s="354"/>
      <c r="V353" s="354"/>
      <c r="W353" s="354"/>
      <c r="X353" s="354"/>
      <c r="Y353" s="354"/>
      <c r="Z353" s="354"/>
      <c r="AA353" s="354"/>
      <c r="AB353" s="354"/>
      <c r="AC353" s="354"/>
      <c r="AD353" s="354"/>
      <c r="AE353" s="354"/>
      <c r="AF353" s="354"/>
      <c r="AG353" s="354"/>
      <c r="AH353" s="354"/>
      <c r="AI353" s="354"/>
      <c r="AJ353" s="354"/>
      <c r="AK353" s="354"/>
      <c r="AL353" s="354"/>
      <c r="AM353" s="354"/>
      <c r="AN353" s="354"/>
      <c r="AO353" s="354"/>
      <c r="AP353" s="354"/>
      <c r="AQ353" s="354"/>
      <c r="AR353" s="354"/>
      <c r="AS353" s="354"/>
      <c r="AT353" s="354"/>
      <c r="AU353" s="354"/>
      <c r="AV353" s="354"/>
      <c r="AW353" s="354"/>
      <c r="AX353" s="354"/>
      <c r="AY353" s="354"/>
      <c r="AZ353" s="354"/>
    </row>
    <row r="354" spans="3:52" x14ac:dyDescent="0.25">
      <c r="C354" s="354"/>
      <c r="D354" s="354"/>
      <c r="E354" s="354"/>
      <c r="F354" s="354"/>
      <c r="G354" s="354"/>
      <c r="H354" s="354"/>
      <c r="I354" s="354"/>
      <c r="J354" s="354"/>
      <c r="K354" s="354"/>
      <c r="L354" s="354"/>
      <c r="M354" s="354"/>
      <c r="N354" s="354"/>
      <c r="O354" s="354"/>
      <c r="P354" s="354"/>
      <c r="Q354" s="354"/>
      <c r="R354" s="370"/>
      <c r="S354" s="354"/>
      <c r="T354" s="354"/>
      <c r="U354" s="354"/>
      <c r="V354" s="354"/>
      <c r="W354" s="354"/>
      <c r="X354" s="354"/>
      <c r="Y354" s="354"/>
      <c r="Z354" s="354"/>
      <c r="AA354" s="354"/>
      <c r="AB354" s="354"/>
      <c r="AC354" s="354"/>
      <c r="AD354" s="354"/>
      <c r="AE354" s="354"/>
      <c r="AF354" s="354"/>
      <c r="AG354" s="354"/>
      <c r="AH354" s="354"/>
      <c r="AI354" s="354"/>
      <c r="AJ354" s="354"/>
      <c r="AK354" s="354"/>
      <c r="AL354" s="354"/>
      <c r="AM354" s="354"/>
      <c r="AN354" s="354"/>
      <c r="AO354" s="354"/>
      <c r="AP354" s="354"/>
      <c r="AQ354" s="354"/>
      <c r="AR354" s="354"/>
      <c r="AS354" s="354"/>
      <c r="AT354" s="354"/>
      <c r="AU354" s="354"/>
      <c r="AV354" s="354"/>
      <c r="AW354" s="354"/>
      <c r="AX354" s="354"/>
      <c r="AY354" s="354"/>
      <c r="AZ354" s="354"/>
    </row>
    <row r="355" spans="3:52" x14ac:dyDescent="0.25">
      <c r="C355" s="354"/>
      <c r="D355" s="354"/>
      <c r="E355" s="354"/>
      <c r="F355" s="354"/>
      <c r="G355" s="354"/>
      <c r="H355" s="354"/>
      <c r="I355" s="354"/>
      <c r="J355" s="354"/>
      <c r="K355" s="354"/>
      <c r="L355" s="354"/>
      <c r="M355" s="354"/>
      <c r="N355" s="354"/>
      <c r="O355" s="354"/>
      <c r="P355" s="354"/>
      <c r="Q355" s="354"/>
      <c r="R355" s="370"/>
      <c r="S355" s="354"/>
      <c r="T355" s="354"/>
      <c r="U355" s="354"/>
      <c r="V355" s="354"/>
      <c r="W355" s="354"/>
      <c r="X355" s="354"/>
      <c r="Y355" s="354"/>
      <c r="Z355" s="354"/>
      <c r="AA355" s="354"/>
      <c r="AB355" s="354"/>
      <c r="AC355" s="354"/>
      <c r="AD355" s="354"/>
      <c r="AE355" s="354"/>
      <c r="AF355" s="354"/>
      <c r="AG355" s="354"/>
      <c r="AH355" s="354"/>
      <c r="AI355" s="354"/>
      <c r="AJ355" s="354"/>
      <c r="AK355" s="354"/>
      <c r="AL355" s="354"/>
      <c r="AM355" s="354"/>
      <c r="AN355" s="354"/>
      <c r="AO355" s="354"/>
      <c r="AP355" s="354"/>
      <c r="AQ355" s="354"/>
      <c r="AR355" s="354"/>
      <c r="AS355" s="354"/>
      <c r="AT355" s="354"/>
      <c r="AU355" s="354"/>
      <c r="AV355" s="354"/>
      <c r="AW355" s="354"/>
      <c r="AX355" s="354"/>
      <c r="AY355" s="354"/>
      <c r="AZ355" s="354"/>
    </row>
    <row r="356" spans="3:52" x14ac:dyDescent="0.25">
      <c r="C356" s="354"/>
      <c r="D356" s="354"/>
      <c r="E356" s="354"/>
      <c r="F356" s="354"/>
      <c r="G356" s="354"/>
      <c r="H356" s="354"/>
      <c r="I356" s="354"/>
      <c r="J356" s="354"/>
      <c r="K356" s="354"/>
      <c r="L356" s="354"/>
      <c r="M356" s="354"/>
      <c r="N356" s="354"/>
      <c r="O356" s="354"/>
      <c r="P356" s="354"/>
      <c r="Q356" s="354"/>
      <c r="R356" s="370"/>
      <c r="S356" s="354"/>
      <c r="T356" s="354"/>
      <c r="U356" s="354"/>
      <c r="V356" s="354"/>
      <c r="W356" s="354"/>
      <c r="X356" s="354"/>
      <c r="Y356" s="354"/>
      <c r="Z356" s="354"/>
      <c r="AA356" s="354"/>
      <c r="AB356" s="354"/>
      <c r="AC356" s="354"/>
      <c r="AD356" s="354"/>
      <c r="AE356" s="354"/>
      <c r="AF356" s="354"/>
      <c r="AG356" s="354"/>
      <c r="AH356" s="354"/>
      <c r="AI356" s="354"/>
      <c r="AJ356" s="354"/>
      <c r="AK356" s="354"/>
      <c r="AL356" s="354"/>
      <c r="AM356" s="354"/>
      <c r="AN356" s="354"/>
      <c r="AO356" s="354"/>
      <c r="AP356" s="354"/>
      <c r="AQ356" s="354"/>
      <c r="AR356" s="354"/>
      <c r="AS356" s="354"/>
      <c r="AT356" s="354"/>
      <c r="AU356" s="354"/>
      <c r="AV356" s="354"/>
      <c r="AW356" s="354"/>
      <c r="AX356" s="354"/>
      <c r="AY356" s="354"/>
      <c r="AZ356" s="354"/>
    </row>
    <row r="357" spans="3:52" x14ac:dyDescent="0.25">
      <c r="C357" s="354"/>
      <c r="D357" s="354"/>
      <c r="E357" s="354"/>
      <c r="F357" s="354"/>
      <c r="G357" s="354"/>
      <c r="H357" s="354"/>
      <c r="I357" s="354"/>
      <c r="J357" s="354"/>
      <c r="K357" s="354"/>
      <c r="L357" s="354"/>
      <c r="M357" s="354"/>
      <c r="N357" s="354"/>
      <c r="O357" s="354"/>
      <c r="P357" s="354"/>
      <c r="Q357" s="354"/>
      <c r="R357" s="370"/>
      <c r="S357" s="354"/>
      <c r="T357" s="354"/>
      <c r="U357" s="354"/>
      <c r="V357" s="354"/>
      <c r="W357" s="354"/>
      <c r="X357" s="354"/>
      <c r="Y357" s="354"/>
      <c r="Z357" s="354"/>
      <c r="AA357" s="354"/>
      <c r="AB357" s="354"/>
      <c r="AC357" s="354"/>
      <c r="AD357" s="354"/>
      <c r="AE357" s="354"/>
      <c r="AF357" s="354"/>
      <c r="AG357" s="354"/>
      <c r="AH357" s="354"/>
      <c r="AI357" s="354"/>
      <c r="AJ357" s="354"/>
      <c r="AK357" s="354"/>
      <c r="AL357" s="354"/>
      <c r="AM357" s="354"/>
      <c r="AN357" s="354"/>
      <c r="AO357" s="354"/>
      <c r="AP357" s="354"/>
      <c r="AQ357" s="354"/>
      <c r="AR357" s="354"/>
      <c r="AS357" s="354"/>
      <c r="AT357" s="354"/>
      <c r="AU357" s="354"/>
      <c r="AV357" s="354"/>
      <c r="AW357" s="354"/>
      <c r="AX357" s="354"/>
      <c r="AY357" s="354"/>
      <c r="AZ357" s="354"/>
    </row>
    <row r="358" spans="3:52" x14ac:dyDescent="0.25">
      <c r="C358" s="354"/>
      <c r="D358" s="354"/>
      <c r="E358" s="354"/>
      <c r="F358" s="354"/>
      <c r="G358" s="354"/>
      <c r="H358" s="354"/>
      <c r="I358" s="354"/>
      <c r="J358" s="354"/>
      <c r="K358" s="354"/>
      <c r="L358" s="354"/>
      <c r="M358" s="354"/>
      <c r="N358" s="354"/>
      <c r="O358" s="354"/>
      <c r="P358" s="354"/>
      <c r="Q358" s="354"/>
      <c r="R358" s="370"/>
      <c r="S358" s="354"/>
      <c r="T358" s="354"/>
      <c r="U358" s="354"/>
      <c r="V358" s="354"/>
      <c r="W358" s="354"/>
      <c r="X358" s="354"/>
      <c r="Y358" s="354"/>
      <c r="Z358" s="354"/>
      <c r="AA358" s="354"/>
      <c r="AB358" s="354"/>
      <c r="AC358" s="354"/>
      <c r="AD358" s="354"/>
      <c r="AE358" s="354"/>
      <c r="AF358" s="354"/>
      <c r="AG358" s="354"/>
      <c r="AH358" s="354"/>
      <c r="AI358" s="354"/>
      <c r="AJ358" s="354"/>
      <c r="AK358" s="354"/>
      <c r="AL358" s="354"/>
      <c r="AM358" s="354"/>
      <c r="AN358" s="354"/>
      <c r="AO358" s="354"/>
      <c r="AP358" s="354"/>
      <c r="AQ358" s="354"/>
      <c r="AR358" s="354"/>
      <c r="AS358" s="354"/>
      <c r="AT358" s="354"/>
      <c r="AU358" s="354"/>
      <c r="AV358" s="354"/>
      <c r="AW358" s="354"/>
      <c r="AX358" s="354"/>
      <c r="AY358" s="354"/>
      <c r="AZ358" s="354"/>
    </row>
    <row r="359" spans="3:52" x14ac:dyDescent="0.25">
      <c r="C359" s="354"/>
      <c r="D359" s="354"/>
      <c r="E359" s="354"/>
      <c r="F359" s="354"/>
      <c r="G359" s="354"/>
      <c r="H359" s="354"/>
      <c r="I359" s="354"/>
      <c r="J359" s="354"/>
      <c r="K359" s="354"/>
      <c r="L359" s="354"/>
      <c r="M359" s="354"/>
      <c r="N359" s="354"/>
      <c r="O359" s="354"/>
      <c r="P359" s="354"/>
      <c r="Q359" s="354"/>
      <c r="R359" s="370"/>
      <c r="S359" s="354"/>
      <c r="T359" s="354"/>
      <c r="U359" s="354"/>
      <c r="V359" s="354"/>
      <c r="W359" s="354"/>
      <c r="X359" s="354"/>
      <c r="Y359" s="354"/>
      <c r="Z359" s="354"/>
      <c r="AA359" s="354"/>
      <c r="AB359" s="354"/>
      <c r="AC359" s="354"/>
      <c r="AD359" s="354"/>
      <c r="AE359" s="354"/>
      <c r="AF359" s="354"/>
      <c r="AG359" s="354"/>
      <c r="AH359" s="354"/>
      <c r="AI359" s="354"/>
      <c r="AJ359" s="354"/>
      <c r="AK359" s="354"/>
      <c r="AL359" s="354"/>
      <c r="AM359" s="354"/>
      <c r="AN359" s="354"/>
      <c r="AO359" s="354"/>
      <c r="AP359" s="354"/>
      <c r="AQ359" s="354"/>
      <c r="AR359" s="354"/>
      <c r="AS359" s="354"/>
      <c r="AT359" s="354"/>
      <c r="AU359" s="354"/>
      <c r="AV359" s="354"/>
      <c r="AW359" s="354"/>
      <c r="AX359" s="354"/>
      <c r="AY359" s="354"/>
      <c r="AZ359" s="354"/>
    </row>
    <row r="360" spans="3:52" x14ac:dyDescent="0.25">
      <c r="C360" s="354"/>
      <c r="D360" s="354"/>
      <c r="E360" s="354"/>
      <c r="F360" s="354"/>
      <c r="G360" s="354"/>
      <c r="H360" s="354"/>
      <c r="I360" s="354"/>
      <c r="J360" s="354"/>
      <c r="K360" s="354"/>
      <c r="L360" s="354"/>
      <c r="M360" s="354"/>
      <c r="N360" s="354"/>
      <c r="O360" s="354"/>
      <c r="P360" s="354"/>
      <c r="Q360" s="354"/>
      <c r="R360" s="370"/>
      <c r="S360" s="354"/>
      <c r="T360" s="354"/>
      <c r="U360" s="354"/>
      <c r="V360" s="354"/>
      <c r="W360" s="354"/>
      <c r="X360" s="354"/>
      <c r="Y360" s="354"/>
      <c r="Z360" s="354"/>
      <c r="AA360" s="354"/>
      <c r="AB360" s="354"/>
      <c r="AC360" s="354"/>
      <c r="AD360" s="354"/>
      <c r="AE360" s="354"/>
      <c r="AF360" s="354"/>
      <c r="AG360" s="354"/>
      <c r="AH360" s="354"/>
      <c r="AI360" s="354"/>
      <c r="AJ360" s="354"/>
      <c r="AK360" s="354"/>
      <c r="AL360" s="354"/>
      <c r="AM360" s="354"/>
      <c r="AN360" s="354"/>
      <c r="AO360" s="354"/>
      <c r="AP360" s="354"/>
      <c r="AQ360" s="354"/>
      <c r="AR360" s="354"/>
      <c r="AS360" s="354"/>
      <c r="AT360" s="354"/>
      <c r="AU360" s="354"/>
      <c r="AV360" s="354"/>
      <c r="AW360" s="354"/>
      <c r="AX360" s="354"/>
      <c r="AY360" s="354"/>
      <c r="AZ360" s="354"/>
    </row>
    <row r="361" spans="3:52" x14ac:dyDescent="0.25">
      <c r="C361" s="354"/>
      <c r="D361" s="354"/>
      <c r="E361" s="354"/>
      <c r="F361" s="354"/>
      <c r="G361" s="354"/>
      <c r="H361" s="354"/>
      <c r="I361" s="354"/>
      <c r="J361" s="354"/>
      <c r="K361" s="354"/>
      <c r="L361" s="354"/>
      <c r="M361" s="354"/>
      <c r="N361" s="354"/>
      <c r="O361" s="354"/>
      <c r="P361" s="354"/>
      <c r="Q361" s="354"/>
      <c r="R361" s="370"/>
      <c r="S361" s="354"/>
      <c r="T361" s="354"/>
      <c r="U361" s="354"/>
      <c r="V361" s="354"/>
      <c r="W361" s="354"/>
      <c r="X361" s="354"/>
      <c r="Y361" s="354"/>
      <c r="Z361" s="354"/>
      <c r="AA361" s="354"/>
      <c r="AB361" s="354"/>
      <c r="AC361" s="354"/>
      <c r="AD361" s="354"/>
      <c r="AE361" s="354"/>
      <c r="AF361" s="354"/>
      <c r="AG361" s="354"/>
      <c r="AH361" s="354"/>
      <c r="AI361" s="354"/>
      <c r="AJ361" s="354"/>
      <c r="AK361" s="354"/>
      <c r="AL361" s="354"/>
      <c r="AM361" s="354"/>
      <c r="AN361" s="354"/>
      <c r="AO361" s="354"/>
      <c r="AP361" s="354"/>
      <c r="AQ361" s="354"/>
      <c r="AR361" s="354"/>
      <c r="AS361" s="354"/>
      <c r="AT361" s="354"/>
      <c r="AU361" s="354"/>
      <c r="AV361" s="354"/>
      <c r="AW361" s="354"/>
      <c r="AX361" s="354"/>
      <c r="AY361" s="354"/>
      <c r="AZ361" s="354"/>
    </row>
    <row r="362" spans="3:52" x14ac:dyDescent="0.25">
      <c r="C362" s="354"/>
      <c r="D362" s="354"/>
      <c r="E362" s="354"/>
      <c r="F362" s="354"/>
      <c r="G362" s="354"/>
      <c r="H362" s="354"/>
      <c r="I362" s="354"/>
      <c r="J362" s="354"/>
      <c r="K362" s="354"/>
      <c r="L362" s="354"/>
      <c r="M362" s="354"/>
      <c r="N362" s="354"/>
      <c r="O362" s="354"/>
      <c r="P362" s="354"/>
      <c r="Q362" s="354"/>
      <c r="R362" s="370"/>
      <c r="S362" s="354"/>
      <c r="T362" s="354"/>
      <c r="U362" s="354"/>
      <c r="V362" s="354"/>
      <c r="W362" s="354"/>
      <c r="X362" s="354"/>
      <c r="Y362" s="354"/>
      <c r="Z362" s="354"/>
      <c r="AA362" s="354"/>
      <c r="AB362" s="354"/>
      <c r="AC362" s="354"/>
      <c r="AD362" s="354"/>
      <c r="AE362" s="354"/>
      <c r="AF362" s="354"/>
      <c r="AG362" s="354"/>
      <c r="AH362" s="354"/>
      <c r="AI362" s="354"/>
      <c r="AJ362" s="354"/>
      <c r="AK362" s="354"/>
      <c r="AL362" s="354"/>
      <c r="AM362" s="354"/>
      <c r="AN362" s="354"/>
      <c r="AO362" s="354"/>
      <c r="AP362" s="354"/>
      <c r="AQ362" s="354"/>
      <c r="AR362" s="354"/>
      <c r="AS362" s="354"/>
      <c r="AT362" s="354"/>
      <c r="AU362" s="354"/>
      <c r="AV362" s="354"/>
      <c r="AW362" s="354"/>
      <c r="AX362" s="354"/>
      <c r="AY362" s="354"/>
      <c r="AZ362" s="354"/>
    </row>
    <row r="363" spans="3:52" x14ac:dyDescent="0.25">
      <c r="C363" s="354"/>
      <c r="D363" s="354"/>
      <c r="E363" s="354"/>
      <c r="F363" s="354"/>
      <c r="G363" s="354"/>
      <c r="H363" s="354"/>
      <c r="I363" s="354"/>
      <c r="J363" s="354"/>
      <c r="K363" s="354"/>
      <c r="L363" s="354"/>
      <c r="M363" s="354"/>
      <c r="N363" s="354"/>
      <c r="O363" s="354"/>
      <c r="P363" s="354"/>
      <c r="Q363" s="354"/>
      <c r="R363" s="370"/>
      <c r="S363" s="354"/>
      <c r="T363" s="354"/>
      <c r="U363" s="354"/>
      <c r="V363" s="354"/>
      <c r="W363" s="354"/>
      <c r="X363" s="354"/>
      <c r="Y363" s="354"/>
      <c r="Z363" s="354"/>
      <c r="AA363" s="354"/>
      <c r="AB363" s="354"/>
      <c r="AC363" s="354"/>
      <c r="AD363" s="354"/>
      <c r="AE363" s="354"/>
      <c r="AF363" s="354"/>
      <c r="AG363" s="354"/>
      <c r="AH363" s="354"/>
      <c r="AI363" s="354"/>
      <c r="AJ363" s="354"/>
      <c r="AK363" s="354"/>
      <c r="AL363" s="354"/>
      <c r="AM363" s="354"/>
      <c r="AN363" s="354"/>
      <c r="AO363" s="354"/>
      <c r="AP363" s="354"/>
      <c r="AQ363" s="354"/>
      <c r="AR363" s="354"/>
      <c r="AS363" s="354"/>
      <c r="AT363" s="354"/>
      <c r="AU363" s="354"/>
      <c r="AV363" s="354"/>
      <c r="AW363" s="354"/>
      <c r="AX363" s="354"/>
      <c r="AY363" s="354"/>
      <c r="AZ363" s="354"/>
    </row>
    <row r="364" spans="3:52" x14ac:dyDescent="0.25">
      <c r="C364" s="354"/>
      <c r="D364" s="354"/>
      <c r="E364" s="354"/>
      <c r="F364" s="354"/>
      <c r="G364" s="354"/>
      <c r="H364" s="354"/>
      <c r="I364" s="354"/>
      <c r="J364" s="354"/>
      <c r="K364" s="354"/>
      <c r="L364" s="354"/>
      <c r="M364" s="354"/>
      <c r="N364" s="354"/>
      <c r="O364" s="354"/>
      <c r="P364" s="354"/>
      <c r="Q364" s="354"/>
      <c r="R364" s="370"/>
      <c r="S364" s="354"/>
      <c r="T364" s="354"/>
      <c r="U364" s="354"/>
      <c r="V364" s="354"/>
      <c r="W364" s="354"/>
      <c r="X364" s="354"/>
      <c r="Y364" s="354"/>
      <c r="Z364" s="354"/>
      <c r="AA364" s="354"/>
      <c r="AB364" s="354"/>
      <c r="AC364" s="354"/>
      <c r="AD364" s="354"/>
      <c r="AE364" s="354"/>
      <c r="AF364" s="354"/>
      <c r="AG364" s="354"/>
      <c r="AH364" s="354"/>
      <c r="AI364" s="354"/>
      <c r="AJ364" s="354"/>
      <c r="AK364" s="354"/>
      <c r="AL364" s="354"/>
      <c r="AM364" s="354"/>
      <c r="AN364" s="354"/>
      <c r="AO364" s="354"/>
      <c r="AP364" s="354"/>
      <c r="AQ364" s="354"/>
      <c r="AR364" s="354"/>
      <c r="AS364" s="354"/>
      <c r="AT364" s="354"/>
      <c r="AU364" s="354"/>
      <c r="AV364" s="354"/>
      <c r="AW364" s="354"/>
      <c r="AX364" s="354"/>
      <c r="AY364" s="354"/>
      <c r="AZ364" s="354"/>
    </row>
    <row r="365" spans="3:52" x14ac:dyDescent="0.25">
      <c r="C365" s="354"/>
      <c r="D365" s="354"/>
      <c r="E365" s="354"/>
      <c r="F365" s="354"/>
      <c r="G365" s="354"/>
      <c r="H365" s="354"/>
      <c r="I365" s="354"/>
      <c r="J365" s="354"/>
      <c r="K365" s="354"/>
      <c r="L365" s="354"/>
      <c r="M365" s="354"/>
      <c r="N365" s="354"/>
      <c r="O365" s="354"/>
      <c r="P365" s="354"/>
      <c r="Q365" s="354"/>
      <c r="R365" s="370"/>
      <c r="S365" s="354"/>
      <c r="T365" s="354"/>
      <c r="U365" s="354"/>
      <c r="V365" s="354"/>
      <c r="W365" s="354"/>
      <c r="X365" s="354"/>
      <c r="Y365" s="354"/>
      <c r="Z365" s="354"/>
      <c r="AA365" s="354"/>
      <c r="AB365" s="354"/>
      <c r="AC365" s="354"/>
      <c r="AD365" s="354"/>
      <c r="AE365" s="354"/>
      <c r="AF365" s="354"/>
      <c r="AG365" s="354"/>
      <c r="AH365" s="354"/>
      <c r="AI365" s="354"/>
      <c r="AJ365" s="354"/>
      <c r="AK365" s="354"/>
      <c r="AL365" s="354"/>
      <c r="AM365" s="354"/>
      <c r="AN365" s="354"/>
      <c r="AO365" s="354"/>
      <c r="AP365" s="354"/>
      <c r="AQ365" s="354"/>
      <c r="AR365" s="354"/>
      <c r="AS365" s="354"/>
      <c r="AT365" s="354"/>
      <c r="AU365" s="354"/>
      <c r="AV365" s="354"/>
      <c r="AW365" s="354"/>
      <c r="AX365" s="354"/>
      <c r="AY365" s="354"/>
      <c r="AZ365" s="354"/>
    </row>
    <row r="366" spans="3:52" x14ac:dyDescent="0.25">
      <c r="C366" s="354"/>
      <c r="D366" s="354"/>
      <c r="E366" s="354"/>
      <c r="F366" s="354"/>
      <c r="G366" s="354"/>
      <c r="H366" s="354"/>
      <c r="I366" s="354"/>
      <c r="J366" s="354"/>
      <c r="K366" s="354"/>
      <c r="L366" s="354"/>
      <c r="M366" s="354"/>
      <c r="N366" s="354"/>
      <c r="O366" s="354"/>
      <c r="P366" s="354"/>
      <c r="Q366" s="354"/>
      <c r="R366" s="370"/>
      <c r="S366" s="354"/>
      <c r="T366" s="354"/>
      <c r="U366" s="354"/>
      <c r="V366" s="354"/>
      <c r="W366" s="354"/>
      <c r="X366" s="354"/>
      <c r="Y366" s="354"/>
      <c r="Z366" s="354"/>
      <c r="AA366" s="354"/>
      <c r="AB366" s="354"/>
      <c r="AC366" s="354"/>
      <c r="AD366" s="354"/>
      <c r="AE366" s="354"/>
      <c r="AF366" s="354"/>
      <c r="AG366" s="354"/>
      <c r="AH366" s="354"/>
      <c r="AI366" s="354"/>
      <c r="AJ366" s="354"/>
      <c r="AK366" s="354"/>
      <c r="AL366" s="354"/>
      <c r="AM366" s="354"/>
      <c r="AN366" s="354"/>
      <c r="AO366" s="354"/>
      <c r="AP366" s="354"/>
      <c r="AQ366" s="354"/>
      <c r="AR366" s="354"/>
      <c r="AS366" s="354"/>
      <c r="AT366" s="354"/>
      <c r="AU366" s="354"/>
      <c r="AV366" s="354"/>
      <c r="AW366" s="354"/>
      <c r="AX366" s="354"/>
      <c r="AY366" s="354"/>
      <c r="AZ366" s="354"/>
    </row>
    <row r="367" spans="3:52" x14ac:dyDescent="0.25">
      <c r="C367" s="354"/>
      <c r="D367" s="354"/>
      <c r="E367" s="354"/>
      <c r="F367" s="354"/>
      <c r="G367" s="354"/>
      <c r="H367" s="354"/>
      <c r="I367" s="354"/>
      <c r="J367" s="354"/>
      <c r="K367" s="354"/>
      <c r="L367" s="354"/>
      <c r="M367" s="354"/>
      <c r="N367" s="354"/>
      <c r="O367" s="354"/>
      <c r="P367" s="354"/>
      <c r="Q367" s="354"/>
      <c r="R367" s="370"/>
      <c r="S367" s="354"/>
      <c r="T367" s="354"/>
      <c r="U367" s="354"/>
      <c r="V367" s="354"/>
      <c r="W367" s="354"/>
      <c r="X367" s="354"/>
      <c r="Y367" s="354"/>
      <c r="Z367" s="354"/>
      <c r="AA367" s="354"/>
      <c r="AB367" s="354"/>
      <c r="AC367" s="354"/>
      <c r="AD367" s="354"/>
      <c r="AE367" s="354"/>
      <c r="AF367" s="354"/>
      <c r="AG367" s="354"/>
      <c r="AH367" s="354"/>
      <c r="AI367" s="354"/>
      <c r="AJ367" s="354"/>
      <c r="AK367" s="354"/>
      <c r="AL367" s="354"/>
      <c r="AM367" s="354"/>
      <c r="AN367" s="354"/>
      <c r="AO367" s="354"/>
      <c r="AP367" s="354"/>
      <c r="AQ367" s="354"/>
      <c r="AR367" s="354"/>
      <c r="AS367" s="354"/>
      <c r="AT367" s="354"/>
      <c r="AU367" s="354"/>
      <c r="AV367" s="354"/>
      <c r="AW367" s="354"/>
      <c r="AX367" s="354"/>
      <c r="AY367" s="354"/>
      <c r="AZ367" s="354"/>
    </row>
    <row r="368" spans="3:52" x14ac:dyDescent="0.25">
      <c r="C368" s="354"/>
      <c r="D368" s="354"/>
      <c r="E368" s="354"/>
      <c r="F368" s="354"/>
      <c r="G368" s="354"/>
      <c r="H368" s="354"/>
      <c r="I368" s="354"/>
      <c r="J368" s="354"/>
      <c r="K368" s="354"/>
      <c r="L368" s="354"/>
      <c r="M368" s="354"/>
      <c r="N368" s="354"/>
      <c r="O368" s="354"/>
      <c r="P368" s="354"/>
      <c r="Q368" s="354"/>
      <c r="R368" s="370"/>
      <c r="S368" s="354"/>
      <c r="T368" s="354"/>
      <c r="U368" s="354"/>
      <c r="V368" s="354"/>
      <c r="W368" s="354"/>
      <c r="X368" s="354"/>
      <c r="Y368" s="354"/>
      <c r="Z368" s="354"/>
      <c r="AA368" s="354"/>
      <c r="AB368" s="354"/>
      <c r="AC368" s="354"/>
      <c r="AD368" s="354"/>
      <c r="AE368" s="354"/>
      <c r="AF368" s="354"/>
      <c r="AG368" s="354"/>
      <c r="AH368" s="354"/>
      <c r="AI368" s="354"/>
      <c r="AJ368" s="354"/>
      <c r="AK368" s="354"/>
      <c r="AL368" s="354"/>
      <c r="AM368" s="354"/>
      <c r="AN368" s="354"/>
      <c r="AO368" s="354"/>
      <c r="AP368" s="354"/>
      <c r="AQ368" s="354"/>
      <c r="AR368" s="354"/>
      <c r="AS368" s="354"/>
      <c r="AT368" s="354"/>
      <c r="AU368" s="354"/>
      <c r="AV368" s="354"/>
      <c r="AW368" s="354"/>
      <c r="AX368" s="354"/>
      <c r="AY368" s="354"/>
      <c r="AZ368" s="354"/>
    </row>
    <row r="369" spans="3:52" x14ac:dyDescent="0.25">
      <c r="C369" s="354"/>
      <c r="D369" s="354"/>
      <c r="E369" s="354"/>
      <c r="F369" s="354"/>
      <c r="G369" s="354"/>
      <c r="H369" s="354"/>
      <c r="I369" s="354"/>
      <c r="J369" s="354"/>
      <c r="K369" s="354"/>
      <c r="L369" s="354"/>
      <c r="M369" s="354"/>
      <c r="N369" s="354"/>
      <c r="O369" s="354"/>
      <c r="P369" s="354"/>
      <c r="Q369" s="354"/>
      <c r="R369" s="370"/>
      <c r="S369" s="354"/>
      <c r="T369" s="354"/>
      <c r="U369" s="354"/>
      <c r="V369" s="354"/>
      <c r="W369" s="354"/>
      <c r="X369" s="354"/>
      <c r="Y369" s="354"/>
      <c r="Z369" s="354"/>
      <c r="AA369" s="354"/>
      <c r="AB369" s="354"/>
      <c r="AC369" s="354"/>
      <c r="AD369" s="354"/>
      <c r="AE369" s="354"/>
      <c r="AF369" s="354"/>
      <c r="AG369" s="354"/>
      <c r="AH369" s="354"/>
      <c r="AI369" s="354"/>
      <c r="AJ369" s="354"/>
      <c r="AK369" s="354"/>
      <c r="AL369" s="354"/>
      <c r="AM369" s="354"/>
      <c r="AN369" s="354"/>
      <c r="AO369" s="354"/>
      <c r="AP369" s="354"/>
      <c r="AQ369" s="354"/>
      <c r="AR369" s="354"/>
      <c r="AS369" s="354"/>
      <c r="AT369" s="354"/>
      <c r="AU369" s="354"/>
      <c r="AV369" s="354"/>
      <c r="AW369" s="354"/>
      <c r="AX369" s="354"/>
      <c r="AY369" s="354"/>
      <c r="AZ369" s="354"/>
    </row>
    <row r="370" spans="3:52" x14ac:dyDescent="0.25">
      <c r="C370" s="354"/>
      <c r="D370" s="354"/>
      <c r="E370" s="354"/>
      <c r="F370" s="354"/>
      <c r="G370" s="354"/>
      <c r="H370" s="354"/>
      <c r="I370" s="354"/>
      <c r="J370" s="354"/>
      <c r="K370" s="354"/>
      <c r="L370" s="354"/>
      <c r="M370" s="354"/>
      <c r="N370" s="354"/>
      <c r="O370" s="354"/>
      <c r="P370" s="354"/>
      <c r="Q370" s="354"/>
      <c r="R370" s="370"/>
      <c r="S370" s="354"/>
      <c r="T370" s="354"/>
      <c r="U370" s="354"/>
      <c r="V370" s="354"/>
      <c r="W370" s="354"/>
      <c r="X370" s="354"/>
      <c r="Y370" s="354"/>
      <c r="Z370" s="354"/>
      <c r="AA370" s="354"/>
      <c r="AB370" s="354"/>
      <c r="AC370" s="354"/>
      <c r="AD370" s="354"/>
      <c r="AE370" s="354"/>
      <c r="AF370" s="354"/>
      <c r="AG370" s="354"/>
      <c r="AH370" s="354"/>
      <c r="AI370" s="354"/>
      <c r="AJ370" s="354"/>
      <c r="AK370" s="354"/>
      <c r="AL370" s="354"/>
      <c r="AM370" s="354"/>
      <c r="AN370" s="354"/>
      <c r="AO370" s="354"/>
      <c r="AP370" s="354"/>
      <c r="AQ370" s="354"/>
      <c r="AR370" s="354"/>
      <c r="AS370" s="354"/>
      <c r="AT370" s="354"/>
      <c r="AU370" s="354"/>
      <c r="AV370" s="354"/>
      <c r="AW370" s="354"/>
      <c r="AX370" s="354"/>
      <c r="AY370" s="354"/>
      <c r="AZ370" s="354"/>
    </row>
    <row r="371" spans="3:52" x14ac:dyDescent="0.25">
      <c r="C371" s="354"/>
      <c r="D371" s="354"/>
      <c r="E371" s="354"/>
      <c r="F371" s="354"/>
      <c r="G371" s="354"/>
      <c r="H371" s="354"/>
      <c r="I371" s="354"/>
      <c r="J371" s="354"/>
      <c r="K371" s="354"/>
      <c r="L371" s="354"/>
      <c r="M371" s="354"/>
      <c r="N371" s="354"/>
      <c r="O371" s="354"/>
      <c r="P371" s="354"/>
      <c r="Q371" s="354"/>
      <c r="R371" s="370"/>
      <c r="S371" s="354"/>
      <c r="T371" s="354"/>
      <c r="U371" s="354"/>
      <c r="V371" s="354"/>
      <c r="W371" s="354"/>
      <c r="X371" s="354"/>
      <c r="Y371" s="354"/>
      <c r="Z371" s="354"/>
      <c r="AA371" s="354"/>
      <c r="AB371" s="354"/>
      <c r="AC371" s="354"/>
      <c r="AD371" s="354"/>
      <c r="AE371" s="354"/>
      <c r="AF371" s="354"/>
      <c r="AG371" s="354"/>
      <c r="AH371" s="354"/>
      <c r="AI371" s="354"/>
      <c r="AJ371" s="354"/>
      <c r="AK371" s="354"/>
      <c r="AL371" s="354"/>
      <c r="AM371" s="354"/>
      <c r="AN371" s="354"/>
      <c r="AO371" s="354"/>
      <c r="AP371" s="354"/>
      <c r="AQ371" s="354"/>
      <c r="AR371" s="354"/>
      <c r="AS371" s="354"/>
      <c r="AT371" s="354"/>
      <c r="AU371" s="354"/>
      <c r="AV371" s="354"/>
      <c r="AW371" s="354"/>
      <c r="AX371" s="354"/>
      <c r="AY371" s="354"/>
      <c r="AZ371" s="354"/>
    </row>
    <row r="372" spans="3:52" x14ac:dyDescent="0.25">
      <c r="C372" s="354"/>
      <c r="D372" s="354"/>
      <c r="E372" s="354"/>
      <c r="F372" s="354"/>
      <c r="G372" s="354"/>
      <c r="H372" s="354"/>
      <c r="I372" s="354"/>
      <c r="J372" s="354"/>
      <c r="K372" s="354"/>
      <c r="L372" s="354"/>
      <c r="M372" s="354"/>
      <c r="N372" s="354"/>
      <c r="O372" s="354"/>
      <c r="P372" s="354"/>
      <c r="Q372" s="354"/>
      <c r="R372" s="370"/>
      <c r="S372" s="354"/>
      <c r="T372" s="354"/>
      <c r="U372" s="354"/>
      <c r="V372" s="354"/>
      <c r="W372" s="354"/>
      <c r="X372" s="354"/>
      <c r="Y372" s="354"/>
      <c r="Z372" s="354"/>
      <c r="AA372" s="354"/>
      <c r="AB372" s="354"/>
      <c r="AC372" s="354"/>
      <c r="AD372" s="354"/>
      <c r="AE372" s="354"/>
      <c r="AF372" s="354"/>
      <c r="AG372" s="354"/>
      <c r="AH372" s="354"/>
      <c r="AI372" s="354"/>
      <c r="AJ372" s="354"/>
      <c r="AK372" s="354"/>
      <c r="AL372" s="354"/>
      <c r="AM372" s="354"/>
      <c r="AN372" s="354"/>
      <c r="AO372" s="354"/>
      <c r="AP372" s="354"/>
      <c r="AQ372" s="354"/>
      <c r="AR372" s="354"/>
      <c r="AS372" s="354"/>
      <c r="AT372" s="354"/>
      <c r="AU372" s="354"/>
      <c r="AV372" s="354"/>
      <c r="AW372" s="354"/>
      <c r="AX372" s="354"/>
      <c r="AY372" s="354"/>
      <c r="AZ372" s="354"/>
    </row>
    <row r="373" spans="3:52" x14ac:dyDescent="0.25">
      <c r="C373" s="354"/>
      <c r="D373" s="354"/>
      <c r="E373" s="354"/>
      <c r="F373" s="354"/>
      <c r="G373" s="354"/>
      <c r="H373" s="354"/>
      <c r="I373" s="354"/>
      <c r="J373" s="354"/>
      <c r="K373" s="354"/>
      <c r="L373" s="354"/>
      <c r="M373" s="354"/>
      <c r="N373" s="354"/>
      <c r="O373" s="354"/>
      <c r="P373" s="354"/>
      <c r="Q373" s="354"/>
      <c r="R373" s="370"/>
      <c r="S373" s="354"/>
      <c r="T373" s="354"/>
      <c r="U373" s="354"/>
      <c r="V373" s="354"/>
      <c r="W373" s="354"/>
      <c r="X373" s="354"/>
      <c r="Y373" s="354"/>
      <c r="Z373" s="354"/>
      <c r="AA373" s="354"/>
      <c r="AB373" s="354"/>
      <c r="AC373" s="354"/>
      <c r="AD373" s="354"/>
      <c r="AE373" s="354"/>
      <c r="AF373" s="354"/>
      <c r="AG373" s="354"/>
      <c r="AH373" s="354"/>
      <c r="AI373" s="354"/>
      <c r="AJ373" s="354"/>
      <c r="AK373" s="354"/>
      <c r="AL373" s="354"/>
      <c r="AM373" s="354"/>
      <c r="AN373" s="354"/>
      <c r="AO373" s="354"/>
      <c r="AP373" s="354"/>
      <c r="AQ373" s="354"/>
      <c r="AR373" s="354"/>
      <c r="AS373" s="354"/>
      <c r="AT373" s="354"/>
      <c r="AU373" s="354"/>
      <c r="AV373" s="354"/>
      <c r="AW373" s="354"/>
      <c r="AX373" s="354"/>
      <c r="AY373" s="354"/>
      <c r="AZ373" s="354"/>
    </row>
    <row r="374" spans="3:52" x14ac:dyDescent="0.25">
      <c r="C374" s="354"/>
      <c r="D374" s="354"/>
      <c r="E374" s="354"/>
      <c r="F374" s="354"/>
      <c r="G374" s="354"/>
      <c r="H374" s="354"/>
      <c r="I374" s="354"/>
      <c r="J374" s="354"/>
      <c r="K374" s="354"/>
      <c r="L374" s="354"/>
      <c r="M374" s="354"/>
      <c r="N374" s="354"/>
      <c r="O374" s="354"/>
      <c r="P374" s="354"/>
      <c r="Q374" s="354"/>
      <c r="R374" s="370"/>
      <c r="S374" s="354"/>
      <c r="T374" s="354"/>
      <c r="U374" s="354"/>
      <c r="V374" s="354"/>
      <c r="W374" s="354"/>
      <c r="X374" s="354"/>
      <c r="Y374" s="354"/>
      <c r="Z374" s="354"/>
      <c r="AA374" s="354"/>
      <c r="AB374" s="354"/>
      <c r="AC374" s="354"/>
      <c r="AD374" s="354"/>
      <c r="AE374" s="354"/>
      <c r="AF374" s="354"/>
      <c r="AG374" s="354"/>
      <c r="AH374" s="354"/>
      <c r="AI374" s="354"/>
      <c r="AJ374" s="354"/>
      <c r="AK374" s="354"/>
      <c r="AL374" s="354"/>
      <c r="AM374" s="354"/>
      <c r="AN374" s="354"/>
      <c r="AO374" s="354"/>
      <c r="AP374" s="354"/>
      <c r="AQ374" s="354"/>
      <c r="AR374" s="354"/>
      <c r="AS374" s="354"/>
      <c r="AT374" s="354"/>
      <c r="AU374" s="354"/>
      <c r="AV374" s="354"/>
      <c r="AW374" s="354"/>
      <c r="AX374" s="354"/>
      <c r="AY374" s="354"/>
      <c r="AZ374" s="354"/>
    </row>
    <row r="375" spans="3:52" x14ac:dyDescent="0.25">
      <c r="C375" s="354"/>
      <c r="D375" s="354"/>
      <c r="E375" s="354"/>
      <c r="F375" s="354"/>
      <c r="G375" s="354"/>
      <c r="H375" s="354"/>
      <c r="I375" s="354"/>
      <c r="J375" s="354"/>
      <c r="K375" s="354"/>
      <c r="L375" s="354"/>
      <c r="M375" s="354"/>
      <c r="N375" s="354"/>
      <c r="O375" s="354"/>
      <c r="P375" s="354"/>
      <c r="Q375" s="354"/>
      <c r="R375" s="370"/>
      <c r="S375" s="354"/>
      <c r="T375" s="354"/>
      <c r="U375" s="354"/>
      <c r="V375" s="354"/>
      <c r="W375" s="354"/>
      <c r="X375" s="354"/>
      <c r="Y375" s="354"/>
      <c r="Z375" s="354"/>
      <c r="AA375" s="354"/>
      <c r="AB375" s="354"/>
      <c r="AC375" s="354"/>
      <c r="AD375" s="354"/>
      <c r="AE375" s="354"/>
      <c r="AF375" s="354"/>
      <c r="AG375" s="354"/>
      <c r="AH375" s="354"/>
      <c r="AI375" s="354"/>
      <c r="AJ375" s="354"/>
      <c r="AK375" s="354"/>
      <c r="AL375" s="354"/>
      <c r="AM375" s="354"/>
      <c r="AN375" s="354"/>
      <c r="AO375" s="354"/>
      <c r="AP375" s="354"/>
      <c r="AQ375" s="354"/>
      <c r="AR375" s="354"/>
      <c r="AS375" s="354"/>
      <c r="AT375" s="354"/>
      <c r="AU375" s="354"/>
      <c r="AV375" s="354"/>
      <c r="AW375" s="354"/>
      <c r="AX375" s="354"/>
      <c r="AY375" s="354"/>
      <c r="AZ375" s="354"/>
    </row>
    <row r="376" spans="3:52" x14ac:dyDescent="0.25">
      <c r="C376" s="354"/>
      <c r="D376" s="354"/>
      <c r="E376" s="354"/>
      <c r="F376" s="354"/>
      <c r="G376" s="354"/>
      <c r="H376" s="354"/>
      <c r="I376" s="354"/>
      <c r="J376" s="354"/>
      <c r="K376" s="354"/>
      <c r="L376" s="354"/>
      <c r="M376" s="354"/>
      <c r="N376" s="354"/>
      <c r="O376" s="354"/>
      <c r="P376" s="354"/>
      <c r="Q376" s="354"/>
      <c r="R376" s="370"/>
      <c r="S376" s="354"/>
      <c r="T376" s="354"/>
      <c r="U376" s="354"/>
      <c r="V376" s="354"/>
      <c r="W376" s="354"/>
      <c r="X376" s="354"/>
      <c r="Y376" s="354"/>
      <c r="Z376" s="354"/>
      <c r="AA376" s="354"/>
      <c r="AB376" s="354"/>
      <c r="AC376" s="354"/>
      <c r="AD376" s="354"/>
      <c r="AE376" s="354"/>
      <c r="AF376" s="354"/>
      <c r="AG376" s="354"/>
      <c r="AH376" s="354"/>
      <c r="AI376" s="354"/>
      <c r="AJ376" s="354"/>
      <c r="AK376" s="354"/>
      <c r="AL376" s="354"/>
      <c r="AM376" s="354"/>
      <c r="AN376" s="354"/>
      <c r="AO376" s="354"/>
      <c r="AP376" s="354"/>
      <c r="AQ376" s="354"/>
      <c r="AR376" s="354"/>
      <c r="AS376" s="354"/>
      <c r="AT376" s="354"/>
      <c r="AU376" s="354"/>
      <c r="AV376" s="354"/>
      <c r="AW376" s="354"/>
      <c r="AX376" s="354"/>
      <c r="AY376" s="354"/>
      <c r="AZ376" s="354"/>
    </row>
    <row r="377" spans="3:52" x14ac:dyDescent="0.25">
      <c r="C377" s="354"/>
      <c r="D377" s="354"/>
      <c r="E377" s="354"/>
      <c r="F377" s="354"/>
      <c r="G377" s="354"/>
      <c r="H377" s="354"/>
      <c r="I377" s="354"/>
      <c r="J377" s="354"/>
      <c r="K377" s="354"/>
      <c r="L377" s="354"/>
      <c r="M377" s="354"/>
      <c r="N377" s="354"/>
      <c r="O377" s="354"/>
      <c r="P377" s="354"/>
      <c r="Q377" s="354"/>
      <c r="R377" s="370"/>
      <c r="S377" s="354"/>
      <c r="T377" s="354"/>
      <c r="U377" s="354"/>
      <c r="V377" s="354"/>
      <c r="W377" s="354"/>
      <c r="X377" s="354"/>
      <c r="Y377" s="354"/>
      <c r="Z377" s="354"/>
      <c r="AA377" s="354"/>
      <c r="AB377" s="354"/>
      <c r="AC377" s="354"/>
      <c r="AD377" s="354"/>
      <c r="AE377" s="354"/>
      <c r="AF377" s="354"/>
      <c r="AG377" s="354"/>
      <c r="AH377" s="354"/>
      <c r="AI377" s="354"/>
      <c r="AJ377" s="354"/>
      <c r="AK377" s="354"/>
      <c r="AL377" s="354"/>
      <c r="AM377" s="354"/>
      <c r="AN377" s="354"/>
      <c r="AO377" s="354"/>
      <c r="AP377" s="354"/>
      <c r="AQ377" s="354"/>
      <c r="AR377" s="354"/>
      <c r="AS377" s="354"/>
      <c r="AT377" s="354"/>
      <c r="AU377" s="354"/>
      <c r="AV377" s="354"/>
      <c r="AW377" s="354"/>
      <c r="AX377" s="354"/>
      <c r="AY377" s="354"/>
      <c r="AZ377" s="354"/>
    </row>
    <row r="378" spans="3:52" x14ac:dyDescent="0.25">
      <c r="C378" s="354"/>
      <c r="D378" s="354"/>
      <c r="E378" s="354"/>
      <c r="F378" s="354"/>
      <c r="G378" s="354"/>
      <c r="H378" s="354"/>
      <c r="I378" s="354"/>
      <c r="J378" s="354"/>
      <c r="K378" s="354"/>
      <c r="L378" s="354"/>
      <c r="M378" s="354"/>
      <c r="N378" s="354"/>
      <c r="O378" s="354"/>
      <c r="P378" s="354"/>
      <c r="Q378" s="354"/>
      <c r="R378" s="370"/>
      <c r="S378" s="354"/>
      <c r="T378" s="354"/>
      <c r="U378" s="354"/>
      <c r="V378" s="354"/>
      <c r="W378" s="354"/>
      <c r="X378" s="354"/>
      <c r="Y378" s="354"/>
      <c r="Z378" s="354"/>
      <c r="AA378" s="354"/>
      <c r="AB378" s="354"/>
      <c r="AC378" s="354"/>
      <c r="AD378" s="354"/>
      <c r="AE378" s="354"/>
      <c r="AF378" s="354"/>
      <c r="AG378" s="354"/>
      <c r="AH378" s="354"/>
      <c r="AI378" s="354"/>
      <c r="AJ378" s="354"/>
      <c r="AK378" s="354"/>
      <c r="AL378" s="354"/>
      <c r="AM378" s="354"/>
      <c r="AN378" s="354"/>
      <c r="AO378" s="354"/>
      <c r="AP378" s="354"/>
      <c r="AQ378" s="354"/>
      <c r="AR378" s="354"/>
      <c r="AS378" s="354"/>
      <c r="AT378" s="354"/>
      <c r="AU378" s="354"/>
      <c r="AV378" s="354"/>
      <c r="AW378" s="354"/>
      <c r="AX378" s="354"/>
      <c r="AY378" s="354"/>
      <c r="AZ378" s="354"/>
    </row>
    <row r="379" spans="3:52" x14ac:dyDescent="0.25">
      <c r="C379" s="354"/>
      <c r="D379" s="354"/>
      <c r="E379" s="354"/>
      <c r="F379" s="354"/>
      <c r="G379" s="354"/>
      <c r="H379" s="354"/>
      <c r="I379" s="354"/>
      <c r="J379" s="354"/>
      <c r="K379" s="354"/>
      <c r="L379" s="354"/>
      <c r="M379" s="354"/>
      <c r="N379" s="354"/>
      <c r="O379" s="354"/>
      <c r="P379" s="354"/>
      <c r="Q379" s="354"/>
      <c r="R379" s="370"/>
      <c r="S379" s="354"/>
      <c r="T379" s="354"/>
      <c r="U379" s="354"/>
      <c r="V379" s="354"/>
      <c r="W379" s="354"/>
      <c r="X379" s="354"/>
      <c r="Y379" s="354"/>
      <c r="Z379" s="354"/>
      <c r="AA379" s="354"/>
      <c r="AB379" s="354"/>
      <c r="AC379" s="354"/>
      <c r="AD379" s="354"/>
      <c r="AE379" s="354"/>
      <c r="AF379" s="354"/>
      <c r="AG379" s="354"/>
      <c r="AH379" s="354"/>
      <c r="AI379" s="354"/>
      <c r="AJ379" s="354"/>
      <c r="AK379" s="354"/>
      <c r="AL379" s="354"/>
      <c r="AM379" s="354"/>
      <c r="AN379" s="354"/>
      <c r="AO379" s="354"/>
      <c r="AP379" s="354"/>
      <c r="AQ379" s="354"/>
      <c r="AR379" s="354"/>
      <c r="AS379" s="354"/>
      <c r="AT379" s="354"/>
      <c r="AU379" s="354"/>
      <c r="AV379" s="354"/>
      <c r="AW379" s="354"/>
      <c r="AX379" s="354"/>
      <c r="AY379" s="354"/>
      <c r="AZ379" s="354"/>
    </row>
    <row r="380" spans="3:52" x14ac:dyDescent="0.25">
      <c r="C380" s="354"/>
      <c r="D380" s="354"/>
      <c r="E380" s="354"/>
      <c r="F380" s="354"/>
      <c r="G380" s="354"/>
      <c r="H380" s="354"/>
      <c r="I380" s="354"/>
      <c r="J380" s="354"/>
      <c r="K380" s="354"/>
      <c r="L380" s="354"/>
      <c r="M380" s="354"/>
      <c r="N380" s="354"/>
      <c r="O380" s="354"/>
      <c r="P380" s="354"/>
      <c r="Q380" s="354"/>
      <c r="R380" s="370"/>
      <c r="S380" s="354"/>
      <c r="T380" s="354"/>
      <c r="U380" s="354"/>
      <c r="V380" s="354"/>
      <c r="W380" s="354"/>
      <c r="X380" s="354"/>
      <c r="Y380" s="354"/>
      <c r="Z380" s="354"/>
      <c r="AA380" s="354"/>
      <c r="AB380" s="354"/>
      <c r="AC380" s="354"/>
      <c r="AD380" s="354"/>
      <c r="AE380" s="354"/>
      <c r="AF380" s="354"/>
      <c r="AG380" s="354"/>
      <c r="AH380" s="354"/>
      <c r="AI380" s="354"/>
      <c r="AJ380" s="354"/>
      <c r="AK380" s="354"/>
      <c r="AL380" s="354"/>
      <c r="AM380" s="354"/>
      <c r="AN380" s="354"/>
      <c r="AO380" s="354"/>
      <c r="AP380" s="354"/>
      <c r="AQ380" s="354"/>
      <c r="AR380" s="354"/>
      <c r="AS380" s="354"/>
      <c r="AT380" s="354"/>
      <c r="AU380" s="354"/>
      <c r="AV380" s="354"/>
      <c r="AW380" s="354"/>
      <c r="AX380" s="354"/>
      <c r="AY380" s="354"/>
      <c r="AZ380" s="354"/>
    </row>
    <row r="381" spans="3:52" x14ac:dyDescent="0.25">
      <c r="C381" s="354"/>
      <c r="D381" s="354"/>
      <c r="E381" s="354"/>
      <c r="F381" s="354"/>
      <c r="G381" s="354"/>
      <c r="H381" s="354"/>
      <c r="I381" s="354"/>
      <c r="J381" s="354"/>
      <c r="K381" s="354"/>
      <c r="L381" s="354"/>
      <c r="M381" s="354"/>
      <c r="N381" s="354"/>
      <c r="O381" s="354"/>
      <c r="P381" s="354"/>
      <c r="Q381" s="354"/>
      <c r="R381" s="370"/>
      <c r="S381" s="354"/>
      <c r="T381" s="354"/>
      <c r="U381" s="354"/>
      <c r="V381" s="354"/>
      <c r="W381" s="354"/>
      <c r="X381" s="354"/>
      <c r="Y381" s="354"/>
      <c r="Z381" s="354"/>
      <c r="AA381" s="354"/>
      <c r="AB381" s="354"/>
      <c r="AC381" s="354"/>
      <c r="AD381" s="354"/>
      <c r="AE381" s="354"/>
      <c r="AF381" s="354"/>
      <c r="AG381" s="354"/>
      <c r="AH381" s="354"/>
      <c r="AI381" s="354"/>
      <c r="AJ381" s="354"/>
      <c r="AK381" s="354"/>
      <c r="AL381" s="354"/>
      <c r="AM381" s="354"/>
      <c r="AN381" s="354"/>
      <c r="AO381" s="354"/>
      <c r="AP381" s="354"/>
      <c r="AQ381" s="354"/>
      <c r="AR381" s="354"/>
      <c r="AS381" s="354"/>
      <c r="AT381" s="354"/>
      <c r="AU381" s="354"/>
      <c r="AV381" s="354"/>
      <c r="AW381" s="354"/>
      <c r="AX381" s="354"/>
      <c r="AY381" s="354"/>
      <c r="AZ381" s="354"/>
    </row>
    <row r="382" spans="3:52" x14ac:dyDescent="0.25">
      <c r="C382" s="354"/>
      <c r="D382" s="354"/>
      <c r="E382" s="354"/>
      <c r="F382" s="354"/>
      <c r="G382" s="354"/>
      <c r="H382" s="354"/>
      <c r="I382" s="354"/>
      <c r="J382" s="354"/>
      <c r="K382" s="354"/>
      <c r="L382" s="354"/>
      <c r="M382" s="354"/>
      <c r="N382" s="354"/>
      <c r="O382" s="354"/>
      <c r="P382" s="354"/>
      <c r="Q382" s="354"/>
      <c r="R382" s="370"/>
      <c r="S382" s="354"/>
      <c r="T382" s="354"/>
      <c r="U382" s="354"/>
      <c r="V382" s="354"/>
      <c r="W382" s="354"/>
      <c r="X382" s="354"/>
      <c r="Y382" s="354"/>
      <c r="Z382" s="354"/>
      <c r="AA382" s="354"/>
      <c r="AB382" s="354"/>
      <c r="AC382" s="354"/>
      <c r="AD382" s="354"/>
      <c r="AE382" s="354"/>
      <c r="AF382" s="354"/>
      <c r="AG382" s="354"/>
      <c r="AH382" s="354"/>
      <c r="AI382" s="354"/>
      <c r="AJ382" s="354"/>
      <c r="AK382" s="354"/>
      <c r="AL382" s="354"/>
      <c r="AM382" s="354"/>
      <c r="AN382" s="354"/>
      <c r="AO382" s="354"/>
      <c r="AP382" s="354"/>
      <c r="AQ382" s="354"/>
      <c r="AR382" s="354"/>
      <c r="AS382" s="354"/>
      <c r="AT382" s="354"/>
      <c r="AU382" s="354"/>
      <c r="AV382" s="354"/>
      <c r="AW382" s="354"/>
      <c r="AX382" s="354"/>
      <c r="AY382" s="354"/>
      <c r="AZ382" s="354"/>
    </row>
    <row r="383" spans="3:52" x14ac:dyDescent="0.25">
      <c r="C383" s="354"/>
      <c r="D383" s="354"/>
      <c r="E383" s="354"/>
      <c r="F383" s="354"/>
      <c r="G383" s="354"/>
      <c r="H383" s="354"/>
      <c r="I383" s="354"/>
      <c r="J383" s="354"/>
      <c r="K383" s="354"/>
      <c r="L383" s="354"/>
      <c r="M383" s="354"/>
      <c r="N383" s="354"/>
      <c r="O383" s="354"/>
      <c r="P383" s="354"/>
      <c r="Q383" s="354"/>
      <c r="R383" s="370"/>
      <c r="S383" s="354"/>
      <c r="T383" s="354"/>
      <c r="U383" s="354"/>
      <c r="V383" s="354"/>
      <c r="W383" s="354"/>
      <c r="X383" s="354"/>
      <c r="Y383" s="354"/>
      <c r="Z383" s="354"/>
      <c r="AA383" s="354"/>
      <c r="AB383" s="354"/>
      <c r="AC383" s="354"/>
      <c r="AD383" s="354"/>
      <c r="AE383" s="354"/>
      <c r="AF383" s="354"/>
      <c r="AG383" s="354"/>
      <c r="AH383" s="354"/>
      <c r="AI383" s="354"/>
      <c r="AJ383" s="354"/>
      <c r="AK383" s="354"/>
      <c r="AL383" s="354"/>
      <c r="AM383" s="354"/>
      <c r="AN383" s="354"/>
      <c r="AO383" s="354"/>
      <c r="AP383" s="354"/>
      <c r="AQ383" s="354"/>
      <c r="AR383" s="354"/>
      <c r="AS383" s="354"/>
      <c r="AT383" s="354"/>
      <c r="AU383" s="354"/>
      <c r="AV383" s="354"/>
      <c r="AW383" s="354"/>
      <c r="AX383" s="354"/>
      <c r="AY383" s="354"/>
      <c r="AZ383" s="354"/>
    </row>
    <row r="384" spans="3:52" x14ac:dyDescent="0.25">
      <c r="C384" s="354"/>
      <c r="D384" s="354"/>
      <c r="E384" s="354"/>
      <c r="F384" s="354"/>
      <c r="G384" s="354"/>
      <c r="H384" s="354"/>
      <c r="I384" s="354"/>
      <c r="J384" s="354"/>
      <c r="K384" s="354"/>
      <c r="L384" s="354"/>
      <c r="M384" s="354"/>
      <c r="N384" s="354"/>
      <c r="O384" s="354"/>
      <c r="P384" s="354"/>
      <c r="Q384" s="354"/>
      <c r="R384" s="370"/>
      <c r="S384" s="354"/>
      <c r="T384" s="354"/>
      <c r="U384" s="354"/>
      <c r="V384" s="354"/>
      <c r="W384" s="354"/>
      <c r="X384" s="354"/>
      <c r="Y384" s="354"/>
      <c r="Z384" s="354"/>
      <c r="AA384" s="354"/>
      <c r="AB384" s="354"/>
      <c r="AC384" s="354"/>
      <c r="AD384" s="354"/>
      <c r="AE384" s="354"/>
      <c r="AF384" s="354"/>
      <c r="AG384" s="354"/>
      <c r="AH384" s="354"/>
      <c r="AI384" s="354"/>
      <c r="AJ384" s="354"/>
      <c r="AK384" s="354"/>
      <c r="AL384" s="354"/>
      <c r="AM384" s="354"/>
      <c r="AN384" s="354"/>
      <c r="AO384" s="354"/>
      <c r="AP384" s="354"/>
      <c r="AQ384" s="354"/>
      <c r="AR384" s="354"/>
      <c r="AS384" s="354"/>
      <c r="AT384" s="354"/>
      <c r="AU384" s="354"/>
      <c r="AV384" s="354"/>
      <c r="AW384" s="354"/>
      <c r="AX384" s="354"/>
      <c r="AY384" s="354"/>
      <c r="AZ384" s="354"/>
    </row>
    <row r="385" spans="3:52" x14ac:dyDescent="0.25">
      <c r="C385" s="354"/>
      <c r="D385" s="354"/>
      <c r="E385" s="354"/>
      <c r="F385" s="354"/>
      <c r="G385" s="354"/>
      <c r="H385" s="354"/>
      <c r="I385" s="354"/>
      <c r="J385" s="354"/>
      <c r="K385" s="354"/>
      <c r="L385" s="354"/>
      <c r="M385" s="354"/>
      <c r="N385" s="354"/>
      <c r="O385" s="354"/>
      <c r="P385" s="354"/>
      <c r="Q385" s="354"/>
      <c r="R385" s="370"/>
      <c r="S385" s="354"/>
      <c r="T385" s="354"/>
      <c r="U385" s="354"/>
      <c r="V385" s="354"/>
      <c r="W385" s="354"/>
      <c r="X385" s="354"/>
      <c r="Y385" s="354"/>
      <c r="Z385" s="354"/>
      <c r="AA385" s="354"/>
      <c r="AB385" s="354"/>
      <c r="AC385" s="354"/>
      <c r="AD385" s="354"/>
      <c r="AE385" s="354"/>
      <c r="AF385" s="354"/>
      <c r="AG385" s="354"/>
      <c r="AH385" s="354"/>
      <c r="AI385" s="354"/>
      <c r="AJ385" s="354"/>
      <c r="AK385" s="354"/>
      <c r="AL385" s="354"/>
      <c r="AM385" s="354"/>
      <c r="AN385" s="354"/>
      <c r="AO385" s="354"/>
      <c r="AP385" s="354"/>
      <c r="AQ385" s="354"/>
      <c r="AR385" s="354"/>
      <c r="AS385" s="354"/>
      <c r="AT385" s="354"/>
      <c r="AU385" s="354"/>
      <c r="AV385" s="354"/>
      <c r="AW385" s="354"/>
      <c r="AX385" s="354"/>
      <c r="AY385" s="354"/>
      <c r="AZ385" s="354"/>
    </row>
    <row r="386" spans="3:52" x14ac:dyDescent="0.25">
      <c r="C386" s="354"/>
      <c r="D386" s="354"/>
      <c r="E386" s="354"/>
      <c r="F386" s="354"/>
      <c r="G386" s="354"/>
      <c r="H386" s="354"/>
      <c r="I386" s="354"/>
      <c r="J386" s="354"/>
      <c r="K386" s="354"/>
      <c r="L386" s="354"/>
      <c r="M386" s="354"/>
      <c r="N386" s="354"/>
      <c r="O386" s="354"/>
      <c r="P386" s="354"/>
      <c r="Q386" s="354"/>
      <c r="R386" s="370"/>
      <c r="S386" s="354"/>
      <c r="T386" s="354"/>
      <c r="U386" s="354"/>
      <c r="V386" s="354"/>
      <c r="W386" s="354"/>
      <c r="X386" s="354"/>
      <c r="Y386" s="354"/>
      <c r="Z386" s="354"/>
      <c r="AA386" s="354"/>
      <c r="AB386" s="354"/>
      <c r="AC386" s="354"/>
      <c r="AD386" s="354"/>
      <c r="AE386" s="354"/>
      <c r="AF386" s="354"/>
      <c r="AG386" s="354"/>
      <c r="AH386" s="354"/>
      <c r="AI386" s="354"/>
      <c r="AJ386" s="354"/>
      <c r="AK386" s="354"/>
      <c r="AL386" s="354"/>
      <c r="AM386" s="354"/>
      <c r="AN386" s="354"/>
      <c r="AO386" s="354"/>
      <c r="AP386" s="354"/>
      <c r="AQ386" s="354"/>
      <c r="AR386" s="354"/>
      <c r="AS386" s="354"/>
      <c r="AT386" s="354"/>
      <c r="AU386" s="354"/>
      <c r="AV386" s="354"/>
      <c r="AW386" s="354"/>
      <c r="AX386" s="354"/>
      <c r="AY386" s="354"/>
      <c r="AZ386" s="354"/>
    </row>
    <row r="387" spans="3:52" x14ac:dyDescent="0.25">
      <c r="C387" s="354"/>
      <c r="D387" s="354"/>
      <c r="E387" s="354"/>
      <c r="F387" s="354"/>
      <c r="G387" s="354"/>
      <c r="H387" s="354"/>
      <c r="I387" s="354"/>
      <c r="J387" s="354"/>
      <c r="K387" s="354"/>
      <c r="L387" s="354"/>
      <c r="M387" s="354"/>
      <c r="N387" s="354"/>
      <c r="O387" s="354"/>
      <c r="P387" s="354"/>
      <c r="Q387" s="354"/>
      <c r="R387" s="370"/>
      <c r="S387" s="354"/>
      <c r="T387" s="354"/>
      <c r="U387" s="354"/>
      <c r="V387" s="354"/>
      <c r="W387" s="354"/>
      <c r="X387" s="354"/>
      <c r="Y387" s="354"/>
      <c r="Z387" s="354"/>
      <c r="AA387" s="354"/>
      <c r="AB387" s="354"/>
      <c r="AC387" s="354"/>
      <c r="AD387" s="354"/>
      <c r="AE387" s="354"/>
      <c r="AF387" s="354"/>
      <c r="AG387" s="354"/>
      <c r="AH387" s="354"/>
      <c r="AI387" s="354"/>
      <c r="AJ387" s="354"/>
      <c r="AK387" s="354"/>
      <c r="AL387" s="354"/>
      <c r="AM387" s="354"/>
      <c r="AN387" s="354"/>
      <c r="AO387" s="354"/>
      <c r="AP387" s="354"/>
      <c r="AQ387" s="354"/>
      <c r="AR387" s="354"/>
      <c r="AS387" s="354"/>
      <c r="AT387" s="354"/>
      <c r="AU387" s="354"/>
      <c r="AV387" s="354"/>
      <c r="AW387" s="354"/>
      <c r="AX387" s="354"/>
      <c r="AY387" s="354"/>
      <c r="AZ387" s="354"/>
    </row>
    <row r="388" spans="3:52" x14ac:dyDescent="0.25">
      <c r="C388" s="354"/>
      <c r="D388" s="354"/>
      <c r="E388" s="354"/>
      <c r="F388" s="354"/>
      <c r="G388" s="354"/>
      <c r="H388" s="354"/>
      <c r="I388" s="354"/>
      <c r="J388" s="354"/>
      <c r="K388" s="354"/>
      <c r="L388" s="354"/>
      <c r="M388" s="354"/>
      <c r="N388" s="354"/>
      <c r="O388" s="354"/>
      <c r="P388" s="354"/>
      <c r="Q388" s="354"/>
      <c r="R388" s="370"/>
      <c r="S388" s="354"/>
      <c r="T388" s="354"/>
      <c r="U388" s="354"/>
      <c r="V388" s="354"/>
      <c r="W388" s="354"/>
      <c r="X388" s="354"/>
      <c r="Y388" s="354"/>
      <c r="Z388" s="354"/>
      <c r="AA388" s="354"/>
      <c r="AB388" s="354"/>
      <c r="AC388" s="354"/>
      <c r="AD388" s="354"/>
      <c r="AE388" s="354"/>
      <c r="AF388" s="354"/>
      <c r="AG388" s="354"/>
      <c r="AH388" s="354"/>
      <c r="AI388" s="354"/>
      <c r="AJ388" s="354"/>
      <c r="AK388" s="354"/>
      <c r="AL388" s="354"/>
      <c r="AM388" s="354"/>
      <c r="AN388" s="354"/>
      <c r="AO388" s="354"/>
      <c r="AP388" s="354"/>
      <c r="AQ388" s="354"/>
      <c r="AR388" s="354"/>
      <c r="AS388" s="354"/>
      <c r="AT388" s="354"/>
      <c r="AU388" s="354"/>
      <c r="AV388" s="354"/>
      <c r="AW388" s="354"/>
      <c r="AX388" s="354"/>
      <c r="AY388" s="354"/>
      <c r="AZ388" s="354"/>
    </row>
    <row r="389" spans="3:52" x14ac:dyDescent="0.25">
      <c r="C389" s="354"/>
      <c r="D389" s="354"/>
      <c r="E389" s="354"/>
      <c r="F389" s="354"/>
      <c r="G389" s="354"/>
      <c r="H389" s="354"/>
      <c r="I389" s="354"/>
      <c r="J389" s="354"/>
      <c r="K389" s="354"/>
      <c r="L389" s="354"/>
      <c r="M389" s="354"/>
      <c r="N389" s="354"/>
      <c r="O389" s="354"/>
      <c r="P389" s="354"/>
      <c r="Q389" s="354"/>
      <c r="R389" s="370"/>
      <c r="S389" s="354"/>
      <c r="T389" s="354"/>
      <c r="U389" s="354"/>
      <c r="V389" s="354"/>
      <c r="W389" s="354"/>
      <c r="X389" s="354"/>
      <c r="Y389" s="354"/>
      <c r="Z389" s="354"/>
      <c r="AA389" s="354"/>
      <c r="AB389" s="354"/>
      <c r="AC389" s="354"/>
      <c r="AD389" s="354"/>
      <c r="AE389" s="354"/>
      <c r="AF389" s="354"/>
      <c r="AG389" s="354"/>
      <c r="AH389" s="354"/>
      <c r="AI389" s="354"/>
      <c r="AJ389" s="354"/>
      <c r="AK389" s="354"/>
      <c r="AL389" s="354"/>
      <c r="AM389" s="354"/>
      <c r="AN389" s="354"/>
      <c r="AO389" s="354"/>
      <c r="AP389" s="354"/>
      <c r="AQ389" s="354"/>
      <c r="AR389" s="354"/>
      <c r="AS389" s="354"/>
      <c r="AT389" s="354"/>
      <c r="AU389" s="354"/>
      <c r="AV389" s="354"/>
      <c r="AW389" s="354"/>
      <c r="AX389" s="354"/>
      <c r="AY389" s="354"/>
      <c r="AZ389" s="354"/>
    </row>
    <row r="390" spans="3:52" x14ac:dyDescent="0.25">
      <c r="C390" s="354"/>
      <c r="D390" s="354"/>
      <c r="E390" s="354"/>
      <c r="F390" s="354"/>
      <c r="G390" s="354"/>
      <c r="H390" s="354"/>
      <c r="I390" s="354"/>
      <c r="J390" s="354"/>
      <c r="K390" s="354"/>
      <c r="L390" s="354"/>
      <c r="M390" s="354"/>
      <c r="N390" s="354"/>
      <c r="O390" s="354"/>
      <c r="P390" s="354"/>
      <c r="Q390" s="354"/>
      <c r="R390" s="370"/>
      <c r="S390" s="354"/>
      <c r="T390" s="354"/>
      <c r="U390" s="354"/>
      <c r="V390" s="354"/>
      <c r="W390" s="354"/>
      <c r="X390" s="354"/>
      <c r="Y390" s="354"/>
      <c r="Z390" s="354"/>
      <c r="AA390" s="354"/>
      <c r="AB390" s="354"/>
      <c r="AC390" s="354"/>
      <c r="AD390" s="354"/>
      <c r="AE390" s="354"/>
      <c r="AF390" s="354"/>
      <c r="AG390" s="354"/>
      <c r="AH390" s="354"/>
      <c r="AI390" s="354"/>
      <c r="AJ390" s="354"/>
      <c r="AK390" s="354"/>
      <c r="AL390" s="354"/>
      <c r="AM390" s="354"/>
      <c r="AN390" s="354"/>
      <c r="AO390" s="354"/>
      <c r="AP390" s="354"/>
      <c r="AQ390" s="354"/>
      <c r="AR390" s="354"/>
      <c r="AS390" s="354"/>
      <c r="AT390" s="354"/>
      <c r="AU390" s="354"/>
      <c r="AV390" s="354"/>
      <c r="AW390" s="354"/>
      <c r="AX390" s="354"/>
      <c r="AY390" s="354"/>
      <c r="AZ390" s="354"/>
    </row>
    <row r="391" spans="3:52" x14ac:dyDescent="0.25">
      <c r="C391" s="354"/>
      <c r="D391" s="354"/>
      <c r="E391" s="354"/>
      <c r="F391" s="354"/>
      <c r="G391" s="354"/>
      <c r="H391" s="354"/>
      <c r="I391" s="354"/>
      <c r="J391" s="354"/>
      <c r="K391" s="354"/>
      <c r="L391" s="354"/>
      <c r="M391" s="354"/>
      <c r="N391" s="354"/>
      <c r="O391" s="354"/>
      <c r="P391" s="354"/>
      <c r="Q391" s="354"/>
      <c r="R391" s="370"/>
      <c r="S391" s="354"/>
      <c r="T391" s="354"/>
      <c r="U391" s="354"/>
      <c r="V391" s="354"/>
      <c r="W391" s="354"/>
      <c r="X391" s="354"/>
      <c r="Y391" s="354"/>
      <c r="Z391" s="354"/>
      <c r="AA391" s="354"/>
      <c r="AB391" s="354"/>
      <c r="AC391" s="354"/>
      <c r="AD391" s="354"/>
      <c r="AE391" s="354"/>
      <c r="AF391" s="354"/>
      <c r="AG391" s="354"/>
      <c r="AH391" s="354"/>
      <c r="AI391" s="354"/>
      <c r="AJ391" s="354"/>
      <c r="AK391" s="354"/>
      <c r="AL391" s="354"/>
      <c r="AM391" s="354"/>
      <c r="AN391" s="354"/>
      <c r="AO391" s="354"/>
      <c r="AP391" s="354"/>
      <c r="AQ391" s="354"/>
      <c r="AR391" s="354"/>
      <c r="AS391" s="354"/>
      <c r="AT391" s="354"/>
      <c r="AU391" s="354"/>
      <c r="AV391" s="354"/>
      <c r="AW391" s="354"/>
      <c r="AX391" s="354"/>
      <c r="AY391" s="354"/>
      <c r="AZ391" s="354"/>
    </row>
    <row r="392" spans="3:52" x14ac:dyDescent="0.25">
      <c r="C392" s="354"/>
      <c r="D392" s="354"/>
      <c r="E392" s="354"/>
      <c r="F392" s="354"/>
      <c r="G392" s="354"/>
      <c r="H392" s="354"/>
      <c r="I392" s="354"/>
      <c r="J392" s="354"/>
      <c r="K392" s="354"/>
      <c r="L392" s="354"/>
      <c r="M392" s="354"/>
      <c r="N392" s="354"/>
      <c r="O392" s="354"/>
      <c r="P392" s="354"/>
      <c r="Q392" s="354"/>
      <c r="R392" s="370"/>
      <c r="S392" s="354"/>
      <c r="T392" s="354"/>
      <c r="U392" s="354"/>
      <c r="V392" s="354"/>
      <c r="W392" s="354"/>
      <c r="X392" s="354"/>
      <c r="Y392" s="354"/>
      <c r="Z392" s="354"/>
      <c r="AA392" s="354"/>
      <c r="AB392" s="354"/>
      <c r="AC392" s="354"/>
      <c r="AD392" s="354"/>
      <c r="AE392" s="354"/>
      <c r="AF392" s="354"/>
      <c r="AG392" s="354"/>
      <c r="AH392" s="354"/>
      <c r="AI392" s="354"/>
      <c r="AJ392" s="354"/>
      <c r="AK392" s="354"/>
      <c r="AL392" s="354"/>
      <c r="AM392" s="354"/>
      <c r="AN392" s="354"/>
      <c r="AO392" s="354"/>
      <c r="AP392" s="354"/>
      <c r="AQ392" s="354"/>
      <c r="AR392" s="354"/>
      <c r="AS392" s="354"/>
      <c r="AT392" s="354"/>
      <c r="AU392" s="354"/>
      <c r="AV392" s="354"/>
      <c r="AW392" s="354"/>
      <c r="AX392" s="354"/>
      <c r="AY392" s="354"/>
      <c r="AZ392" s="354"/>
    </row>
    <row r="393" spans="3:52" x14ac:dyDescent="0.25">
      <c r="C393" s="354"/>
      <c r="D393" s="354"/>
      <c r="E393" s="354"/>
      <c r="F393" s="354"/>
      <c r="G393" s="354"/>
      <c r="H393" s="354"/>
      <c r="I393" s="354"/>
      <c r="J393" s="354"/>
      <c r="K393" s="354"/>
      <c r="L393" s="354"/>
      <c r="M393" s="354"/>
      <c r="N393" s="354"/>
      <c r="O393" s="354"/>
      <c r="P393" s="354"/>
      <c r="Q393" s="354"/>
      <c r="R393" s="370"/>
      <c r="S393" s="354"/>
      <c r="T393" s="354"/>
      <c r="U393" s="354"/>
      <c r="V393" s="354"/>
      <c r="W393" s="354"/>
      <c r="X393" s="354"/>
      <c r="Y393" s="354"/>
      <c r="Z393" s="354"/>
      <c r="AA393" s="354"/>
      <c r="AB393" s="354"/>
      <c r="AC393" s="354"/>
      <c r="AD393" s="354"/>
      <c r="AE393" s="354"/>
      <c r="AF393" s="354"/>
      <c r="AG393" s="354"/>
      <c r="AH393" s="354"/>
      <c r="AI393" s="354"/>
      <c r="AJ393" s="354"/>
      <c r="AK393" s="354"/>
      <c r="AL393" s="354"/>
      <c r="AM393" s="354"/>
      <c r="AN393" s="354"/>
      <c r="AO393" s="354"/>
      <c r="AP393" s="354"/>
      <c r="AQ393" s="354"/>
      <c r="AR393" s="354"/>
      <c r="AS393" s="354"/>
      <c r="AT393" s="354"/>
      <c r="AU393" s="354"/>
      <c r="AV393" s="354"/>
      <c r="AW393" s="354"/>
      <c r="AX393" s="354"/>
      <c r="AY393" s="354"/>
      <c r="AZ393" s="354"/>
    </row>
    <row r="394" spans="3:52" x14ac:dyDescent="0.25">
      <c r="C394" s="354"/>
      <c r="D394" s="354"/>
      <c r="E394" s="354"/>
      <c r="F394" s="354"/>
      <c r="G394" s="354"/>
      <c r="H394" s="354"/>
      <c r="I394" s="354"/>
      <c r="J394" s="354"/>
      <c r="K394" s="354"/>
      <c r="L394" s="354"/>
      <c r="M394" s="354"/>
      <c r="N394" s="354"/>
      <c r="O394" s="354"/>
      <c r="P394" s="354"/>
      <c r="Q394" s="354"/>
      <c r="R394" s="370"/>
      <c r="S394" s="354"/>
      <c r="T394" s="354"/>
      <c r="U394" s="354"/>
      <c r="V394" s="354"/>
      <c r="W394" s="354"/>
      <c r="X394" s="354"/>
      <c r="Y394" s="354"/>
      <c r="Z394" s="354"/>
      <c r="AA394" s="354"/>
      <c r="AB394" s="354"/>
      <c r="AC394" s="354"/>
      <c r="AD394" s="354"/>
      <c r="AE394" s="354"/>
      <c r="AF394" s="354"/>
      <c r="AG394" s="354"/>
      <c r="AH394" s="354"/>
      <c r="AI394" s="354"/>
      <c r="AJ394" s="354"/>
      <c r="AK394" s="354"/>
      <c r="AL394" s="354"/>
      <c r="AM394" s="354"/>
      <c r="AN394" s="354"/>
      <c r="AO394" s="354"/>
      <c r="AP394" s="354"/>
      <c r="AQ394" s="354"/>
      <c r="AR394" s="354"/>
      <c r="AS394" s="354"/>
      <c r="AT394" s="354"/>
      <c r="AU394" s="354"/>
      <c r="AV394" s="354"/>
      <c r="AW394" s="354"/>
      <c r="AX394" s="354"/>
      <c r="AY394" s="354"/>
      <c r="AZ394" s="354"/>
    </row>
    <row r="395" spans="3:52" x14ac:dyDescent="0.25">
      <c r="C395" s="354"/>
      <c r="D395" s="354"/>
      <c r="E395" s="354"/>
      <c r="F395" s="354"/>
      <c r="G395" s="354"/>
      <c r="H395" s="354"/>
      <c r="I395" s="354"/>
      <c r="J395" s="354"/>
      <c r="K395" s="354"/>
      <c r="L395" s="354"/>
      <c r="M395" s="354"/>
      <c r="N395" s="354"/>
      <c r="O395" s="354"/>
      <c r="P395" s="354"/>
      <c r="Q395" s="354"/>
      <c r="R395" s="370"/>
      <c r="S395" s="354"/>
      <c r="T395" s="354"/>
      <c r="U395" s="354"/>
      <c r="V395" s="354"/>
      <c r="W395" s="354"/>
      <c r="X395" s="354"/>
      <c r="Y395" s="354"/>
      <c r="Z395" s="354"/>
      <c r="AA395" s="354"/>
      <c r="AB395" s="354"/>
      <c r="AC395" s="354"/>
      <c r="AD395" s="354"/>
      <c r="AE395" s="354"/>
      <c r="AF395" s="354"/>
      <c r="AG395" s="354"/>
      <c r="AH395" s="354"/>
      <c r="AI395" s="354"/>
      <c r="AJ395" s="354"/>
      <c r="AK395" s="354"/>
      <c r="AL395" s="354"/>
      <c r="AM395" s="354"/>
      <c r="AN395" s="354"/>
      <c r="AO395" s="354"/>
      <c r="AP395" s="354"/>
      <c r="AQ395" s="354"/>
      <c r="AR395" s="354"/>
      <c r="AS395" s="354"/>
      <c r="AT395" s="354"/>
      <c r="AU395" s="354"/>
      <c r="AV395" s="354"/>
      <c r="AW395" s="354"/>
      <c r="AX395" s="354"/>
      <c r="AY395" s="354"/>
      <c r="AZ395" s="354"/>
    </row>
    <row r="396" spans="3:52" x14ac:dyDescent="0.25">
      <c r="C396" s="354"/>
      <c r="D396" s="354"/>
      <c r="E396" s="354"/>
      <c r="F396" s="354"/>
      <c r="G396" s="354"/>
      <c r="H396" s="354"/>
      <c r="I396" s="354"/>
      <c r="J396" s="354"/>
      <c r="K396" s="354"/>
      <c r="L396" s="354"/>
      <c r="M396" s="354"/>
      <c r="N396" s="354"/>
      <c r="O396" s="354"/>
      <c r="P396" s="354"/>
      <c r="Q396" s="354"/>
      <c r="R396" s="370"/>
      <c r="S396" s="354"/>
      <c r="T396" s="354"/>
      <c r="U396" s="354"/>
      <c r="V396" s="354"/>
      <c r="W396" s="354"/>
      <c r="X396" s="354"/>
      <c r="Y396" s="354"/>
      <c r="Z396" s="354"/>
      <c r="AA396" s="354"/>
      <c r="AB396" s="354"/>
      <c r="AC396" s="354"/>
      <c r="AD396" s="354"/>
      <c r="AE396" s="354"/>
      <c r="AF396" s="354"/>
      <c r="AG396" s="354"/>
      <c r="AH396" s="354"/>
      <c r="AI396" s="354"/>
      <c r="AJ396" s="354"/>
      <c r="AK396" s="354"/>
      <c r="AL396" s="354"/>
      <c r="AM396" s="354"/>
      <c r="AN396" s="354"/>
      <c r="AO396" s="354"/>
      <c r="AP396" s="354"/>
      <c r="AQ396" s="354"/>
      <c r="AR396" s="354"/>
      <c r="AS396" s="354"/>
      <c r="AT396" s="354"/>
      <c r="AU396" s="354"/>
      <c r="AV396" s="354"/>
      <c r="AW396" s="354"/>
      <c r="AX396" s="354"/>
      <c r="AY396" s="354"/>
      <c r="AZ396" s="354"/>
    </row>
    <row r="397" spans="3:52" x14ac:dyDescent="0.25">
      <c r="C397" s="354"/>
      <c r="D397" s="354"/>
      <c r="E397" s="354"/>
      <c r="F397" s="354"/>
      <c r="G397" s="354"/>
      <c r="H397" s="354"/>
      <c r="I397" s="354"/>
      <c r="J397" s="354"/>
      <c r="K397" s="354"/>
      <c r="L397" s="354"/>
      <c r="M397" s="354"/>
      <c r="N397" s="354"/>
      <c r="O397" s="354"/>
      <c r="P397" s="354"/>
      <c r="Q397" s="354"/>
      <c r="R397" s="370"/>
      <c r="S397" s="354"/>
      <c r="T397" s="354"/>
      <c r="U397" s="354"/>
      <c r="V397" s="354"/>
      <c r="W397" s="354"/>
      <c r="X397" s="354"/>
      <c r="Y397" s="354"/>
      <c r="Z397" s="354"/>
      <c r="AA397" s="354"/>
      <c r="AB397" s="354"/>
      <c r="AC397" s="354"/>
      <c r="AD397" s="354"/>
      <c r="AE397" s="354"/>
      <c r="AF397" s="354"/>
      <c r="AG397" s="354"/>
      <c r="AH397" s="354"/>
      <c r="AI397" s="354"/>
      <c r="AJ397" s="354"/>
      <c r="AK397" s="354"/>
      <c r="AL397" s="354"/>
      <c r="AM397" s="354"/>
      <c r="AN397" s="354"/>
      <c r="AO397" s="354"/>
      <c r="AP397" s="354"/>
      <c r="AQ397" s="354"/>
      <c r="AR397" s="354"/>
      <c r="AS397" s="354"/>
      <c r="AT397" s="354"/>
      <c r="AU397" s="354"/>
      <c r="AV397" s="354"/>
      <c r="AW397" s="354"/>
      <c r="AX397" s="354"/>
      <c r="AY397" s="354"/>
      <c r="AZ397" s="354"/>
    </row>
    <row r="398" spans="3:52" x14ac:dyDescent="0.25">
      <c r="C398" s="354"/>
      <c r="D398" s="354"/>
      <c r="E398" s="354"/>
      <c r="F398" s="354"/>
      <c r="G398" s="354"/>
      <c r="H398" s="354"/>
      <c r="I398" s="354"/>
      <c r="J398" s="354"/>
      <c r="K398" s="354"/>
      <c r="L398" s="354"/>
      <c r="M398" s="354"/>
      <c r="N398" s="354"/>
      <c r="O398" s="354"/>
      <c r="P398" s="354"/>
      <c r="Q398" s="354"/>
      <c r="R398" s="370"/>
      <c r="S398" s="354"/>
      <c r="T398" s="354"/>
      <c r="U398" s="354"/>
      <c r="V398" s="354"/>
      <c r="W398" s="354"/>
      <c r="X398" s="354"/>
      <c r="Y398" s="354"/>
      <c r="Z398" s="354"/>
      <c r="AA398" s="354"/>
      <c r="AB398" s="354"/>
      <c r="AC398" s="354"/>
      <c r="AD398" s="354"/>
      <c r="AE398" s="354"/>
      <c r="AF398" s="354"/>
      <c r="AG398" s="354"/>
      <c r="AH398" s="354"/>
      <c r="AI398" s="354"/>
      <c r="AJ398" s="354"/>
      <c r="AK398" s="354"/>
      <c r="AL398" s="354"/>
      <c r="AM398" s="354"/>
      <c r="AN398" s="354"/>
      <c r="AO398" s="354"/>
      <c r="AP398" s="354"/>
      <c r="AQ398" s="354"/>
      <c r="AR398" s="354"/>
      <c r="AS398" s="354"/>
      <c r="AT398" s="354"/>
      <c r="AU398" s="354"/>
      <c r="AV398" s="354"/>
      <c r="AW398" s="354"/>
      <c r="AX398" s="354"/>
      <c r="AY398" s="354"/>
      <c r="AZ398" s="354"/>
    </row>
    <row r="399" spans="3:52" x14ac:dyDescent="0.25">
      <c r="C399" s="354"/>
      <c r="D399" s="354"/>
      <c r="E399" s="354"/>
      <c r="F399" s="354"/>
      <c r="G399" s="354"/>
      <c r="H399" s="354"/>
      <c r="I399" s="354"/>
      <c r="J399" s="354"/>
      <c r="K399" s="354"/>
      <c r="L399" s="354"/>
      <c r="M399" s="354"/>
      <c r="N399" s="354"/>
      <c r="O399" s="354"/>
      <c r="P399" s="354"/>
      <c r="Q399" s="354"/>
      <c r="R399" s="370"/>
      <c r="S399" s="354"/>
      <c r="T399" s="354"/>
      <c r="U399" s="354"/>
      <c r="V399" s="354"/>
      <c r="W399" s="354"/>
      <c r="X399" s="354"/>
      <c r="Y399" s="354"/>
      <c r="Z399" s="354"/>
      <c r="AA399" s="354"/>
      <c r="AB399" s="354"/>
      <c r="AC399" s="354"/>
      <c r="AD399" s="354"/>
      <c r="AE399" s="354"/>
      <c r="AF399" s="354"/>
      <c r="AG399" s="354"/>
      <c r="AH399" s="354"/>
      <c r="AI399" s="354"/>
      <c r="AJ399" s="354"/>
      <c r="AK399" s="354"/>
      <c r="AL399" s="354"/>
      <c r="AM399" s="354"/>
      <c r="AN399" s="354"/>
      <c r="AO399" s="354"/>
      <c r="AP399" s="354"/>
      <c r="AQ399" s="354"/>
      <c r="AR399" s="354"/>
      <c r="AS399" s="354"/>
      <c r="AT399" s="354"/>
      <c r="AU399" s="354"/>
      <c r="AV399" s="354"/>
      <c r="AW399" s="354"/>
      <c r="AX399" s="354"/>
      <c r="AY399" s="354"/>
      <c r="AZ399" s="354"/>
    </row>
    <row r="400" spans="3:52" x14ac:dyDescent="0.25">
      <c r="C400" s="354"/>
      <c r="D400" s="354"/>
      <c r="E400" s="354"/>
      <c r="F400" s="354"/>
      <c r="G400" s="354"/>
      <c r="H400" s="354"/>
      <c r="I400" s="354"/>
      <c r="J400" s="354"/>
      <c r="K400" s="354"/>
      <c r="L400" s="354"/>
      <c r="M400" s="354"/>
      <c r="N400" s="354"/>
      <c r="O400" s="354"/>
      <c r="P400" s="354"/>
      <c r="Q400" s="354"/>
      <c r="R400" s="370"/>
      <c r="S400" s="354"/>
      <c r="T400" s="354"/>
      <c r="U400" s="354"/>
      <c r="V400" s="354"/>
      <c r="W400" s="354"/>
      <c r="X400" s="354"/>
      <c r="Y400" s="354"/>
      <c r="Z400" s="354"/>
      <c r="AA400" s="354"/>
      <c r="AB400" s="354"/>
      <c r="AC400" s="354"/>
      <c r="AD400" s="354"/>
      <c r="AE400" s="354"/>
      <c r="AF400" s="354"/>
      <c r="AG400" s="354"/>
      <c r="AH400" s="354"/>
      <c r="AI400" s="354"/>
      <c r="AJ400" s="354"/>
      <c r="AK400" s="354"/>
      <c r="AL400" s="354"/>
      <c r="AM400" s="354"/>
      <c r="AN400" s="354"/>
      <c r="AO400" s="354"/>
      <c r="AP400" s="354"/>
      <c r="AQ400" s="354"/>
      <c r="AR400" s="354"/>
      <c r="AS400" s="354"/>
      <c r="AT400" s="354"/>
      <c r="AU400" s="354"/>
      <c r="AV400" s="354"/>
      <c r="AW400" s="354"/>
      <c r="AX400" s="354"/>
      <c r="AY400" s="354"/>
      <c r="AZ400" s="354"/>
    </row>
    <row r="401" spans="3:52" x14ac:dyDescent="0.25">
      <c r="C401" s="354"/>
      <c r="D401" s="354"/>
      <c r="E401" s="354"/>
      <c r="F401" s="354"/>
      <c r="G401" s="354"/>
      <c r="H401" s="354"/>
      <c r="I401" s="354"/>
      <c r="J401" s="354"/>
      <c r="K401" s="354"/>
      <c r="L401" s="354"/>
      <c r="M401" s="354"/>
      <c r="N401" s="354"/>
      <c r="O401" s="354"/>
      <c r="P401" s="354"/>
      <c r="Q401" s="354"/>
      <c r="R401" s="370"/>
      <c r="S401" s="354"/>
      <c r="T401" s="354"/>
      <c r="U401" s="354"/>
      <c r="V401" s="354"/>
      <c r="W401" s="354"/>
      <c r="X401" s="354"/>
      <c r="Y401" s="354"/>
      <c r="Z401" s="354"/>
      <c r="AA401" s="354"/>
      <c r="AB401" s="354"/>
      <c r="AC401" s="354"/>
      <c r="AD401" s="354"/>
      <c r="AE401" s="354"/>
      <c r="AF401" s="354"/>
      <c r="AG401" s="354"/>
      <c r="AH401" s="354"/>
      <c r="AI401" s="354"/>
      <c r="AJ401" s="354"/>
      <c r="AK401" s="354"/>
      <c r="AL401" s="354"/>
      <c r="AM401" s="354"/>
      <c r="AN401" s="354"/>
      <c r="AO401" s="354"/>
      <c r="AP401" s="354"/>
      <c r="AQ401" s="354"/>
      <c r="AR401" s="354"/>
      <c r="AS401" s="354"/>
      <c r="AT401" s="354"/>
      <c r="AU401" s="354"/>
      <c r="AV401" s="354"/>
      <c r="AW401" s="354"/>
      <c r="AX401" s="354"/>
      <c r="AY401" s="354"/>
      <c r="AZ401" s="354"/>
    </row>
    <row r="402" spans="3:52" x14ac:dyDescent="0.25">
      <c r="C402" s="354"/>
      <c r="D402" s="354"/>
      <c r="E402" s="354"/>
      <c r="F402" s="354"/>
      <c r="G402" s="354"/>
      <c r="H402" s="354"/>
      <c r="I402" s="354"/>
      <c r="J402" s="354"/>
      <c r="K402" s="354"/>
      <c r="L402" s="354"/>
      <c r="M402" s="354"/>
      <c r="N402" s="354"/>
      <c r="O402" s="354"/>
      <c r="P402" s="354"/>
      <c r="Q402" s="354"/>
      <c r="R402" s="370"/>
      <c r="S402" s="354"/>
      <c r="T402" s="354"/>
      <c r="U402" s="354"/>
      <c r="V402" s="354"/>
      <c r="W402" s="354"/>
      <c r="X402" s="354"/>
      <c r="Y402" s="354"/>
      <c r="Z402" s="354"/>
      <c r="AA402" s="354"/>
      <c r="AB402" s="354"/>
      <c r="AC402" s="354"/>
      <c r="AD402" s="354"/>
      <c r="AE402" s="354"/>
      <c r="AF402" s="354"/>
      <c r="AG402" s="354"/>
      <c r="AH402" s="354"/>
      <c r="AI402" s="354"/>
      <c r="AJ402" s="354"/>
      <c r="AK402" s="354"/>
      <c r="AL402" s="354"/>
      <c r="AM402" s="354"/>
      <c r="AN402" s="354"/>
      <c r="AO402" s="354"/>
      <c r="AP402" s="354"/>
      <c r="AQ402" s="354"/>
      <c r="AR402" s="354"/>
      <c r="AS402" s="354"/>
      <c r="AT402" s="354"/>
      <c r="AU402" s="354"/>
      <c r="AV402" s="354"/>
      <c r="AW402" s="354"/>
      <c r="AX402" s="354"/>
      <c r="AY402" s="354"/>
      <c r="AZ402" s="354"/>
    </row>
    <row r="403" spans="3:52" x14ac:dyDescent="0.25">
      <c r="C403" s="354"/>
      <c r="D403" s="354"/>
      <c r="E403" s="354"/>
      <c r="F403" s="354"/>
      <c r="G403" s="354"/>
      <c r="H403" s="354"/>
      <c r="I403" s="354"/>
      <c r="J403" s="354"/>
      <c r="K403" s="354"/>
      <c r="L403" s="354"/>
      <c r="M403" s="354"/>
      <c r="N403" s="354"/>
      <c r="O403" s="354"/>
      <c r="P403" s="354"/>
      <c r="Q403" s="354"/>
      <c r="R403" s="370"/>
      <c r="S403" s="354"/>
      <c r="T403" s="354"/>
      <c r="U403" s="354"/>
      <c r="V403" s="354"/>
      <c r="W403" s="354"/>
      <c r="X403" s="354"/>
      <c r="Y403" s="354"/>
      <c r="Z403" s="354"/>
      <c r="AA403" s="354"/>
      <c r="AB403" s="354"/>
      <c r="AC403" s="354"/>
      <c r="AD403" s="354"/>
      <c r="AE403" s="354"/>
      <c r="AF403" s="354"/>
      <c r="AG403" s="354"/>
      <c r="AH403" s="354"/>
      <c r="AI403" s="354"/>
      <c r="AJ403" s="354"/>
      <c r="AK403" s="354"/>
      <c r="AL403" s="354"/>
      <c r="AM403" s="354"/>
      <c r="AN403" s="354"/>
      <c r="AO403" s="354"/>
      <c r="AP403" s="354"/>
      <c r="AQ403" s="354"/>
      <c r="AR403" s="354"/>
      <c r="AS403" s="354"/>
      <c r="AT403" s="354"/>
      <c r="AU403" s="354"/>
      <c r="AV403" s="354"/>
      <c r="AW403" s="354"/>
      <c r="AX403" s="354"/>
      <c r="AY403" s="354"/>
      <c r="AZ403" s="354"/>
    </row>
    <row r="404" spans="3:52" x14ac:dyDescent="0.25">
      <c r="C404" s="354"/>
      <c r="D404" s="354"/>
      <c r="E404" s="354"/>
      <c r="F404" s="354"/>
      <c r="G404" s="354"/>
      <c r="H404" s="354"/>
      <c r="I404" s="354"/>
      <c r="J404" s="354"/>
      <c r="K404" s="354"/>
      <c r="L404" s="354"/>
      <c r="M404" s="354"/>
      <c r="N404" s="354"/>
      <c r="O404" s="354"/>
      <c r="P404" s="354"/>
      <c r="Q404" s="354"/>
      <c r="R404" s="370"/>
      <c r="S404" s="354"/>
      <c r="T404" s="354"/>
      <c r="U404" s="354"/>
      <c r="V404" s="354"/>
      <c r="W404" s="354"/>
      <c r="X404" s="354"/>
      <c r="Y404" s="354"/>
      <c r="Z404" s="354"/>
      <c r="AA404" s="354"/>
      <c r="AB404" s="354"/>
      <c r="AC404" s="354"/>
      <c r="AD404" s="354"/>
      <c r="AE404" s="354"/>
      <c r="AF404" s="354"/>
      <c r="AG404" s="354"/>
      <c r="AH404" s="354"/>
      <c r="AI404" s="354"/>
      <c r="AJ404" s="354"/>
      <c r="AK404" s="354"/>
      <c r="AL404" s="354"/>
      <c r="AM404" s="354"/>
      <c r="AN404" s="354"/>
      <c r="AO404" s="354"/>
      <c r="AP404" s="354"/>
      <c r="AQ404" s="354"/>
      <c r="AR404" s="354"/>
      <c r="AS404" s="354"/>
      <c r="AT404" s="354"/>
      <c r="AU404" s="354"/>
      <c r="AV404" s="354"/>
      <c r="AW404" s="354"/>
      <c r="AX404" s="354"/>
      <c r="AY404" s="354"/>
      <c r="AZ404" s="354"/>
    </row>
    <row r="405" spans="3:52" x14ac:dyDescent="0.25">
      <c r="C405" s="354"/>
      <c r="D405" s="354"/>
      <c r="E405" s="354"/>
      <c r="F405" s="354"/>
      <c r="G405" s="354"/>
      <c r="H405" s="354"/>
      <c r="I405" s="354"/>
      <c r="J405" s="354"/>
      <c r="K405" s="354"/>
      <c r="L405" s="354"/>
      <c r="M405" s="354"/>
      <c r="N405" s="354"/>
      <c r="O405" s="354"/>
      <c r="P405" s="354"/>
      <c r="Q405" s="354"/>
      <c r="R405" s="370"/>
      <c r="S405" s="354"/>
      <c r="T405" s="354"/>
      <c r="U405" s="354"/>
      <c r="V405" s="354"/>
      <c r="W405" s="354"/>
      <c r="X405" s="354"/>
      <c r="Y405" s="354"/>
      <c r="Z405" s="354"/>
      <c r="AA405" s="354"/>
      <c r="AB405" s="354"/>
      <c r="AC405" s="354"/>
      <c r="AD405" s="354"/>
      <c r="AE405" s="354"/>
      <c r="AF405" s="354"/>
      <c r="AG405" s="354"/>
      <c r="AH405" s="354"/>
      <c r="AI405" s="354"/>
      <c r="AJ405" s="354"/>
      <c r="AK405" s="354"/>
      <c r="AL405" s="354"/>
      <c r="AM405" s="354"/>
      <c r="AN405" s="354"/>
      <c r="AO405" s="354"/>
      <c r="AP405" s="354"/>
      <c r="AQ405" s="354"/>
      <c r="AR405" s="354"/>
      <c r="AS405" s="354"/>
      <c r="AT405" s="354"/>
      <c r="AU405" s="354"/>
      <c r="AV405" s="354"/>
      <c r="AW405" s="354"/>
      <c r="AX405" s="354"/>
      <c r="AY405" s="354"/>
      <c r="AZ405" s="354"/>
    </row>
    <row r="406" spans="3:52" x14ac:dyDescent="0.25">
      <c r="C406" s="354"/>
      <c r="D406" s="354"/>
      <c r="E406" s="354"/>
      <c r="F406" s="354"/>
      <c r="G406" s="354"/>
      <c r="H406" s="354"/>
      <c r="I406" s="354"/>
      <c r="J406" s="354"/>
      <c r="K406" s="354"/>
      <c r="L406" s="354"/>
      <c r="M406" s="354"/>
      <c r="N406" s="354"/>
      <c r="O406" s="354"/>
      <c r="P406" s="354"/>
      <c r="Q406" s="354"/>
      <c r="R406" s="370"/>
      <c r="S406" s="354"/>
      <c r="T406" s="354"/>
      <c r="U406" s="354"/>
      <c r="V406" s="354"/>
      <c r="W406" s="354"/>
      <c r="X406" s="354"/>
      <c r="Y406" s="354"/>
      <c r="Z406" s="354"/>
      <c r="AA406" s="354"/>
      <c r="AB406" s="354"/>
      <c r="AC406" s="354"/>
      <c r="AD406" s="354"/>
      <c r="AE406" s="354"/>
      <c r="AF406" s="354"/>
      <c r="AG406" s="354"/>
      <c r="AH406" s="354"/>
      <c r="AI406" s="354"/>
      <c r="AJ406" s="354"/>
      <c r="AK406" s="354"/>
      <c r="AL406" s="354"/>
      <c r="AM406" s="354"/>
      <c r="AN406" s="354"/>
      <c r="AO406" s="354"/>
      <c r="AP406" s="354"/>
      <c r="AQ406" s="354"/>
      <c r="AR406" s="354"/>
      <c r="AS406" s="354"/>
      <c r="AT406" s="354"/>
      <c r="AU406" s="354"/>
      <c r="AV406" s="354"/>
      <c r="AW406" s="354"/>
      <c r="AX406" s="354"/>
      <c r="AY406" s="354"/>
      <c r="AZ406" s="354"/>
    </row>
    <row r="407" spans="3:52" x14ac:dyDescent="0.25">
      <c r="C407" s="354"/>
      <c r="D407" s="354"/>
      <c r="E407" s="354"/>
      <c r="F407" s="354"/>
      <c r="G407" s="354"/>
      <c r="H407" s="354"/>
      <c r="I407" s="354"/>
      <c r="J407" s="354"/>
      <c r="K407" s="354"/>
      <c r="L407" s="354"/>
      <c r="M407" s="354"/>
      <c r="N407" s="354"/>
      <c r="O407" s="354"/>
      <c r="P407" s="354"/>
      <c r="Q407" s="354"/>
      <c r="R407" s="370"/>
      <c r="S407" s="354"/>
      <c r="T407" s="354"/>
      <c r="U407" s="354"/>
      <c r="V407" s="354"/>
      <c r="W407" s="354"/>
      <c r="X407" s="354"/>
      <c r="Y407" s="354"/>
      <c r="Z407" s="354"/>
      <c r="AA407" s="354"/>
      <c r="AB407" s="354"/>
      <c r="AC407" s="354"/>
      <c r="AD407" s="354"/>
      <c r="AE407" s="354"/>
      <c r="AF407" s="354"/>
      <c r="AG407" s="354"/>
      <c r="AH407" s="354"/>
      <c r="AI407" s="354"/>
      <c r="AJ407" s="354"/>
      <c r="AK407" s="354"/>
      <c r="AL407" s="354"/>
      <c r="AM407" s="354"/>
      <c r="AN407" s="354"/>
      <c r="AO407" s="354"/>
      <c r="AP407" s="354"/>
      <c r="AQ407" s="354"/>
      <c r="AR407" s="354"/>
      <c r="AS407" s="354"/>
      <c r="AT407" s="354"/>
      <c r="AU407" s="354"/>
      <c r="AV407" s="354"/>
      <c r="AW407" s="354"/>
      <c r="AX407" s="354"/>
      <c r="AY407" s="354"/>
      <c r="AZ407" s="354"/>
    </row>
    <row r="408" spans="3:52" x14ac:dyDescent="0.25">
      <c r="C408" s="354"/>
      <c r="D408" s="354"/>
      <c r="E408" s="354"/>
      <c r="F408" s="354"/>
      <c r="G408" s="354"/>
      <c r="H408" s="354"/>
      <c r="I408" s="354"/>
      <c r="J408" s="354"/>
      <c r="K408" s="354"/>
      <c r="L408" s="354"/>
      <c r="M408" s="354"/>
      <c r="N408" s="354"/>
      <c r="O408" s="354"/>
      <c r="P408" s="354"/>
      <c r="Q408" s="354"/>
      <c r="R408" s="370"/>
      <c r="S408" s="354"/>
      <c r="T408" s="354"/>
      <c r="U408" s="354"/>
      <c r="V408" s="354"/>
      <c r="W408" s="354"/>
      <c r="X408" s="354"/>
      <c r="Y408" s="354"/>
      <c r="Z408" s="354"/>
      <c r="AA408" s="354"/>
      <c r="AB408" s="354"/>
      <c r="AC408" s="354"/>
      <c r="AD408" s="354"/>
      <c r="AE408" s="354"/>
      <c r="AF408" s="354"/>
      <c r="AG408" s="354"/>
      <c r="AH408" s="354"/>
      <c r="AI408" s="354"/>
      <c r="AJ408" s="354"/>
      <c r="AK408" s="354"/>
      <c r="AL408" s="354"/>
      <c r="AM408" s="354"/>
      <c r="AN408" s="354"/>
      <c r="AO408" s="354"/>
      <c r="AP408" s="354"/>
      <c r="AQ408" s="354"/>
      <c r="AR408" s="354"/>
      <c r="AS408" s="354"/>
      <c r="AT408" s="354"/>
      <c r="AU408" s="354"/>
      <c r="AV408" s="354"/>
      <c r="AW408" s="354"/>
      <c r="AX408" s="354"/>
      <c r="AY408" s="354"/>
      <c r="AZ408" s="354"/>
    </row>
    <row r="409" spans="3:52" x14ac:dyDescent="0.25">
      <c r="C409" s="354"/>
      <c r="D409" s="354"/>
      <c r="E409" s="354"/>
      <c r="F409" s="354"/>
      <c r="G409" s="354"/>
      <c r="H409" s="354"/>
      <c r="I409" s="354"/>
      <c r="J409" s="354"/>
      <c r="K409" s="354"/>
      <c r="L409" s="354"/>
      <c r="M409" s="354"/>
      <c r="N409" s="354"/>
      <c r="O409" s="354"/>
      <c r="P409" s="354"/>
      <c r="Q409" s="354"/>
      <c r="R409" s="370"/>
      <c r="S409" s="354"/>
      <c r="T409" s="354"/>
      <c r="U409" s="354"/>
      <c r="V409" s="354"/>
      <c r="W409" s="354"/>
      <c r="X409" s="354"/>
      <c r="Y409" s="354"/>
      <c r="Z409" s="354"/>
      <c r="AA409" s="354"/>
      <c r="AB409" s="354"/>
      <c r="AC409" s="354"/>
      <c r="AD409" s="354"/>
      <c r="AE409" s="354"/>
      <c r="AF409" s="354"/>
      <c r="AG409" s="354"/>
      <c r="AH409" s="354"/>
      <c r="AI409" s="354"/>
      <c r="AJ409" s="354"/>
      <c r="AK409" s="354"/>
      <c r="AL409" s="354"/>
      <c r="AM409" s="354"/>
      <c r="AN409" s="354"/>
      <c r="AO409" s="354"/>
      <c r="AP409" s="354"/>
      <c r="AQ409" s="354"/>
      <c r="AR409" s="354"/>
      <c r="AS409" s="354"/>
      <c r="AT409" s="354"/>
      <c r="AU409" s="354"/>
      <c r="AV409" s="354"/>
      <c r="AW409" s="354"/>
      <c r="AX409" s="354"/>
      <c r="AY409" s="354"/>
      <c r="AZ409" s="354"/>
    </row>
    <row r="410" spans="3:52" x14ac:dyDescent="0.25">
      <c r="C410" s="354"/>
      <c r="D410" s="354"/>
      <c r="E410" s="354"/>
      <c r="F410" s="354"/>
      <c r="G410" s="354"/>
      <c r="H410" s="354"/>
      <c r="I410" s="354"/>
      <c r="J410" s="354"/>
      <c r="K410" s="354"/>
      <c r="L410" s="354"/>
      <c r="M410" s="354"/>
      <c r="N410" s="354"/>
      <c r="O410" s="354"/>
      <c r="P410" s="354"/>
      <c r="Q410" s="354"/>
      <c r="R410" s="370"/>
      <c r="S410" s="354"/>
      <c r="T410" s="354"/>
      <c r="U410" s="354"/>
      <c r="V410" s="354"/>
      <c r="W410" s="354"/>
      <c r="X410" s="354"/>
      <c r="Y410" s="354"/>
      <c r="Z410" s="354"/>
      <c r="AA410" s="354"/>
      <c r="AB410" s="354"/>
      <c r="AC410" s="354"/>
      <c r="AD410" s="354"/>
      <c r="AE410" s="354"/>
      <c r="AF410" s="354"/>
      <c r="AG410" s="354"/>
      <c r="AH410" s="354"/>
      <c r="AI410" s="354"/>
      <c r="AJ410" s="354"/>
      <c r="AK410" s="354"/>
      <c r="AL410" s="354"/>
      <c r="AM410" s="354"/>
      <c r="AN410" s="354"/>
      <c r="AO410" s="354"/>
      <c r="AP410" s="354"/>
      <c r="AQ410" s="354"/>
      <c r="AR410" s="354"/>
      <c r="AS410" s="354"/>
      <c r="AT410" s="354"/>
      <c r="AU410" s="354"/>
      <c r="AV410" s="354"/>
      <c r="AW410" s="354"/>
      <c r="AX410" s="354"/>
      <c r="AY410" s="354"/>
      <c r="AZ410" s="354"/>
    </row>
    <row r="411" spans="3:52" x14ac:dyDescent="0.25">
      <c r="C411" s="354"/>
      <c r="D411" s="354"/>
      <c r="E411" s="354"/>
      <c r="F411" s="354"/>
      <c r="G411" s="354"/>
      <c r="H411" s="354"/>
      <c r="I411" s="354"/>
      <c r="J411" s="354"/>
      <c r="K411" s="354"/>
      <c r="L411" s="354"/>
      <c r="M411" s="354"/>
      <c r="N411" s="354"/>
      <c r="O411" s="354"/>
      <c r="P411" s="354"/>
      <c r="Q411" s="354"/>
      <c r="R411" s="370"/>
      <c r="S411" s="354"/>
      <c r="T411" s="354"/>
      <c r="U411" s="354"/>
      <c r="V411" s="354"/>
      <c r="W411" s="354"/>
      <c r="X411" s="354"/>
      <c r="Y411" s="354"/>
      <c r="Z411" s="354"/>
      <c r="AA411" s="354"/>
      <c r="AB411" s="354"/>
      <c r="AC411" s="354"/>
      <c r="AD411" s="354"/>
      <c r="AE411" s="354"/>
      <c r="AF411" s="354"/>
      <c r="AG411" s="354"/>
      <c r="AH411" s="354"/>
      <c r="AI411" s="354"/>
      <c r="AJ411" s="354"/>
      <c r="AK411" s="354"/>
      <c r="AL411" s="354"/>
      <c r="AM411" s="354"/>
      <c r="AN411" s="354"/>
      <c r="AO411" s="354"/>
      <c r="AP411" s="354"/>
      <c r="AQ411" s="354"/>
      <c r="AR411" s="354"/>
      <c r="AS411" s="354"/>
      <c r="AT411" s="354"/>
      <c r="AU411" s="354"/>
      <c r="AV411" s="354"/>
      <c r="AW411" s="354"/>
      <c r="AX411" s="354"/>
      <c r="AY411" s="354"/>
      <c r="AZ411" s="354"/>
    </row>
    <row r="412" spans="3:52" x14ac:dyDescent="0.25">
      <c r="C412" s="354"/>
      <c r="D412" s="354"/>
      <c r="E412" s="354"/>
      <c r="F412" s="354"/>
      <c r="G412" s="354"/>
      <c r="H412" s="354"/>
      <c r="I412" s="354"/>
      <c r="J412" s="354"/>
      <c r="K412" s="354"/>
      <c r="L412" s="354"/>
      <c r="M412" s="354"/>
      <c r="N412" s="354"/>
      <c r="O412" s="354"/>
      <c r="P412" s="354"/>
      <c r="Q412" s="354"/>
      <c r="R412" s="370"/>
      <c r="S412" s="354"/>
      <c r="T412" s="354"/>
      <c r="U412" s="354"/>
      <c r="V412" s="354"/>
      <c r="W412" s="354"/>
      <c r="X412" s="354"/>
      <c r="Y412" s="354"/>
      <c r="Z412" s="354"/>
      <c r="AA412" s="354"/>
      <c r="AB412" s="354"/>
      <c r="AC412" s="354"/>
      <c r="AD412" s="354"/>
      <c r="AE412" s="354"/>
      <c r="AF412" s="354"/>
      <c r="AG412" s="354"/>
      <c r="AH412" s="354"/>
      <c r="AI412" s="354"/>
      <c r="AJ412" s="354"/>
      <c r="AK412" s="354"/>
      <c r="AL412" s="354"/>
      <c r="AM412" s="354"/>
      <c r="AN412" s="354"/>
      <c r="AO412" s="354"/>
      <c r="AP412" s="354"/>
      <c r="AQ412" s="354"/>
      <c r="AR412" s="354"/>
      <c r="AS412" s="354"/>
      <c r="AT412" s="354"/>
      <c r="AU412" s="354"/>
      <c r="AV412" s="354"/>
      <c r="AW412" s="354"/>
      <c r="AX412" s="354"/>
      <c r="AY412" s="354"/>
      <c r="AZ412" s="354"/>
    </row>
    <row r="413" spans="3:52" x14ac:dyDescent="0.25">
      <c r="C413" s="354"/>
      <c r="D413" s="354"/>
      <c r="E413" s="354"/>
      <c r="F413" s="354"/>
      <c r="G413" s="354"/>
      <c r="H413" s="354"/>
      <c r="I413" s="354"/>
      <c r="J413" s="354"/>
      <c r="K413" s="354"/>
      <c r="L413" s="354"/>
      <c r="M413" s="354"/>
      <c r="N413" s="354"/>
      <c r="O413" s="354"/>
      <c r="P413" s="354"/>
      <c r="Q413" s="354"/>
      <c r="R413" s="370"/>
      <c r="S413" s="354"/>
      <c r="T413" s="354"/>
      <c r="U413" s="354"/>
      <c r="V413" s="354"/>
      <c r="W413" s="354"/>
      <c r="X413" s="354"/>
      <c r="Y413" s="354"/>
      <c r="Z413" s="354"/>
      <c r="AA413" s="354"/>
      <c r="AB413" s="354"/>
      <c r="AC413" s="354"/>
      <c r="AD413" s="354"/>
      <c r="AE413" s="354"/>
      <c r="AF413" s="354"/>
      <c r="AG413" s="354"/>
      <c r="AH413" s="354"/>
      <c r="AI413" s="354"/>
      <c r="AJ413" s="354"/>
      <c r="AK413" s="354"/>
      <c r="AL413" s="354"/>
      <c r="AM413" s="354"/>
      <c r="AN413" s="354"/>
      <c r="AO413" s="354"/>
      <c r="AP413" s="354"/>
      <c r="AQ413" s="354"/>
      <c r="AR413" s="354"/>
      <c r="AS413" s="354"/>
      <c r="AT413" s="354"/>
      <c r="AU413" s="354"/>
      <c r="AV413" s="354"/>
      <c r="AW413" s="354"/>
      <c r="AX413" s="354"/>
      <c r="AY413" s="354"/>
      <c r="AZ413" s="354"/>
    </row>
    <row r="414" spans="3:52" x14ac:dyDescent="0.25">
      <c r="C414" s="354"/>
      <c r="D414" s="354"/>
      <c r="E414" s="354"/>
      <c r="F414" s="354"/>
      <c r="G414" s="354"/>
      <c r="H414" s="354"/>
      <c r="I414" s="354"/>
      <c r="J414" s="354"/>
      <c r="K414" s="354"/>
      <c r="L414" s="354"/>
      <c r="M414" s="354"/>
      <c r="N414" s="354"/>
      <c r="O414" s="354"/>
      <c r="P414" s="354"/>
      <c r="Q414" s="354"/>
      <c r="R414" s="370"/>
      <c r="S414" s="354"/>
      <c r="T414" s="354"/>
      <c r="U414" s="354"/>
      <c r="V414" s="354"/>
      <c r="W414" s="354"/>
      <c r="X414" s="354"/>
      <c r="Y414" s="354"/>
      <c r="Z414" s="354"/>
      <c r="AA414" s="354"/>
      <c r="AB414" s="354"/>
      <c r="AC414" s="354"/>
      <c r="AD414" s="354"/>
      <c r="AE414" s="354"/>
      <c r="AF414" s="354"/>
      <c r="AG414" s="354"/>
      <c r="AH414" s="354"/>
      <c r="AI414" s="354"/>
      <c r="AJ414" s="354"/>
      <c r="AK414" s="354"/>
      <c r="AL414" s="354"/>
      <c r="AM414" s="354"/>
      <c r="AN414" s="354"/>
      <c r="AO414" s="354"/>
      <c r="AP414" s="354"/>
      <c r="AQ414" s="354"/>
      <c r="AR414" s="354"/>
      <c r="AS414" s="354"/>
      <c r="AT414" s="354"/>
      <c r="AU414" s="354"/>
      <c r="AV414" s="354"/>
      <c r="AW414" s="354"/>
      <c r="AX414" s="354"/>
      <c r="AY414" s="354"/>
      <c r="AZ414" s="354"/>
    </row>
    <row r="415" spans="3:52" x14ac:dyDescent="0.25">
      <c r="C415" s="354"/>
      <c r="D415" s="354"/>
      <c r="E415" s="354"/>
      <c r="F415" s="354"/>
      <c r="G415" s="354"/>
      <c r="H415" s="354"/>
      <c r="I415" s="354"/>
      <c r="J415" s="354"/>
      <c r="K415" s="354"/>
      <c r="L415" s="354"/>
      <c r="M415" s="354"/>
      <c r="N415" s="354"/>
      <c r="O415" s="354"/>
      <c r="P415" s="354"/>
      <c r="Q415" s="354"/>
      <c r="R415" s="370"/>
      <c r="S415" s="354"/>
      <c r="T415" s="354"/>
      <c r="U415" s="354"/>
      <c r="V415" s="354"/>
      <c r="W415" s="354"/>
      <c r="X415" s="354"/>
      <c r="Y415" s="354"/>
      <c r="Z415" s="354"/>
      <c r="AA415" s="354"/>
      <c r="AB415" s="354"/>
      <c r="AC415" s="354"/>
      <c r="AD415" s="354"/>
      <c r="AE415" s="354"/>
      <c r="AF415" s="354"/>
      <c r="AG415" s="354"/>
      <c r="AH415" s="354"/>
      <c r="AI415" s="354"/>
      <c r="AJ415" s="354"/>
      <c r="AK415" s="354"/>
      <c r="AL415" s="354"/>
      <c r="AM415" s="354"/>
      <c r="AN415" s="354"/>
      <c r="AO415" s="354"/>
      <c r="AP415" s="354"/>
      <c r="AQ415" s="354"/>
      <c r="AR415" s="354"/>
      <c r="AS415" s="354"/>
      <c r="AT415" s="354"/>
      <c r="AU415" s="354"/>
      <c r="AV415" s="354"/>
      <c r="AW415" s="354"/>
      <c r="AX415" s="354"/>
      <c r="AY415" s="354"/>
      <c r="AZ415" s="354"/>
    </row>
    <row r="416" spans="3:52" x14ac:dyDescent="0.25">
      <c r="C416" s="354"/>
      <c r="D416" s="354"/>
      <c r="E416" s="354"/>
      <c r="F416" s="354"/>
      <c r="G416" s="354"/>
      <c r="H416" s="354"/>
      <c r="I416" s="354"/>
      <c r="J416" s="354"/>
      <c r="K416" s="354"/>
      <c r="L416" s="354"/>
      <c r="M416" s="354"/>
      <c r="N416" s="354"/>
      <c r="O416" s="354"/>
      <c r="P416" s="354"/>
      <c r="Q416" s="354"/>
      <c r="R416" s="370"/>
      <c r="S416" s="354"/>
      <c r="T416" s="354"/>
      <c r="U416" s="354"/>
      <c r="V416" s="354"/>
      <c r="W416" s="354"/>
      <c r="X416" s="354"/>
      <c r="Y416" s="354"/>
      <c r="Z416" s="354"/>
      <c r="AA416" s="354"/>
      <c r="AB416" s="354"/>
      <c r="AC416" s="354"/>
      <c r="AD416" s="354"/>
      <c r="AE416" s="354"/>
      <c r="AF416" s="354"/>
      <c r="AG416" s="354"/>
      <c r="AH416" s="354"/>
      <c r="AI416" s="354"/>
      <c r="AJ416" s="354"/>
      <c r="AK416" s="354"/>
      <c r="AL416" s="354"/>
      <c r="AM416" s="354"/>
      <c r="AN416" s="354"/>
      <c r="AO416" s="354"/>
      <c r="AP416" s="354"/>
      <c r="AQ416" s="354"/>
      <c r="AR416" s="354"/>
      <c r="AS416" s="354"/>
      <c r="AT416" s="354"/>
      <c r="AU416" s="354"/>
      <c r="AV416" s="354"/>
      <c r="AW416" s="354"/>
      <c r="AX416" s="354"/>
      <c r="AY416" s="354"/>
      <c r="AZ416" s="354"/>
    </row>
    <row r="417" spans="3:52" x14ac:dyDescent="0.25">
      <c r="C417" s="354"/>
      <c r="D417" s="354"/>
      <c r="E417" s="354"/>
      <c r="F417" s="354"/>
      <c r="G417" s="354"/>
      <c r="H417" s="354"/>
      <c r="I417" s="354"/>
      <c r="J417" s="354"/>
      <c r="K417" s="354"/>
      <c r="L417" s="354"/>
      <c r="M417" s="354"/>
      <c r="N417" s="354"/>
      <c r="O417" s="354"/>
      <c r="P417" s="354"/>
      <c r="Q417" s="354"/>
      <c r="R417" s="370"/>
      <c r="S417" s="354"/>
      <c r="T417" s="354"/>
      <c r="U417" s="354"/>
      <c r="V417" s="354"/>
      <c r="W417" s="354"/>
      <c r="X417" s="354"/>
      <c r="Y417" s="354"/>
      <c r="Z417" s="354"/>
      <c r="AA417" s="354"/>
      <c r="AB417" s="354"/>
      <c r="AC417" s="354"/>
      <c r="AD417" s="354"/>
      <c r="AE417" s="354"/>
      <c r="AF417" s="354"/>
      <c r="AG417" s="354"/>
      <c r="AH417" s="354"/>
      <c r="AI417" s="354"/>
      <c r="AJ417" s="354"/>
      <c r="AK417" s="354"/>
      <c r="AL417" s="354"/>
      <c r="AM417" s="354"/>
      <c r="AN417" s="354"/>
      <c r="AO417" s="354"/>
      <c r="AP417" s="354"/>
      <c r="AQ417" s="354"/>
      <c r="AR417" s="354"/>
      <c r="AS417" s="354"/>
      <c r="AT417" s="354"/>
      <c r="AU417" s="354"/>
      <c r="AV417" s="354"/>
      <c r="AW417" s="354"/>
      <c r="AX417" s="354"/>
      <c r="AY417" s="354"/>
      <c r="AZ417" s="354"/>
    </row>
    <row r="418" spans="3:52" x14ac:dyDescent="0.25">
      <c r="C418" s="354"/>
      <c r="D418" s="354"/>
      <c r="E418" s="354"/>
      <c r="F418" s="354"/>
      <c r="G418" s="354"/>
      <c r="H418" s="354"/>
      <c r="I418" s="354"/>
      <c r="J418" s="354"/>
      <c r="K418" s="354"/>
      <c r="L418" s="354"/>
      <c r="M418" s="354"/>
      <c r="N418" s="354"/>
      <c r="O418" s="354"/>
      <c r="P418" s="354"/>
      <c r="Q418" s="354"/>
      <c r="R418" s="370"/>
      <c r="S418" s="354"/>
      <c r="T418" s="354"/>
      <c r="U418" s="354"/>
      <c r="V418" s="354"/>
      <c r="W418" s="354"/>
      <c r="X418" s="354"/>
      <c r="Y418" s="354"/>
      <c r="Z418" s="354"/>
      <c r="AA418" s="354"/>
      <c r="AB418" s="354"/>
      <c r="AC418" s="354"/>
      <c r="AD418" s="354"/>
      <c r="AE418" s="354"/>
      <c r="AF418" s="354"/>
      <c r="AG418" s="354"/>
      <c r="AH418" s="354"/>
      <c r="AI418" s="354"/>
      <c r="AJ418" s="354"/>
      <c r="AK418" s="354"/>
      <c r="AL418" s="354"/>
      <c r="AM418" s="354"/>
      <c r="AN418" s="354"/>
      <c r="AO418" s="354"/>
      <c r="AP418" s="354"/>
      <c r="AQ418" s="354"/>
      <c r="AR418" s="354"/>
      <c r="AS418" s="354"/>
      <c r="AT418" s="354"/>
      <c r="AU418" s="354"/>
      <c r="AV418" s="354"/>
      <c r="AW418" s="354"/>
      <c r="AX418" s="354"/>
      <c r="AY418" s="354"/>
      <c r="AZ418" s="354"/>
    </row>
    <row r="419" spans="3:52" x14ac:dyDescent="0.25">
      <c r="C419" s="354"/>
      <c r="D419" s="354"/>
      <c r="E419" s="354"/>
      <c r="F419" s="354"/>
      <c r="G419" s="354"/>
      <c r="H419" s="354"/>
      <c r="I419" s="354"/>
      <c r="J419" s="354"/>
      <c r="K419" s="354"/>
      <c r="L419" s="354"/>
      <c r="M419" s="354"/>
      <c r="N419" s="354"/>
      <c r="O419" s="354"/>
      <c r="P419" s="354"/>
      <c r="Q419" s="354"/>
      <c r="R419" s="370"/>
      <c r="S419" s="354"/>
      <c r="T419" s="354"/>
      <c r="U419" s="354"/>
      <c r="V419" s="354"/>
      <c r="W419" s="354"/>
      <c r="X419" s="354"/>
      <c r="Y419" s="354"/>
      <c r="Z419" s="354"/>
      <c r="AA419" s="354"/>
      <c r="AB419" s="354"/>
      <c r="AC419" s="354"/>
      <c r="AD419" s="354"/>
      <c r="AE419" s="354"/>
      <c r="AF419" s="354"/>
      <c r="AG419" s="354"/>
      <c r="AH419" s="354"/>
      <c r="AI419" s="354"/>
      <c r="AJ419" s="354"/>
      <c r="AK419" s="354"/>
      <c r="AL419" s="354"/>
      <c r="AM419" s="354"/>
      <c r="AN419" s="354"/>
      <c r="AO419" s="354"/>
      <c r="AP419" s="354"/>
      <c r="AQ419" s="354"/>
      <c r="AR419" s="354"/>
      <c r="AS419" s="354"/>
      <c r="AT419" s="354"/>
      <c r="AU419" s="354"/>
      <c r="AV419" s="354"/>
      <c r="AW419" s="354"/>
      <c r="AX419" s="354"/>
      <c r="AY419" s="354"/>
      <c r="AZ419" s="354"/>
    </row>
    <row r="420" spans="3:52" x14ac:dyDescent="0.25">
      <c r="C420" s="354"/>
      <c r="D420" s="354"/>
      <c r="E420" s="354"/>
      <c r="F420" s="354"/>
      <c r="G420" s="354"/>
      <c r="H420" s="354"/>
      <c r="I420" s="354"/>
      <c r="J420" s="354"/>
      <c r="K420" s="354"/>
      <c r="L420" s="354"/>
      <c r="M420" s="354"/>
      <c r="N420" s="354"/>
      <c r="O420" s="354"/>
      <c r="P420" s="354"/>
      <c r="Q420" s="354"/>
      <c r="R420" s="370"/>
      <c r="S420" s="354"/>
      <c r="T420" s="354"/>
      <c r="U420" s="354"/>
      <c r="V420" s="354"/>
      <c r="W420" s="354"/>
      <c r="X420" s="354"/>
      <c r="Y420" s="354"/>
      <c r="Z420" s="354"/>
      <c r="AA420" s="354"/>
      <c r="AB420" s="354"/>
      <c r="AC420" s="354"/>
      <c r="AD420" s="354"/>
      <c r="AE420" s="354"/>
      <c r="AF420" s="354"/>
      <c r="AG420" s="354"/>
      <c r="AH420" s="354"/>
      <c r="AI420" s="354"/>
      <c r="AJ420" s="354"/>
      <c r="AK420" s="354"/>
      <c r="AL420" s="354"/>
      <c r="AM420" s="354"/>
      <c r="AN420" s="354"/>
      <c r="AO420" s="354"/>
      <c r="AP420" s="354"/>
      <c r="AQ420" s="354"/>
      <c r="AR420" s="354"/>
      <c r="AS420" s="354"/>
      <c r="AT420" s="354"/>
      <c r="AU420" s="354"/>
      <c r="AV420" s="354"/>
      <c r="AW420" s="354"/>
      <c r="AX420" s="354"/>
      <c r="AY420" s="354"/>
      <c r="AZ420" s="354"/>
    </row>
    <row r="421" spans="3:52" x14ac:dyDescent="0.25">
      <c r="C421" s="354"/>
      <c r="D421" s="354"/>
      <c r="E421" s="354"/>
      <c r="F421" s="354"/>
      <c r="G421" s="354"/>
      <c r="H421" s="354"/>
      <c r="I421" s="354"/>
      <c r="J421" s="354"/>
      <c r="K421" s="354"/>
      <c r="L421" s="354"/>
      <c r="M421" s="354"/>
      <c r="N421" s="354"/>
      <c r="O421" s="354"/>
      <c r="P421" s="354"/>
      <c r="Q421" s="354"/>
      <c r="R421" s="370"/>
      <c r="S421" s="354"/>
      <c r="T421" s="354"/>
      <c r="U421" s="354"/>
      <c r="V421" s="354"/>
      <c r="W421" s="354"/>
      <c r="X421" s="354"/>
      <c r="Y421" s="354"/>
      <c r="Z421" s="354"/>
      <c r="AA421" s="354"/>
      <c r="AB421" s="354"/>
      <c r="AC421" s="354"/>
      <c r="AD421" s="354"/>
      <c r="AE421" s="354"/>
      <c r="AF421" s="354"/>
      <c r="AG421" s="354"/>
      <c r="AH421" s="354"/>
      <c r="AI421" s="354"/>
      <c r="AJ421" s="354"/>
      <c r="AK421" s="354"/>
      <c r="AL421" s="354"/>
      <c r="AM421" s="354"/>
      <c r="AN421" s="354"/>
      <c r="AO421" s="354"/>
      <c r="AP421" s="354"/>
      <c r="AQ421" s="354"/>
      <c r="AR421" s="354"/>
      <c r="AS421" s="354"/>
      <c r="AT421" s="354"/>
      <c r="AU421" s="354"/>
      <c r="AV421" s="354"/>
      <c r="AW421" s="354"/>
      <c r="AX421" s="354"/>
      <c r="AY421" s="354"/>
      <c r="AZ421" s="354"/>
    </row>
    <row r="422" spans="3:52" x14ac:dyDescent="0.25">
      <c r="C422" s="354"/>
      <c r="D422" s="354"/>
      <c r="E422" s="354"/>
      <c r="F422" s="354"/>
      <c r="G422" s="354"/>
      <c r="H422" s="354"/>
      <c r="I422" s="354"/>
      <c r="J422" s="354"/>
      <c r="K422" s="354"/>
      <c r="L422" s="354"/>
      <c r="M422" s="354"/>
      <c r="N422" s="354"/>
      <c r="O422" s="354"/>
      <c r="P422" s="354"/>
      <c r="Q422" s="354"/>
      <c r="R422" s="370"/>
      <c r="S422" s="354"/>
      <c r="T422" s="354"/>
      <c r="U422" s="354"/>
      <c r="V422" s="354"/>
      <c r="W422" s="354"/>
      <c r="X422" s="354"/>
      <c r="Y422" s="354"/>
      <c r="Z422" s="354"/>
      <c r="AA422" s="354"/>
      <c r="AB422" s="354"/>
      <c r="AC422" s="354"/>
      <c r="AD422" s="354"/>
      <c r="AE422" s="354"/>
      <c r="AF422" s="354"/>
      <c r="AG422" s="354"/>
      <c r="AH422" s="354"/>
      <c r="AI422" s="354"/>
      <c r="AJ422" s="354"/>
      <c r="AK422" s="354"/>
      <c r="AL422" s="354"/>
      <c r="AM422" s="354"/>
      <c r="AN422" s="354"/>
      <c r="AO422" s="354"/>
      <c r="AP422" s="354"/>
      <c r="AQ422" s="354"/>
      <c r="AR422" s="354"/>
      <c r="AS422" s="354"/>
      <c r="AT422" s="354"/>
      <c r="AU422" s="354"/>
      <c r="AV422" s="354"/>
      <c r="AW422" s="354"/>
      <c r="AX422" s="354"/>
      <c r="AY422" s="354"/>
      <c r="AZ422" s="354"/>
    </row>
    <row r="423" spans="3:52" x14ac:dyDescent="0.25">
      <c r="C423" s="354"/>
      <c r="D423" s="354"/>
      <c r="E423" s="354"/>
      <c r="F423" s="354"/>
      <c r="G423" s="354"/>
      <c r="H423" s="354"/>
      <c r="I423" s="354"/>
      <c r="J423" s="354"/>
      <c r="K423" s="354"/>
      <c r="L423" s="354"/>
      <c r="M423" s="354"/>
      <c r="N423" s="354"/>
      <c r="O423" s="354"/>
      <c r="P423" s="354"/>
      <c r="Q423" s="354"/>
      <c r="R423" s="370"/>
      <c r="S423" s="354"/>
      <c r="T423" s="354"/>
      <c r="U423" s="354"/>
      <c r="V423" s="354"/>
      <c r="W423" s="354"/>
      <c r="X423" s="354"/>
      <c r="Y423" s="354"/>
      <c r="Z423" s="354"/>
      <c r="AA423" s="354"/>
      <c r="AB423" s="354"/>
      <c r="AC423" s="354"/>
      <c r="AD423" s="354"/>
      <c r="AE423" s="354"/>
      <c r="AF423" s="354"/>
      <c r="AG423" s="354"/>
      <c r="AH423" s="354"/>
      <c r="AI423" s="354"/>
      <c r="AJ423" s="354"/>
      <c r="AK423" s="354"/>
      <c r="AL423" s="354"/>
      <c r="AM423" s="354"/>
      <c r="AN423" s="354"/>
      <c r="AO423" s="354"/>
      <c r="AP423" s="354"/>
      <c r="AQ423" s="354"/>
      <c r="AR423" s="354"/>
      <c r="AS423" s="354"/>
      <c r="AT423" s="354"/>
      <c r="AU423" s="354"/>
      <c r="AV423" s="354"/>
      <c r="AW423" s="354"/>
      <c r="AX423" s="354"/>
      <c r="AY423" s="354"/>
      <c r="AZ423" s="354"/>
    </row>
    <row r="424" spans="3:52" x14ac:dyDescent="0.25">
      <c r="C424" s="354"/>
      <c r="D424" s="354"/>
      <c r="E424" s="354"/>
      <c r="F424" s="354"/>
      <c r="G424" s="354"/>
      <c r="H424" s="354"/>
      <c r="I424" s="354"/>
      <c r="J424" s="354"/>
      <c r="K424" s="354"/>
      <c r="L424" s="354"/>
      <c r="M424" s="354"/>
      <c r="N424" s="354"/>
      <c r="O424" s="354"/>
      <c r="P424" s="354"/>
      <c r="Q424" s="354"/>
      <c r="R424" s="370"/>
      <c r="S424" s="354"/>
      <c r="T424" s="354"/>
      <c r="U424" s="354"/>
      <c r="V424" s="354"/>
      <c r="W424" s="354"/>
      <c r="X424" s="354"/>
      <c r="Y424" s="354"/>
      <c r="Z424" s="354"/>
      <c r="AA424" s="354"/>
      <c r="AB424" s="354"/>
      <c r="AC424" s="354"/>
      <c r="AD424" s="354"/>
      <c r="AE424" s="354"/>
      <c r="AF424" s="354"/>
      <c r="AG424" s="354"/>
      <c r="AH424" s="354"/>
      <c r="AI424" s="354"/>
      <c r="AJ424" s="354"/>
      <c r="AK424" s="354"/>
      <c r="AL424" s="354"/>
      <c r="AM424" s="354"/>
      <c r="AN424" s="354"/>
      <c r="AO424" s="354"/>
      <c r="AP424" s="354"/>
      <c r="AQ424" s="354"/>
      <c r="AR424" s="354"/>
      <c r="AS424" s="354"/>
      <c r="AT424" s="354"/>
      <c r="AU424" s="354"/>
      <c r="AV424" s="354"/>
      <c r="AW424" s="354"/>
      <c r="AX424" s="354"/>
      <c r="AY424" s="354"/>
      <c r="AZ424" s="354"/>
    </row>
    <row r="425" spans="3:52" x14ac:dyDescent="0.25">
      <c r="C425" s="354"/>
      <c r="D425" s="354"/>
      <c r="E425" s="354"/>
      <c r="F425" s="354"/>
      <c r="G425" s="354"/>
      <c r="H425" s="354"/>
      <c r="I425" s="354"/>
      <c r="J425" s="354"/>
      <c r="K425" s="354"/>
      <c r="L425" s="354"/>
      <c r="M425" s="354"/>
      <c r="N425" s="354"/>
      <c r="O425" s="354"/>
      <c r="P425" s="354"/>
      <c r="Q425" s="354"/>
      <c r="R425" s="370"/>
      <c r="S425" s="354"/>
      <c r="T425" s="354"/>
      <c r="U425" s="354"/>
      <c r="V425" s="354"/>
      <c r="W425" s="354"/>
      <c r="X425" s="354"/>
      <c r="Y425" s="354"/>
      <c r="Z425" s="354"/>
      <c r="AA425" s="354"/>
      <c r="AB425" s="354"/>
      <c r="AC425" s="354"/>
      <c r="AD425" s="354"/>
      <c r="AE425" s="354"/>
      <c r="AF425" s="354"/>
      <c r="AG425" s="354"/>
      <c r="AH425" s="354"/>
      <c r="AI425" s="354"/>
      <c r="AJ425" s="354"/>
      <c r="AK425" s="354"/>
      <c r="AL425" s="354"/>
      <c r="AM425" s="354"/>
      <c r="AN425" s="354"/>
      <c r="AO425" s="354"/>
      <c r="AP425" s="354"/>
      <c r="AQ425" s="354"/>
      <c r="AR425" s="354"/>
      <c r="AS425" s="354"/>
      <c r="AT425" s="354"/>
      <c r="AU425" s="354"/>
      <c r="AV425" s="354"/>
      <c r="AW425" s="354"/>
      <c r="AX425" s="354"/>
      <c r="AY425" s="354"/>
      <c r="AZ425" s="354"/>
    </row>
    <row r="426" spans="3:52" x14ac:dyDescent="0.25">
      <c r="C426" s="354"/>
      <c r="D426" s="354"/>
      <c r="E426" s="354"/>
      <c r="F426" s="354"/>
      <c r="G426" s="354"/>
      <c r="H426" s="354"/>
      <c r="I426" s="354"/>
      <c r="J426" s="354"/>
      <c r="K426" s="354"/>
      <c r="L426" s="354"/>
      <c r="M426" s="354"/>
      <c r="N426" s="354"/>
      <c r="O426" s="354"/>
      <c r="P426" s="354"/>
      <c r="Q426" s="354"/>
      <c r="R426" s="370"/>
      <c r="S426" s="354"/>
      <c r="T426" s="354"/>
      <c r="U426" s="354"/>
      <c r="V426" s="354"/>
      <c r="W426" s="354"/>
      <c r="X426" s="354"/>
      <c r="Y426" s="354"/>
      <c r="Z426" s="354"/>
      <c r="AA426" s="354"/>
      <c r="AB426" s="354"/>
      <c r="AC426" s="354"/>
      <c r="AD426" s="354"/>
      <c r="AE426" s="354"/>
      <c r="AF426" s="354"/>
      <c r="AG426" s="354"/>
      <c r="AH426" s="354"/>
      <c r="AI426" s="354"/>
      <c r="AJ426" s="354"/>
      <c r="AK426" s="354"/>
      <c r="AL426" s="354"/>
      <c r="AM426" s="354"/>
      <c r="AN426" s="354"/>
      <c r="AO426" s="354"/>
      <c r="AP426" s="354"/>
      <c r="AQ426" s="354"/>
      <c r="AR426" s="354"/>
      <c r="AS426" s="354"/>
      <c r="AT426" s="354"/>
      <c r="AU426" s="354"/>
      <c r="AV426" s="354"/>
      <c r="AW426" s="354"/>
      <c r="AX426" s="354"/>
      <c r="AY426" s="354"/>
      <c r="AZ426" s="354"/>
    </row>
    <row r="427" spans="3:52" x14ac:dyDescent="0.25">
      <c r="C427" s="354"/>
      <c r="D427" s="354"/>
      <c r="E427" s="354"/>
      <c r="F427" s="354"/>
      <c r="G427" s="354"/>
      <c r="H427" s="354"/>
      <c r="I427" s="354"/>
      <c r="J427" s="354"/>
      <c r="K427" s="354"/>
      <c r="L427" s="354"/>
      <c r="M427" s="354"/>
      <c r="N427" s="354"/>
      <c r="O427" s="354"/>
      <c r="P427" s="354"/>
      <c r="Q427" s="354"/>
      <c r="R427" s="370"/>
      <c r="S427" s="354"/>
      <c r="T427" s="354"/>
      <c r="U427" s="354"/>
      <c r="V427" s="354"/>
      <c r="W427" s="354"/>
      <c r="X427" s="354"/>
      <c r="Y427" s="354"/>
      <c r="Z427" s="354"/>
      <c r="AA427" s="354"/>
      <c r="AB427" s="354"/>
      <c r="AC427" s="354"/>
      <c r="AD427" s="354"/>
      <c r="AE427" s="354"/>
      <c r="AF427" s="354"/>
      <c r="AG427" s="354"/>
      <c r="AH427" s="354"/>
      <c r="AI427" s="354"/>
      <c r="AJ427" s="354"/>
      <c r="AK427" s="354"/>
      <c r="AL427" s="354"/>
      <c r="AM427" s="354"/>
      <c r="AN427" s="354"/>
      <c r="AO427" s="354"/>
      <c r="AP427" s="354"/>
      <c r="AQ427" s="354"/>
      <c r="AR427" s="354"/>
      <c r="AS427" s="354"/>
      <c r="AT427" s="354"/>
      <c r="AU427" s="354"/>
      <c r="AV427" s="354"/>
      <c r="AW427" s="354"/>
      <c r="AX427" s="354"/>
      <c r="AY427" s="354"/>
      <c r="AZ427" s="354"/>
    </row>
    <row r="428" spans="3:52" x14ac:dyDescent="0.25">
      <c r="C428" s="354"/>
      <c r="D428" s="354"/>
      <c r="E428" s="354"/>
      <c r="F428" s="354"/>
      <c r="G428" s="354"/>
      <c r="H428" s="354"/>
      <c r="I428" s="354"/>
      <c r="J428" s="354"/>
      <c r="K428" s="354"/>
      <c r="L428" s="354"/>
      <c r="M428" s="354"/>
      <c r="N428" s="354"/>
      <c r="O428" s="354"/>
      <c r="P428" s="354"/>
      <c r="Q428" s="354"/>
      <c r="R428" s="370"/>
      <c r="S428" s="354"/>
      <c r="T428" s="354"/>
      <c r="U428" s="354"/>
      <c r="V428" s="354"/>
      <c r="W428" s="354"/>
      <c r="X428" s="354"/>
      <c r="Y428" s="354"/>
      <c r="Z428" s="354"/>
      <c r="AA428" s="354"/>
      <c r="AB428" s="354"/>
      <c r="AC428" s="354"/>
      <c r="AD428" s="354"/>
      <c r="AE428" s="354"/>
      <c r="AF428" s="354"/>
      <c r="AG428" s="354"/>
      <c r="AH428" s="354"/>
      <c r="AI428" s="354"/>
      <c r="AJ428" s="354"/>
      <c r="AK428" s="354"/>
      <c r="AL428" s="354"/>
      <c r="AM428" s="354"/>
      <c r="AN428" s="354"/>
      <c r="AO428" s="354"/>
      <c r="AP428" s="354"/>
      <c r="AQ428" s="354"/>
      <c r="AR428" s="354"/>
      <c r="AS428" s="354"/>
      <c r="AT428" s="354"/>
      <c r="AU428" s="354"/>
      <c r="AV428" s="354"/>
      <c r="AW428" s="354"/>
      <c r="AX428" s="354"/>
      <c r="AY428" s="354"/>
      <c r="AZ428" s="354"/>
    </row>
    <row r="429" spans="3:52" x14ac:dyDescent="0.25">
      <c r="C429" s="354"/>
      <c r="D429" s="354"/>
      <c r="E429" s="354"/>
      <c r="F429" s="354"/>
      <c r="G429" s="354"/>
      <c r="H429" s="354"/>
      <c r="I429" s="354"/>
      <c r="J429" s="354"/>
      <c r="K429" s="354"/>
      <c r="L429" s="354"/>
      <c r="M429" s="354"/>
      <c r="N429" s="354"/>
      <c r="O429" s="354"/>
      <c r="P429" s="354"/>
      <c r="Q429" s="354"/>
      <c r="R429" s="370"/>
      <c r="S429" s="354"/>
      <c r="T429" s="354"/>
      <c r="U429" s="354"/>
      <c r="V429" s="354"/>
      <c r="W429" s="354"/>
      <c r="X429" s="354"/>
      <c r="Y429" s="354"/>
      <c r="Z429" s="354"/>
      <c r="AA429" s="354"/>
      <c r="AB429" s="354"/>
      <c r="AC429" s="354"/>
      <c r="AD429" s="354"/>
      <c r="AE429" s="354"/>
      <c r="AF429" s="354"/>
      <c r="AG429" s="354"/>
      <c r="AH429" s="354"/>
      <c r="AI429" s="354"/>
      <c r="AJ429" s="354"/>
      <c r="AK429" s="354"/>
      <c r="AL429" s="354"/>
      <c r="AM429" s="354"/>
      <c r="AN429" s="354"/>
      <c r="AO429" s="354"/>
      <c r="AP429" s="354"/>
      <c r="AQ429" s="354"/>
      <c r="AR429" s="354"/>
      <c r="AS429" s="354"/>
      <c r="AT429" s="354"/>
      <c r="AU429" s="354"/>
      <c r="AV429" s="354"/>
      <c r="AW429" s="354"/>
      <c r="AX429" s="354"/>
      <c r="AY429" s="354"/>
      <c r="AZ429" s="354"/>
    </row>
    <row r="430" spans="3:52" x14ac:dyDescent="0.25">
      <c r="C430" s="354"/>
      <c r="D430" s="354"/>
      <c r="E430" s="354"/>
      <c r="F430" s="354"/>
      <c r="G430" s="354"/>
      <c r="H430" s="354"/>
      <c r="I430" s="354"/>
      <c r="J430" s="354"/>
      <c r="K430" s="354"/>
      <c r="L430" s="354"/>
      <c r="M430" s="354"/>
      <c r="N430" s="354"/>
      <c r="O430" s="354"/>
      <c r="P430" s="354"/>
      <c r="Q430" s="354"/>
      <c r="R430" s="370"/>
      <c r="S430" s="354"/>
      <c r="T430" s="354"/>
      <c r="U430" s="354"/>
      <c r="V430" s="354"/>
      <c r="W430" s="354"/>
      <c r="X430" s="354"/>
      <c r="Y430" s="354"/>
      <c r="Z430" s="354"/>
      <c r="AA430" s="354"/>
      <c r="AB430" s="354"/>
      <c r="AC430" s="354"/>
      <c r="AD430" s="354"/>
      <c r="AE430" s="354"/>
      <c r="AF430" s="354"/>
      <c r="AG430" s="354"/>
      <c r="AH430" s="354"/>
      <c r="AI430" s="354"/>
      <c r="AJ430" s="354"/>
      <c r="AK430" s="354"/>
      <c r="AL430" s="354"/>
      <c r="AM430" s="354"/>
      <c r="AN430" s="354"/>
      <c r="AO430" s="354"/>
      <c r="AP430" s="354"/>
      <c r="AQ430" s="354"/>
      <c r="AR430" s="354"/>
      <c r="AS430" s="354"/>
      <c r="AT430" s="354"/>
      <c r="AU430" s="354"/>
      <c r="AV430" s="354"/>
      <c r="AW430" s="354"/>
      <c r="AX430" s="354"/>
      <c r="AY430" s="354"/>
      <c r="AZ430" s="354"/>
    </row>
    <row r="431" spans="3:52" x14ac:dyDescent="0.25">
      <c r="C431" s="354"/>
      <c r="D431" s="354"/>
      <c r="E431" s="354"/>
      <c r="F431" s="354"/>
      <c r="G431" s="354"/>
      <c r="H431" s="354"/>
      <c r="I431" s="354"/>
      <c r="J431" s="354"/>
      <c r="K431" s="354"/>
      <c r="L431" s="354"/>
      <c r="M431" s="354"/>
      <c r="N431" s="354"/>
      <c r="O431" s="354"/>
      <c r="P431" s="354"/>
      <c r="Q431" s="354"/>
      <c r="R431" s="370"/>
      <c r="S431" s="354"/>
      <c r="T431" s="354"/>
      <c r="U431" s="354"/>
      <c r="V431" s="354"/>
      <c r="W431" s="354"/>
      <c r="X431" s="354"/>
      <c r="Y431" s="354"/>
      <c r="Z431" s="354"/>
      <c r="AA431" s="354"/>
      <c r="AB431" s="354"/>
      <c r="AC431" s="354"/>
      <c r="AD431" s="354"/>
      <c r="AE431" s="354"/>
      <c r="AF431" s="354"/>
      <c r="AG431" s="354"/>
      <c r="AH431" s="354"/>
      <c r="AI431" s="354"/>
      <c r="AJ431" s="354"/>
      <c r="AK431" s="354"/>
      <c r="AL431" s="354"/>
      <c r="AM431" s="354"/>
      <c r="AN431" s="354"/>
      <c r="AO431" s="354"/>
      <c r="AP431" s="354"/>
      <c r="AQ431" s="354"/>
      <c r="AR431" s="354"/>
      <c r="AS431" s="354"/>
      <c r="AT431" s="354"/>
      <c r="AU431" s="354"/>
      <c r="AV431" s="354"/>
      <c r="AW431" s="354"/>
      <c r="AX431" s="354"/>
      <c r="AY431" s="354"/>
      <c r="AZ431" s="354"/>
    </row>
    <row r="432" spans="3:52" x14ac:dyDescent="0.25">
      <c r="C432" s="354"/>
      <c r="D432" s="354"/>
      <c r="E432" s="354"/>
      <c r="F432" s="354"/>
      <c r="G432" s="354"/>
      <c r="H432" s="354"/>
      <c r="I432" s="354"/>
      <c r="J432" s="354"/>
      <c r="K432" s="354"/>
      <c r="L432" s="354"/>
      <c r="M432" s="354"/>
      <c r="N432" s="354"/>
      <c r="O432" s="354"/>
      <c r="P432" s="354"/>
      <c r="Q432" s="354"/>
      <c r="R432" s="370"/>
      <c r="S432" s="354"/>
      <c r="T432" s="354"/>
      <c r="U432" s="354"/>
      <c r="V432" s="354"/>
      <c r="W432" s="354"/>
      <c r="X432" s="354"/>
      <c r="Y432" s="354"/>
      <c r="Z432" s="354"/>
      <c r="AA432" s="354"/>
      <c r="AB432" s="354"/>
      <c r="AC432" s="354"/>
      <c r="AD432" s="354"/>
      <c r="AE432" s="354"/>
      <c r="AF432" s="354"/>
      <c r="AG432" s="354"/>
      <c r="AH432" s="354"/>
      <c r="AI432" s="354"/>
      <c r="AJ432" s="354"/>
      <c r="AK432" s="354"/>
      <c r="AL432" s="354"/>
      <c r="AM432" s="354"/>
      <c r="AN432" s="354"/>
      <c r="AO432" s="354"/>
      <c r="AP432" s="354"/>
      <c r="AQ432" s="354"/>
      <c r="AR432" s="354"/>
      <c r="AS432" s="354"/>
      <c r="AT432" s="354"/>
      <c r="AU432" s="354"/>
      <c r="AV432" s="354"/>
      <c r="AW432" s="354"/>
      <c r="AX432" s="354"/>
      <c r="AY432" s="354"/>
      <c r="AZ432" s="354"/>
    </row>
    <row r="433" spans="3:52" x14ac:dyDescent="0.25">
      <c r="C433" s="354"/>
      <c r="D433" s="354"/>
      <c r="E433" s="354"/>
      <c r="F433" s="354"/>
      <c r="G433" s="354"/>
      <c r="H433" s="354"/>
      <c r="I433" s="354"/>
      <c r="J433" s="354"/>
      <c r="K433" s="354"/>
      <c r="L433" s="354"/>
      <c r="M433" s="354"/>
      <c r="N433" s="354"/>
      <c r="O433" s="354"/>
      <c r="P433" s="354"/>
      <c r="Q433" s="354"/>
      <c r="R433" s="370"/>
      <c r="S433" s="354"/>
      <c r="T433" s="354"/>
      <c r="U433" s="354"/>
      <c r="V433" s="354"/>
      <c r="W433" s="354"/>
      <c r="X433" s="354"/>
      <c r="Y433" s="354"/>
      <c r="Z433" s="354"/>
      <c r="AA433" s="354"/>
      <c r="AB433" s="354"/>
      <c r="AC433" s="354"/>
      <c r="AD433" s="354"/>
      <c r="AE433" s="354"/>
      <c r="AF433" s="354"/>
      <c r="AG433" s="354"/>
      <c r="AH433" s="354"/>
      <c r="AI433" s="354"/>
      <c r="AJ433" s="354"/>
      <c r="AK433" s="354"/>
      <c r="AL433" s="354"/>
      <c r="AM433" s="354"/>
      <c r="AN433" s="354"/>
      <c r="AO433" s="354"/>
      <c r="AP433" s="354"/>
      <c r="AQ433" s="354"/>
      <c r="AR433" s="354"/>
      <c r="AS433" s="354"/>
      <c r="AT433" s="354"/>
      <c r="AU433" s="354"/>
      <c r="AV433" s="354"/>
      <c r="AW433" s="354"/>
      <c r="AX433" s="354"/>
      <c r="AY433" s="354"/>
      <c r="AZ433" s="354"/>
    </row>
    <row r="434" spans="3:52" x14ac:dyDescent="0.25">
      <c r="C434" s="354"/>
      <c r="D434" s="354"/>
      <c r="E434" s="354"/>
      <c r="F434" s="354"/>
      <c r="G434" s="354"/>
      <c r="H434" s="354"/>
      <c r="I434" s="354"/>
      <c r="J434" s="354"/>
      <c r="K434" s="354"/>
      <c r="L434" s="354"/>
      <c r="M434" s="354"/>
      <c r="N434" s="354"/>
      <c r="O434" s="354"/>
      <c r="P434" s="354"/>
      <c r="Q434" s="354"/>
      <c r="R434" s="370"/>
      <c r="S434" s="354"/>
      <c r="T434" s="354"/>
      <c r="U434" s="354"/>
      <c r="V434" s="354"/>
      <c r="W434" s="354"/>
      <c r="X434" s="354"/>
      <c r="Y434" s="354"/>
      <c r="Z434" s="354"/>
      <c r="AA434" s="354"/>
      <c r="AB434" s="354"/>
      <c r="AC434" s="354"/>
      <c r="AD434" s="354"/>
      <c r="AE434" s="354"/>
      <c r="AF434" s="354"/>
      <c r="AG434" s="354"/>
      <c r="AH434" s="354"/>
      <c r="AI434" s="354"/>
      <c r="AJ434" s="354"/>
      <c r="AK434" s="354"/>
      <c r="AL434" s="354"/>
      <c r="AM434" s="354"/>
      <c r="AN434" s="354"/>
      <c r="AO434" s="354"/>
      <c r="AP434" s="354"/>
      <c r="AQ434" s="354"/>
      <c r="AR434" s="354"/>
      <c r="AS434" s="354"/>
      <c r="AT434" s="354"/>
      <c r="AU434" s="354"/>
      <c r="AV434" s="354"/>
      <c r="AW434" s="354"/>
      <c r="AX434" s="354"/>
      <c r="AY434" s="354"/>
      <c r="AZ434" s="354"/>
    </row>
    <row r="435" spans="3:52" x14ac:dyDescent="0.25">
      <c r="C435" s="354"/>
      <c r="D435" s="354"/>
      <c r="E435" s="354"/>
      <c r="F435" s="354"/>
      <c r="G435" s="354"/>
      <c r="H435" s="354"/>
      <c r="I435" s="354"/>
      <c r="J435" s="354"/>
      <c r="K435" s="354"/>
      <c r="L435" s="354"/>
      <c r="M435" s="354"/>
      <c r="N435" s="354"/>
      <c r="O435" s="354"/>
      <c r="P435" s="354"/>
      <c r="Q435" s="354"/>
      <c r="R435" s="370"/>
      <c r="S435" s="354"/>
      <c r="T435" s="354"/>
      <c r="U435" s="354"/>
      <c r="V435" s="354"/>
      <c r="W435" s="354"/>
      <c r="X435" s="354"/>
      <c r="Y435" s="354"/>
      <c r="Z435" s="354"/>
      <c r="AA435" s="354"/>
      <c r="AB435" s="354"/>
      <c r="AC435" s="354"/>
      <c r="AD435" s="354"/>
      <c r="AE435" s="354"/>
      <c r="AF435" s="354"/>
      <c r="AG435" s="354"/>
      <c r="AH435" s="354"/>
      <c r="AI435" s="354"/>
      <c r="AJ435" s="354"/>
      <c r="AK435" s="354"/>
      <c r="AL435" s="354"/>
      <c r="AM435" s="354"/>
      <c r="AN435" s="354"/>
      <c r="AO435" s="354"/>
      <c r="AP435" s="354"/>
      <c r="AQ435" s="354"/>
      <c r="AR435" s="354"/>
      <c r="AS435" s="354"/>
      <c r="AT435" s="354"/>
      <c r="AU435" s="354"/>
      <c r="AV435" s="354"/>
      <c r="AW435" s="354"/>
      <c r="AX435" s="354"/>
      <c r="AY435" s="354"/>
      <c r="AZ435" s="354"/>
    </row>
    <row r="436" spans="3:52" x14ac:dyDescent="0.25">
      <c r="C436" s="354"/>
      <c r="D436" s="354"/>
      <c r="E436" s="354"/>
      <c r="F436" s="354"/>
      <c r="G436" s="354"/>
      <c r="H436" s="354"/>
      <c r="I436" s="354"/>
      <c r="J436" s="354"/>
      <c r="K436" s="354"/>
      <c r="L436" s="354"/>
      <c r="M436" s="354"/>
      <c r="N436" s="354"/>
      <c r="O436" s="354"/>
      <c r="P436" s="354"/>
      <c r="Q436" s="354"/>
      <c r="R436" s="370"/>
      <c r="S436" s="354"/>
      <c r="T436" s="354"/>
      <c r="U436" s="354"/>
      <c r="V436" s="354"/>
      <c r="W436" s="354"/>
      <c r="X436" s="354"/>
      <c r="Y436" s="354"/>
      <c r="Z436" s="354"/>
      <c r="AA436" s="354"/>
      <c r="AB436" s="354"/>
      <c r="AC436" s="354"/>
      <c r="AD436" s="354"/>
      <c r="AE436" s="354"/>
      <c r="AF436" s="354"/>
      <c r="AG436" s="354"/>
      <c r="AH436" s="354"/>
      <c r="AI436" s="354"/>
      <c r="AJ436" s="354"/>
      <c r="AK436" s="354"/>
      <c r="AL436" s="354"/>
      <c r="AM436" s="354"/>
      <c r="AN436" s="354"/>
      <c r="AO436" s="354"/>
      <c r="AP436" s="354"/>
      <c r="AQ436" s="354"/>
      <c r="AR436" s="354"/>
      <c r="AS436" s="354"/>
      <c r="AT436" s="354"/>
      <c r="AU436" s="354"/>
      <c r="AV436" s="354"/>
      <c r="AW436" s="354"/>
      <c r="AX436" s="354"/>
      <c r="AY436" s="354"/>
      <c r="AZ436" s="354"/>
    </row>
    <row r="437" spans="3:52" x14ac:dyDescent="0.25">
      <c r="C437" s="354"/>
      <c r="D437" s="354"/>
      <c r="E437" s="354"/>
      <c r="F437" s="354"/>
      <c r="G437" s="354"/>
      <c r="H437" s="354"/>
      <c r="I437" s="354"/>
      <c r="J437" s="354"/>
      <c r="K437" s="354"/>
      <c r="L437" s="354"/>
      <c r="M437" s="354"/>
      <c r="N437" s="354"/>
      <c r="O437" s="354"/>
      <c r="P437" s="354"/>
      <c r="Q437" s="354"/>
      <c r="R437" s="370"/>
      <c r="S437" s="354"/>
      <c r="T437" s="354"/>
      <c r="U437" s="354"/>
      <c r="V437" s="354"/>
      <c r="W437" s="354"/>
      <c r="X437" s="354"/>
      <c r="Y437" s="354"/>
      <c r="Z437" s="354"/>
      <c r="AA437" s="354"/>
      <c r="AB437" s="354"/>
      <c r="AC437" s="354"/>
      <c r="AD437" s="354"/>
      <c r="AE437" s="354"/>
      <c r="AF437" s="354"/>
      <c r="AG437" s="354"/>
      <c r="AH437" s="354"/>
      <c r="AI437" s="354"/>
      <c r="AJ437" s="354"/>
      <c r="AK437" s="354"/>
      <c r="AL437" s="354"/>
      <c r="AM437" s="354"/>
      <c r="AN437" s="354"/>
      <c r="AO437" s="354"/>
      <c r="AP437" s="354"/>
      <c r="AQ437" s="354"/>
      <c r="AR437" s="354"/>
      <c r="AS437" s="354"/>
      <c r="AT437" s="354"/>
      <c r="AU437" s="354"/>
      <c r="AV437" s="354"/>
      <c r="AW437" s="354"/>
      <c r="AX437" s="354"/>
      <c r="AY437" s="354"/>
      <c r="AZ437" s="354"/>
    </row>
    <row r="438" spans="3:52" x14ac:dyDescent="0.25">
      <c r="C438" s="354"/>
      <c r="D438" s="354"/>
      <c r="E438" s="354"/>
      <c r="F438" s="354"/>
      <c r="G438" s="354"/>
      <c r="H438" s="354"/>
      <c r="I438" s="354"/>
      <c r="J438" s="354"/>
      <c r="K438" s="354"/>
      <c r="L438" s="354"/>
      <c r="M438" s="354"/>
      <c r="N438" s="354"/>
      <c r="O438" s="354"/>
      <c r="P438" s="354"/>
      <c r="Q438" s="354"/>
      <c r="R438" s="370"/>
      <c r="S438" s="354"/>
      <c r="T438" s="354"/>
      <c r="U438" s="354"/>
      <c r="V438" s="354"/>
      <c r="W438" s="354"/>
      <c r="X438" s="354"/>
      <c r="Y438" s="354"/>
      <c r="Z438" s="354"/>
      <c r="AA438" s="354"/>
      <c r="AB438" s="354"/>
      <c r="AC438" s="354"/>
      <c r="AD438" s="354"/>
      <c r="AE438" s="354"/>
      <c r="AF438" s="354"/>
      <c r="AG438" s="354"/>
      <c r="AH438" s="354"/>
      <c r="AI438" s="354"/>
      <c r="AJ438" s="354"/>
      <c r="AK438" s="354"/>
      <c r="AL438" s="354"/>
      <c r="AM438" s="354"/>
      <c r="AN438" s="354"/>
      <c r="AO438" s="354"/>
      <c r="AP438" s="354"/>
      <c r="AQ438" s="354"/>
      <c r="AR438" s="354"/>
      <c r="AS438" s="354"/>
      <c r="AT438" s="354"/>
      <c r="AU438" s="354"/>
      <c r="AV438" s="354"/>
      <c r="AW438" s="354"/>
      <c r="AX438" s="354"/>
      <c r="AY438" s="354"/>
      <c r="AZ438" s="354"/>
    </row>
    <row r="439" spans="3:52" x14ac:dyDescent="0.25">
      <c r="C439" s="354"/>
      <c r="D439" s="354"/>
      <c r="E439" s="354"/>
      <c r="F439" s="354"/>
      <c r="G439" s="354"/>
      <c r="H439" s="354"/>
      <c r="I439" s="354"/>
      <c r="J439" s="354"/>
      <c r="K439" s="354"/>
      <c r="L439" s="354"/>
      <c r="M439" s="354"/>
      <c r="N439" s="354"/>
      <c r="O439" s="354"/>
      <c r="P439" s="354"/>
      <c r="Q439" s="354"/>
      <c r="R439" s="370"/>
      <c r="S439" s="354"/>
      <c r="T439" s="354"/>
      <c r="U439" s="354"/>
      <c r="V439" s="354"/>
      <c r="W439" s="354"/>
      <c r="X439" s="354"/>
      <c r="Y439" s="354"/>
      <c r="Z439" s="354"/>
      <c r="AA439" s="354"/>
      <c r="AB439" s="354"/>
      <c r="AC439" s="354"/>
      <c r="AD439" s="354"/>
      <c r="AE439" s="354"/>
      <c r="AF439" s="354"/>
      <c r="AG439" s="354"/>
      <c r="AH439" s="354"/>
      <c r="AI439" s="354"/>
      <c r="AJ439" s="354"/>
      <c r="AK439" s="354"/>
      <c r="AL439" s="354"/>
      <c r="AM439" s="354"/>
      <c r="AN439" s="354"/>
      <c r="AO439" s="354"/>
      <c r="AP439" s="354"/>
      <c r="AQ439" s="354"/>
      <c r="AR439" s="354"/>
      <c r="AS439" s="354"/>
      <c r="AT439" s="354"/>
      <c r="AU439" s="354"/>
      <c r="AV439" s="354"/>
      <c r="AW439" s="354"/>
      <c r="AX439" s="354"/>
      <c r="AY439" s="354"/>
      <c r="AZ439" s="354"/>
    </row>
    <row r="440" spans="3:52" x14ac:dyDescent="0.25">
      <c r="C440" s="354"/>
      <c r="D440" s="354"/>
      <c r="E440" s="354"/>
      <c r="F440" s="354"/>
      <c r="G440" s="354"/>
      <c r="H440" s="354"/>
      <c r="I440" s="354"/>
      <c r="J440" s="354"/>
      <c r="K440" s="354"/>
      <c r="L440" s="354"/>
      <c r="M440" s="354"/>
      <c r="N440" s="354"/>
      <c r="O440" s="354"/>
      <c r="P440" s="354"/>
      <c r="Q440" s="354"/>
      <c r="R440" s="370"/>
      <c r="S440" s="354"/>
      <c r="T440" s="354"/>
      <c r="U440" s="354"/>
      <c r="V440" s="354"/>
      <c r="W440" s="354"/>
      <c r="X440" s="354"/>
      <c r="Y440" s="354"/>
      <c r="Z440" s="354"/>
      <c r="AA440" s="354"/>
      <c r="AB440" s="354"/>
      <c r="AC440" s="354"/>
      <c r="AD440" s="354"/>
      <c r="AE440" s="354"/>
      <c r="AF440" s="354"/>
      <c r="AG440" s="354"/>
      <c r="AH440" s="354"/>
      <c r="AI440" s="354"/>
      <c r="AJ440" s="354"/>
      <c r="AK440" s="354"/>
      <c r="AL440" s="354"/>
      <c r="AM440" s="354"/>
      <c r="AN440" s="354"/>
      <c r="AO440" s="354"/>
      <c r="AP440" s="354"/>
      <c r="AQ440" s="354"/>
      <c r="AR440" s="354"/>
      <c r="AS440" s="354"/>
      <c r="AT440" s="354"/>
      <c r="AU440" s="354"/>
      <c r="AV440" s="354"/>
      <c r="AW440" s="354"/>
      <c r="AX440" s="354"/>
      <c r="AY440" s="354"/>
      <c r="AZ440" s="354"/>
    </row>
    <row r="441" spans="3:52" x14ac:dyDescent="0.25">
      <c r="C441" s="354"/>
      <c r="D441" s="354"/>
      <c r="E441" s="354"/>
      <c r="F441" s="354"/>
      <c r="G441" s="354"/>
      <c r="H441" s="354"/>
      <c r="I441" s="354"/>
      <c r="J441" s="354"/>
      <c r="K441" s="354"/>
      <c r="L441" s="354"/>
      <c r="M441" s="354"/>
      <c r="N441" s="354"/>
      <c r="O441" s="354"/>
      <c r="P441" s="354"/>
      <c r="Q441" s="354"/>
      <c r="R441" s="370"/>
      <c r="S441" s="354"/>
      <c r="T441" s="354"/>
      <c r="U441" s="354"/>
      <c r="V441" s="354"/>
      <c r="W441" s="354"/>
      <c r="X441" s="354"/>
      <c r="Y441" s="354"/>
      <c r="Z441" s="354"/>
      <c r="AA441" s="354"/>
      <c r="AB441" s="354"/>
      <c r="AC441" s="354"/>
      <c r="AD441" s="354"/>
      <c r="AE441" s="354"/>
      <c r="AF441" s="354"/>
      <c r="AG441" s="354"/>
      <c r="AH441" s="354"/>
      <c r="AI441" s="354"/>
      <c r="AJ441" s="354"/>
      <c r="AK441" s="354"/>
      <c r="AL441" s="354"/>
      <c r="AM441" s="354"/>
      <c r="AN441" s="354"/>
      <c r="AO441" s="354"/>
      <c r="AP441" s="354"/>
      <c r="AQ441" s="354"/>
      <c r="AR441" s="354"/>
      <c r="AS441" s="354"/>
      <c r="AT441" s="354"/>
      <c r="AU441" s="354"/>
      <c r="AV441" s="354"/>
      <c r="AW441" s="354"/>
      <c r="AX441" s="354"/>
      <c r="AY441" s="354"/>
      <c r="AZ441" s="354"/>
    </row>
    <row r="442" spans="3:52" x14ac:dyDescent="0.25">
      <c r="C442" s="354"/>
      <c r="D442" s="354"/>
      <c r="E442" s="354"/>
      <c r="F442" s="354"/>
      <c r="G442" s="354"/>
      <c r="H442" s="354"/>
      <c r="I442" s="354"/>
      <c r="J442" s="354"/>
      <c r="K442" s="354"/>
      <c r="L442" s="354"/>
      <c r="M442" s="354"/>
      <c r="N442" s="354"/>
      <c r="O442" s="354"/>
      <c r="P442" s="354"/>
      <c r="Q442" s="354"/>
      <c r="R442" s="370"/>
      <c r="S442" s="354"/>
      <c r="T442" s="354"/>
      <c r="U442" s="354"/>
      <c r="V442" s="354"/>
      <c r="W442" s="354"/>
      <c r="X442" s="354"/>
      <c r="Y442" s="354"/>
      <c r="Z442" s="354"/>
      <c r="AA442" s="354"/>
      <c r="AB442" s="354"/>
      <c r="AC442" s="354"/>
      <c r="AD442" s="354"/>
      <c r="AE442" s="354"/>
      <c r="AF442" s="354"/>
      <c r="AG442" s="354"/>
      <c r="AH442" s="354"/>
      <c r="AI442" s="354"/>
      <c r="AJ442" s="354"/>
      <c r="AK442" s="354"/>
      <c r="AL442" s="354"/>
      <c r="AM442" s="354"/>
      <c r="AN442" s="354"/>
      <c r="AO442" s="354"/>
      <c r="AP442" s="354"/>
      <c r="AQ442" s="354"/>
      <c r="AR442" s="354"/>
      <c r="AS442" s="354"/>
      <c r="AT442" s="354"/>
      <c r="AU442" s="354"/>
      <c r="AV442" s="354"/>
      <c r="AW442" s="354"/>
      <c r="AX442" s="354"/>
      <c r="AY442" s="354"/>
      <c r="AZ442" s="354"/>
    </row>
    <row r="443" spans="3:52" x14ac:dyDescent="0.25">
      <c r="C443" s="354"/>
      <c r="D443" s="354"/>
      <c r="E443" s="354"/>
      <c r="F443" s="354"/>
      <c r="G443" s="354"/>
      <c r="H443" s="354"/>
      <c r="I443" s="354"/>
      <c r="J443" s="354"/>
      <c r="K443" s="354"/>
      <c r="L443" s="354"/>
      <c r="M443" s="354"/>
      <c r="N443" s="354"/>
      <c r="O443" s="354"/>
      <c r="P443" s="354"/>
      <c r="Q443" s="354"/>
      <c r="R443" s="370"/>
      <c r="S443" s="354"/>
      <c r="T443" s="354"/>
      <c r="U443" s="354"/>
      <c r="V443" s="354"/>
      <c r="W443" s="354"/>
      <c r="X443" s="354"/>
      <c r="Y443" s="354"/>
      <c r="Z443" s="354"/>
      <c r="AA443" s="354"/>
      <c r="AB443" s="354"/>
      <c r="AC443" s="354"/>
      <c r="AD443" s="354"/>
      <c r="AE443" s="354"/>
      <c r="AF443" s="354"/>
      <c r="AG443" s="354"/>
      <c r="AH443" s="354"/>
      <c r="AI443" s="354"/>
      <c r="AJ443" s="354"/>
      <c r="AK443" s="354"/>
      <c r="AL443" s="354"/>
      <c r="AM443" s="354"/>
      <c r="AN443" s="354"/>
      <c r="AO443" s="354"/>
      <c r="AP443" s="354"/>
      <c r="AQ443" s="354"/>
      <c r="AR443" s="354"/>
      <c r="AS443" s="354"/>
      <c r="AT443" s="354"/>
      <c r="AU443" s="354"/>
      <c r="AV443" s="354"/>
      <c r="AW443" s="354"/>
      <c r="AX443" s="354"/>
      <c r="AY443" s="354"/>
      <c r="AZ443" s="354"/>
    </row>
    <row r="444" spans="3:52" x14ac:dyDescent="0.25">
      <c r="C444" s="354"/>
      <c r="D444" s="354"/>
      <c r="E444" s="354"/>
      <c r="F444" s="354"/>
      <c r="G444" s="354"/>
      <c r="H444" s="354"/>
      <c r="I444" s="354"/>
      <c r="J444" s="354"/>
      <c r="K444" s="354"/>
      <c r="L444" s="354"/>
      <c r="M444" s="354"/>
      <c r="N444" s="354"/>
      <c r="O444" s="354"/>
      <c r="P444" s="354"/>
      <c r="Q444" s="354"/>
      <c r="R444" s="370"/>
      <c r="S444" s="354"/>
      <c r="T444" s="354"/>
      <c r="U444" s="354"/>
      <c r="V444" s="354"/>
      <c r="W444" s="354"/>
      <c r="X444" s="354"/>
      <c r="Y444" s="354"/>
      <c r="Z444" s="354"/>
      <c r="AA444" s="354"/>
      <c r="AB444" s="354"/>
      <c r="AC444" s="354"/>
      <c r="AD444" s="354"/>
      <c r="AE444" s="354"/>
      <c r="AF444" s="354"/>
      <c r="AG444" s="354"/>
      <c r="AH444" s="354"/>
      <c r="AI444" s="354"/>
      <c r="AJ444" s="354"/>
      <c r="AK444" s="354"/>
      <c r="AL444" s="354"/>
      <c r="AM444" s="354"/>
      <c r="AN444" s="354"/>
      <c r="AO444" s="354"/>
      <c r="AP444" s="354"/>
      <c r="AQ444" s="354"/>
      <c r="AR444" s="354"/>
      <c r="AS444" s="354"/>
      <c r="AT444" s="354"/>
      <c r="AU444" s="354"/>
      <c r="AV444" s="354"/>
      <c r="AW444" s="354"/>
      <c r="AX444" s="354"/>
      <c r="AY444" s="354"/>
      <c r="AZ444" s="354"/>
    </row>
    <row r="445" spans="3:52" x14ac:dyDescent="0.25">
      <c r="C445" s="354"/>
      <c r="D445" s="354"/>
      <c r="E445" s="354"/>
      <c r="F445" s="354"/>
      <c r="G445" s="354"/>
      <c r="H445" s="354"/>
      <c r="I445" s="354"/>
      <c r="J445" s="354"/>
      <c r="K445" s="354"/>
      <c r="L445" s="354"/>
      <c r="M445" s="354"/>
      <c r="N445" s="354"/>
      <c r="O445" s="354"/>
      <c r="P445" s="354"/>
      <c r="Q445" s="354"/>
      <c r="R445" s="370"/>
      <c r="S445" s="354"/>
      <c r="T445" s="354"/>
      <c r="U445" s="354"/>
      <c r="V445" s="354"/>
      <c r="W445" s="354"/>
      <c r="X445" s="354"/>
      <c r="Y445" s="354"/>
      <c r="Z445" s="354"/>
      <c r="AA445" s="354"/>
      <c r="AB445" s="354"/>
      <c r="AC445" s="354"/>
      <c r="AD445" s="354"/>
      <c r="AE445" s="354"/>
      <c r="AF445" s="354"/>
      <c r="AG445" s="354"/>
      <c r="AH445" s="354"/>
      <c r="AI445" s="354"/>
      <c r="AJ445" s="354"/>
      <c r="AK445" s="354"/>
      <c r="AL445" s="354"/>
      <c r="AM445" s="354"/>
      <c r="AN445" s="354"/>
      <c r="AO445" s="354"/>
      <c r="AP445" s="354"/>
      <c r="AQ445" s="354"/>
      <c r="AR445" s="354"/>
      <c r="AS445" s="354"/>
      <c r="AT445" s="354"/>
      <c r="AU445" s="354"/>
      <c r="AV445" s="354"/>
      <c r="AW445" s="354"/>
      <c r="AX445" s="354"/>
      <c r="AY445" s="354"/>
      <c r="AZ445" s="354"/>
    </row>
    <row r="446" spans="3:52" x14ac:dyDescent="0.25">
      <c r="C446" s="354"/>
      <c r="D446" s="354"/>
      <c r="E446" s="354"/>
      <c r="F446" s="354"/>
      <c r="G446" s="354"/>
      <c r="H446" s="354"/>
      <c r="I446" s="354"/>
      <c r="J446" s="354"/>
      <c r="K446" s="354"/>
      <c r="L446" s="354"/>
      <c r="M446" s="354"/>
      <c r="N446" s="354"/>
      <c r="O446" s="354"/>
      <c r="P446" s="354"/>
      <c r="Q446" s="354"/>
      <c r="R446" s="370"/>
      <c r="S446" s="354"/>
      <c r="T446" s="354"/>
      <c r="U446" s="354"/>
      <c r="V446" s="354"/>
      <c r="W446" s="354"/>
      <c r="X446" s="354"/>
      <c r="Y446" s="354"/>
      <c r="Z446" s="354"/>
      <c r="AA446" s="354"/>
      <c r="AB446" s="354"/>
      <c r="AC446" s="354"/>
      <c r="AD446" s="354"/>
      <c r="AE446" s="354"/>
      <c r="AF446" s="354"/>
      <c r="AG446" s="354"/>
      <c r="AH446" s="354"/>
      <c r="AI446" s="354"/>
      <c r="AJ446" s="354"/>
      <c r="AK446" s="354"/>
      <c r="AL446" s="354"/>
      <c r="AM446" s="354"/>
      <c r="AN446" s="354"/>
      <c r="AO446" s="354"/>
      <c r="AP446" s="354"/>
      <c r="AQ446" s="354"/>
      <c r="AR446" s="354"/>
      <c r="AS446" s="354"/>
      <c r="AT446" s="354"/>
      <c r="AU446" s="354"/>
      <c r="AV446" s="354"/>
      <c r="AW446" s="354"/>
      <c r="AX446" s="354"/>
      <c r="AY446" s="354"/>
      <c r="AZ446" s="354"/>
    </row>
    <row r="447" spans="3:52" x14ac:dyDescent="0.25">
      <c r="C447" s="354"/>
      <c r="D447" s="354"/>
      <c r="E447" s="354"/>
      <c r="F447" s="354"/>
      <c r="G447" s="354"/>
      <c r="H447" s="354"/>
      <c r="I447" s="354"/>
      <c r="J447" s="354"/>
      <c r="K447" s="354"/>
      <c r="L447" s="354"/>
      <c r="M447" s="354"/>
      <c r="N447" s="354"/>
      <c r="O447" s="354"/>
      <c r="P447" s="354"/>
      <c r="Q447" s="354"/>
      <c r="R447" s="370"/>
      <c r="S447" s="354"/>
      <c r="T447" s="354"/>
      <c r="U447" s="354"/>
      <c r="V447" s="354"/>
      <c r="W447" s="354"/>
      <c r="X447" s="354"/>
      <c r="Y447" s="354"/>
      <c r="Z447" s="354"/>
      <c r="AA447" s="354"/>
      <c r="AB447" s="354"/>
      <c r="AC447" s="354"/>
      <c r="AD447" s="354"/>
      <c r="AE447" s="354"/>
      <c r="AF447" s="354"/>
      <c r="AG447" s="354"/>
      <c r="AH447" s="354"/>
      <c r="AI447" s="354"/>
      <c r="AJ447" s="354"/>
      <c r="AK447" s="354"/>
      <c r="AL447" s="354"/>
      <c r="AM447" s="354"/>
      <c r="AN447" s="354"/>
      <c r="AO447" s="354"/>
      <c r="AP447" s="354"/>
      <c r="AQ447" s="354"/>
      <c r="AR447" s="354"/>
      <c r="AS447" s="354"/>
      <c r="AT447" s="354"/>
      <c r="AU447" s="354"/>
      <c r="AV447" s="354"/>
      <c r="AW447" s="354"/>
      <c r="AX447" s="354"/>
      <c r="AY447" s="354"/>
      <c r="AZ447" s="354"/>
    </row>
    <row r="448" spans="3:52" x14ac:dyDescent="0.25">
      <c r="C448" s="354"/>
      <c r="D448" s="354"/>
      <c r="E448" s="354"/>
      <c r="F448" s="354"/>
      <c r="G448" s="354"/>
      <c r="H448" s="354"/>
      <c r="I448" s="354"/>
      <c r="J448" s="354"/>
      <c r="K448" s="354"/>
      <c r="L448" s="354"/>
      <c r="M448" s="354"/>
      <c r="N448" s="354"/>
      <c r="O448" s="354"/>
      <c r="P448" s="354"/>
      <c r="Q448" s="354"/>
      <c r="R448" s="370"/>
      <c r="S448" s="354"/>
      <c r="T448" s="354"/>
      <c r="U448" s="354"/>
      <c r="V448" s="354"/>
      <c r="W448" s="354"/>
      <c r="X448" s="354"/>
      <c r="Y448" s="354"/>
      <c r="Z448" s="354"/>
      <c r="AA448" s="354"/>
      <c r="AB448" s="354"/>
      <c r="AC448" s="354"/>
      <c r="AD448" s="354"/>
      <c r="AE448" s="354"/>
      <c r="AF448" s="354"/>
      <c r="AG448" s="354"/>
      <c r="AH448" s="354"/>
      <c r="AI448" s="354"/>
      <c r="AJ448" s="354"/>
      <c r="AK448" s="354"/>
      <c r="AL448" s="354"/>
      <c r="AM448" s="354"/>
      <c r="AN448" s="354"/>
      <c r="AO448" s="354"/>
      <c r="AP448" s="354"/>
      <c r="AQ448" s="354"/>
      <c r="AR448" s="354"/>
      <c r="AS448" s="354"/>
      <c r="AT448" s="354"/>
      <c r="AU448" s="354"/>
      <c r="AV448" s="354"/>
      <c r="AW448" s="354"/>
      <c r="AX448" s="354"/>
      <c r="AY448" s="354"/>
      <c r="AZ448" s="354"/>
    </row>
    <row r="449" spans="3:52" x14ac:dyDescent="0.25">
      <c r="C449" s="354"/>
      <c r="D449" s="354"/>
      <c r="E449" s="354"/>
      <c r="F449" s="354"/>
      <c r="G449" s="354"/>
      <c r="H449" s="354"/>
      <c r="I449" s="354"/>
      <c r="J449" s="354"/>
      <c r="K449" s="354"/>
      <c r="L449" s="354"/>
      <c r="M449" s="354"/>
      <c r="N449" s="354"/>
      <c r="O449" s="354"/>
      <c r="P449" s="354"/>
      <c r="Q449" s="354"/>
      <c r="R449" s="370"/>
      <c r="S449" s="354"/>
      <c r="T449" s="354"/>
      <c r="U449" s="354"/>
      <c r="V449" s="354"/>
      <c r="W449" s="354"/>
      <c r="X449" s="354"/>
      <c r="Y449" s="354"/>
      <c r="Z449" s="354"/>
      <c r="AA449" s="354"/>
      <c r="AB449" s="354"/>
      <c r="AC449" s="354"/>
      <c r="AD449" s="354"/>
      <c r="AE449" s="354"/>
      <c r="AF449" s="354"/>
      <c r="AG449" s="354"/>
      <c r="AH449" s="354"/>
      <c r="AI449" s="354"/>
      <c r="AJ449" s="354"/>
      <c r="AK449" s="354"/>
      <c r="AL449" s="354"/>
      <c r="AM449" s="354"/>
      <c r="AN449" s="354"/>
      <c r="AO449" s="354"/>
      <c r="AP449" s="354"/>
      <c r="AQ449" s="354"/>
      <c r="AR449" s="354"/>
      <c r="AS449" s="354"/>
      <c r="AT449" s="354"/>
      <c r="AU449" s="354"/>
      <c r="AV449" s="354"/>
      <c r="AW449" s="354"/>
      <c r="AX449" s="354"/>
      <c r="AY449" s="354"/>
      <c r="AZ449" s="354"/>
    </row>
    <row r="450" spans="3:52" x14ac:dyDescent="0.25">
      <c r="C450" s="354"/>
      <c r="D450" s="354"/>
      <c r="E450" s="354"/>
      <c r="F450" s="354"/>
      <c r="G450" s="354"/>
      <c r="H450" s="354"/>
      <c r="I450" s="354"/>
      <c r="J450" s="354"/>
      <c r="K450" s="354"/>
      <c r="L450" s="354"/>
      <c r="M450" s="354"/>
      <c r="N450" s="354"/>
      <c r="O450" s="354"/>
      <c r="P450" s="354"/>
      <c r="Q450" s="354"/>
      <c r="R450" s="370"/>
      <c r="S450" s="354"/>
      <c r="T450" s="354"/>
      <c r="U450" s="354"/>
      <c r="V450" s="354"/>
      <c r="W450" s="354"/>
      <c r="X450" s="354"/>
      <c r="Y450" s="354"/>
      <c r="Z450" s="354"/>
      <c r="AA450" s="354"/>
      <c r="AB450" s="354"/>
      <c r="AC450" s="354"/>
      <c r="AD450" s="354"/>
      <c r="AE450" s="354"/>
      <c r="AF450" s="354"/>
      <c r="AG450" s="354"/>
      <c r="AH450" s="354"/>
      <c r="AI450" s="354"/>
      <c r="AJ450" s="354"/>
      <c r="AK450" s="354"/>
      <c r="AL450" s="354"/>
      <c r="AM450" s="354"/>
      <c r="AN450" s="354"/>
      <c r="AO450" s="354"/>
      <c r="AP450" s="354"/>
      <c r="AQ450" s="354"/>
      <c r="AR450" s="354"/>
      <c r="AS450" s="354"/>
      <c r="AT450" s="354"/>
      <c r="AU450" s="354"/>
      <c r="AV450" s="354"/>
      <c r="AW450" s="354"/>
      <c r="AX450" s="354"/>
      <c r="AY450" s="354"/>
      <c r="AZ450" s="354"/>
    </row>
    <row r="451" spans="3:52" x14ac:dyDescent="0.25">
      <c r="C451" s="354"/>
      <c r="D451" s="354"/>
      <c r="E451" s="354"/>
      <c r="F451" s="354"/>
      <c r="G451" s="354"/>
      <c r="H451" s="354"/>
      <c r="I451" s="354"/>
      <c r="J451" s="354"/>
      <c r="K451" s="354"/>
      <c r="L451" s="354"/>
      <c r="M451" s="354"/>
      <c r="N451" s="354"/>
      <c r="O451" s="354"/>
      <c r="P451" s="354"/>
      <c r="Q451" s="354"/>
      <c r="R451" s="370"/>
      <c r="S451" s="354"/>
      <c r="T451" s="354"/>
      <c r="U451" s="354"/>
      <c r="V451" s="354"/>
      <c r="W451" s="354"/>
      <c r="X451" s="354"/>
      <c r="Y451" s="354"/>
      <c r="Z451" s="354"/>
      <c r="AA451" s="354"/>
      <c r="AB451" s="354"/>
      <c r="AC451" s="354"/>
      <c r="AD451" s="354"/>
      <c r="AE451" s="354"/>
      <c r="AF451" s="354"/>
      <c r="AG451" s="354"/>
      <c r="AH451" s="354"/>
      <c r="AI451" s="354"/>
      <c r="AJ451" s="354"/>
      <c r="AK451" s="354"/>
      <c r="AL451" s="354"/>
      <c r="AM451" s="354"/>
      <c r="AN451" s="354"/>
      <c r="AO451" s="354"/>
      <c r="AP451" s="354"/>
      <c r="AQ451" s="354"/>
      <c r="AR451" s="354"/>
      <c r="AS451" s="354"/>
      <c r="AT451" s="354"/>
      <c r="AU451" s="354"/>
      <c r="AV451" s="354"/>
      <c r="AW451" s="354"/>
      <c r="AX451" s="354"/>
      <c r="AY451" s="354"/>
      <c r="AZ451" s="354"/>
    </row>
    <row r="452" spans="3:52" x14ac:dyDescent="0.25">
      <c r="C452" s="354"/>
      <c r="D452" s="354"/>
      <c r="E452" s="354"/>
      <c r="F452" s="354"/>
      <c r="G452" s="354"/>
      <c r="H452" s="354"/>
      <c r="I452" s="354"/>
      <c r="J452" s="354"/>
      <c r="K452" s="354"/>
      <c r="L452" s="354"/>
      <c r="M452" s="354"/>
      <c r="N452" s="354"/>
      <c r="O452" s="354"/>
      <c r="P452" s="354"/>
      <c r="Q452" s="354"/>
      <c r="R452" s="370"/>
      <c r="S452" s="354"/>
      <c r="T452" s="354"/>
      <c r="U452" s="354"/>
      <c r="V452" s="354"/>
      <c r="W452" s="354"/>
      <c r="X452" s="354"/>
      <c r="Y452" s="354"/>
      <c r="Z452" s="354"/>
      <c r="AA452" s="354"/>
      <c r="AB452" s="354"/>
      <c r="AC452" s="354"/>
      <c r="AD452" s="354"/>
      <c r="AE452" s="354"/>
      <c r="AF452" s="354"/>
      <c r="AG452" s="354"/>
      <c r="AH452" s="354"/>
      <c r="AI452" s="354"/>
      <c r="AJ452" s="354"/>
      <c r="AK452" s="354"/>
      <c r="AL452" s="354"/>
      <c r="AM452" s="354"/>
      <c r="AN452" s="354"/>
      <c r="AO452" s="354"/>
      <c r="AP452" s="354"/>
      <c r="AQ452" s="354"/>
      <c r="AR452" s="354"/>
      <c r="AS452" s="354"/>
      <c r="AT452" s="354"/>
      <c r="AU452" s="354"/>
      <c r="AV452" s="354"/>
      <c r="AW452" s="354"/>
      <c r="AX452" s="354"/>
      <c r="AY452" s="354"/>
      <c r="AZ452" s="354"/>
    </row>
    <row r="453" spans="3:52" x14ac:dyDescent="0.25">
      <c r="C453" s="354"/>
      <c r="D453" s="354"/>
      <c r="E453" s="354"/>
      <c r="F453" s="354"/>
      <c r="G453" s="354"/>
      <c r="H453" s="354"/>
      <c r="I453" s="354"/>
      <c r="J453" s="354"/>
      <c r="K453" s="354"/>
      <c r="L453" s="354"/>
      <c r="M453" s="354"/>
      <c r="N453" s="354"/>
      <c r="O453" s="354"/>
      <c r="P453" s="354"/>
      <c r="Q453" s="354"/>
      <c r="R453" s="370"/>
      <c r="S453" s="354"/>
      <c r="T453" s="354"/>
      <c r="U453" s="354"/>
      <c r="V453" s="354"/>
      <c r="W453" s="354"/>
      <c r="X453" s="354"/>
      <c r="Y453" s="354"/>
      <c r="Z453" s="354"/>
      <c r="AA453" s="354"/>
      <c r="AB453" s="354"/>
      <c r="AC453" s="354"/>
      <c r="AD453" s="354"/>
      <c r="AE453" s="354"/>
      <c r="AF453" s="354"/>
      <c r="AG453" s="354"/>
      <c r="AH453" s="354"/>
      <c r="AI453" s="354"/>
      <c r="AJ453" s="354"/>
      <c r="AK453" s="354"/>
      <c r="AL453" s="354"/>
      <c r="AM453" s="354"/>
      <c r="AN453" s="354"/>
      <c r="AO453" s="354"/>
      <c r="AP453" s="354"/>
      <c r="AQ453" s="354"/>
      <c r="AR453" s="354"/>
      <c r="AS453" s="354"/>
      <c r="AT453" s="354"/>
      <c r="AU453" s="354"/>
      <c r="AV453" s="354"/>
      <c r="AW453" s="354"/>
      <c r="AX453" s="354"/>
      <c r="AY453" s="354"/>
      <c r="AZ453" s="354"/>
    </row>
    <row r="454" spans="3:52" x14ac:dyDescent="0.25">
      <c r="C454" s="354"/>
      <c r="D454" s="354"/>
      <c r="E454" s="354"/>
      <c r="F454" s="354"/>
      <c r="G454" s="354"/>
      <c r="H454" s="354"/>
      <c r="I454" s="354"/>
      <c r="J454" s="354"/>
      <c r="K454" s="354"/>
      <c r="L454" s="354"/>
      <c r="M454" s="354"/>
      <c r="N454" s="354"/>
      <c r="O454" s="354"/>
      <c r="P454" s="354"/>
      <c r="Q454" s="354"/>
      <c r="R454" s="370"/>
      <c r="S454" s="354"/>
      <c r="T454" s="354"/>
      <c r="U454" s="354"/>
      <c r="V454" s="354"/>
      <c r="W454" s="354"/>
      <c r="X454" s="354"/>
      <c r="Y454" s="354"/>
      <c r="Z454" s="354"/>
      <c r="AA454" s="354"/>
      <c r="AB454" s="354"/>
      <c r="AC454" s="354"/>
      <c r="AD454" s="354"/>
      <c r="AE454" s="354"/>
      <c r="AF454" s="354"/>
      <c r="AG454" s="354"/>
      <c r="AH454" s="354"/>
      <c r="AI454" s="354"/>
      <c r="AJ454" s="354"/>
      <c r="AK454" s="354"/>
      <c r="AL454" s="354"/>
      <c r="AM454" s="354"/>
      <c r="AN454" s="354"/>
      <c r="AO454" s="354"/>
      <c r="AP454" s="354"/>
      <c r="AQ454" s="354"/>
      <c r="AR454" s="354"/>
      <c r="AS454" s="354"/>
      <c r="AT454" s="354"/>
      <c r="AU454" s="354"/>
      <c r="AV454" s="354"/>
      <c r="AW454" s="354"/>
      <c r="AX454" s="354"/>
      <c r="AY454" s="354"/>
      <c r="AZ454" s="354"/>
    </row>
    <row r="455" spans="3:52" x14ac:dyDescent="0.25">
      <c r="C455" s="354"/>
      <c r="D455" s="354"/>
      <c r="E455" s="354"/>
      <c r="F455" s="354"/>
      <c r="G455" s="354"/>
      <c r="H455" s="354"/>
      <c r="I455" s="354"/>
      <c r="J455" s="354"/>
      <c r="K455" s="354"/>
      <c r="L455" s="354"/>
      <c r="M455" s="354"/>
      <c r="N455" s="354"/>
      <c r="O455" s="354"/>
      <c r="P455" s="354"/>
      <c r="Q455" s="354"/>
      <c r="R455" s="370"/>
      <c r="S455" s="354"/>
      <c r="T455" s="354"/>
      <c r="U455" s="354"/>
      <c r="V455" s="354"/>
      <c r="W455" s="354"/>
      <c r="X455" s="354"/>
      <c r="Y455" s="354"/>
      <c r="Z455" s="354"/>
      <c r="AA455" s="354"/>
      <c r="AB455" s="354"/>
      <c r="AC455" s="354"/>
      <c r="AD455" s="354"/>
      <c r="AE455" s="354"/>
      <c r="AF455" s="354"/>
      <c r="AG455" s="354"/>
      <c r="AH455" s="354"/>
      <c r="AI455" s="354"/>
      <c r="AJ455" s="354"/>
      <c r="AK455" s="354"/>
      <c r="AL455" s="354"/>
      <c r="AM455" s="354"/>
      <c r="AN455" s="354"/>
      <c r="AO455" s="354"/>
      <c r="AP455" s="354"/>
      <c r="AQ455" s="354"/>
      <c r="AR455" s="354"/>
      <c r="AS455" s="354"/>
      <c r="AT455" s="354"/>
      <c r="AU455" s="354"/>
      <c r="AV455" s="354"/>
      <c r="AW455" s="354"/>
      <c r="AX455" s="354"/>
      <c r="AY455" s="354"/>
      <c r="AZ455" s="354"/>
    </row>
    <row r="456" spans="3:52" x14ac:dyDescent="0.25">
      <c r="C456" s="354"/>
      <c r="D456" s="354"/>
      <c r="E456" s="354"/>
      <c r="F456" s="354"/>
      <c r="G456" s="354"/>
      <c r="H456" s="354"/>
      <c r="I456" s="354"/>
      <c r="J456" s="354"/>
      <c r="K456" s="354"/>
      <c r="L456" s="354"/>
      <c r="M456" s="354"/>
      <c r="N456" s="354"/>
      <c r="O456" s="354"/>
      <c r="P456" s="354"/>
      <c r="Q456" s="354"/>
      <c r="R456" s="370"/>
      <c r="S456" s="354"/>
      <c r="T456" s="354"/>
      <c r="U456" s="354"/>
      <c r="V456" s="354"/>
      <c r="W456" s="354"/>
      <c r="X456" s="354"/>
      <c r="Y456" s="354"/>
      <c r="Z456" s="354"/>
      <c r="AA456" s="354"/>
      <c r="AB456" s="354"/>
      <c r="AC456" s="354"/>
      <c r="AD456" s="354"/>
      <c r="AE456" s="354"/>
      <c r="AF456" s="354"/>
      <c r="AG456" s="354"/>
      <c r="AH456" s="354"/>
      <c r="AI456" s="354"/>
      <c r="AJ456" s="354"/>
      <c r="AK456" s="354"/>
      <c r="AL456" s="354"/>
      <c r="AM456" s="354"/>
      <c r="AN456" s="354"/>
      <c r="AO456" s="354"/>
      <c r="AP456" s="354"/>
      <c r="AQ456" s="354"/>
      <c r="AR456" s="354"/>
      <c r="AS456" s="354"/>
      <c r="AT456" s="354"/>
      <c r="AU456" s="354"/>
      <c r="AV456" s="354"/>
      <c r="AW456" s="354"/>
      <c r="AX456" s="354"/>
      <c r="AY456" s="354"/>
      <c r="AZ456" s="354"/>
    </row>
    <row r="457" spans="3:52" x14ac:dyDescent="0.25">
      <c r="C457" s="354"/>
      <c r="D457" s="354"/>
      <c r="E457" s="354"/>
      <c r="F457" s="354"/>
      <c r="G457" s="354"/>
      <c r="H457" s="354"/>
      <c r="I457" s="354"/>
      <c r="J457" s="354"/>
      <c r="K457" s="354"/>
      <c r="L457" s="354"/>
      <c r="M457" s="354"/>
      <c r="N457" s="354"/>
      <c r="O457" s="354"/>
      <c r="P457" s="354"/>
      <c r="Q457" s="354"/>
      <c r="R457" s="370"/>
      <c r="S457" s="354"/>
      <c r="T457" s="354"/>
      <c r="U457" s="354"/>
      <c r="V457" s="354"/>
      <c r="W457" s="354"/>
      <c r="X457" s="354"/>
      <c r="Y457" s="354"/>
      <c r="Z457" s="354"/>
      <c r="AA457" s="354"/>
      <c r="AB457" s="354"/>
      <c r="AC457" s="354"/>
      <c r="AD457" s="354"/>
      <c r="AE457" s="354"/>
      <c r="AF457" s="354"/>
      <c r="AG457" s="354"/>
      <c r="AH457" s="354"/>
      <c r="AI457" s="354"/>
      <c r="AJ457" s="354"/>
      <c r="AK457" s="354"/>
      <c r="AL457" s="354"/>
      <c r="AM457" s="354"/>
      <c r="AN457" s="354"/>
      <c r="AO457" s="354"/>
      <c r="AP457" s="354"/>
      <c r="AQ457" s="354"/>
      <c r="AR457" s="354"/>
      <c r="AS457" s="354"/>
      <c r="AT457" s="354"/>
      <c r="AU457" s="354"/>
      <c r="AV457" s="354"/>
      <c r="AW457" s="354"/>
      <c r="AX457" s="354"/>
      <c r="AY457" s="354"/>
      <c r="AZ457" s="354"/>
    </row>
    <row r="458" spans="3:52" x14ac:dyDescent="0.25">
      <c r="C458" s="354"/>
      <c r="D458" s="354"/>
      <c r="E458" s="354"/>
      <c r="F458" s="354"/>
      <c r="G458" s="354"/>
      <c r="H458" s="354"/>
      <c r="I458" s="354"/>
      <c r="J458" s="354"/>
      <c r="K458" s="354"/>
      <c r="L458" s="354"/>
      <c r="M458" s="354"/>
      <c r="N458" s="354"/>
      <c r="O458" s="354"/>
      <c r="P458" s="354"/>
      <c r="Q458" s="354"/>
      <c r="R458" s="370"/>
      <c r="S458" s="354"/>
      <c r="T458" s="354"/>
      <c r="U458" s="354"/>
      <c r="V458" s="354"/>
      <c r="W458" s="354"/>
      <c r="X458" s="354"/>
      <c r="Y458" s="354"/>
      <c r="Z458" s="354"/>
      <c r="AA458" s="354"/>
      <c r="AB458" s="354"/>
      <c r="AC458" s="354"/>
      <c r="AD458" s="354"/>
      <c r="AE458" s="354"/>
      <c r="AF458" s="354"/>
      <c r="AG458" s="354"/>
      <c r="AH458" s="354"/>
      <c r="AI458" s="354"/>
      <c r="AJ458" s="354"/>
      <c r="AK458" s="354"/>
      <c r="AL458" s="354"/>
      <c r="AM458" s="354"/>
      <c r="AN458" s="354"/>
      <c r="AO458" s="354"/>
      <c r="AP458" s="354"/>
      <c r="AQ458" s="354"/>
      <c r="AR458" s="354"/>
      <c r="AS458" s="354"/>
      <c r="AT458" s="354"/>
      <c r="AU458" s="354"/>
      <c r="AV458" s="354"/>
      <c r="AW458" s="354"/>
      <c r="AX458" s="354"/>
      <c r="AY458" s="354"/>
      <c r="AZ458" s="354"/>
    </row>
    <row r="459" spans="3:52" x14ac:dyDescent="0.25">
      <c r="C459" s="354"/>
      <c r="D459" s="354"/>
      <c r="E459" s="354"/>
      <c r="F459" s="354"/>
      <c r="G459" s="354"/>
      <c r="H459" s="354"/>
      <c r="I459" s="354"/>
      <c r="J459" s="354"/>
      <c r="K459" s="354"/>
      <c r="L459" s="354"/>
      <c r="M459" s="354"/>
      <c r="N459" s="354"/>
      <c r="O459" s="354"/>
      <c r="P459" s="354"/>
      <c r="Q459" s="354"/>
      <c r="R459" s="370"/>
      <c r="S459" s="354"/>
      <c r="T459" s="354"/>
      <c r="U459" s="354"/>
      <c r="V459" s="354"/>
      <c r="W459" s="354"/>
      <c r="X459" s="354"/>
      <c r="Y459" s="354"/>
      <c r="Z459" s="354"/>
      <c r="AA459" s="354"/>
      <c r="AB459" s="354"/>
      <c r="AC459" s="354"/>
      <c r="AD459" s="354"/>
      <c r="AE459" s="354"/>
      <c r="AF459" s="354"/>
      <c r="AG459" s="354"/>
      <c r="AH459" s="354"/>
      <c r="AI459" s="354"/>
      <c r="AJ459" s="354"/>
      <c r="AK459" s="354"/>
      <c r="AL459" s="354"/>
      <c r="AM459" s="354"/>
      <c r="AN459" s="354"/>
      <c r="AO459" s="354"/>
      <c r="AP459" s="354"/>
      <c r="AQ459" s="354"/>
      <c r="AR459" s="354"/>
      <c r="AS459" s="354"/>
      <c r="AT459" s="354"/>
      <c r="AU459" s="354"/>
      <c r="AV459" s="354"/>
      <c r="AW459" s="354"/>
      <c r="AX459" s="354"/>
      <c r="AY459" s="354"/>
      <c r="AZ459" s="354"/>
    </row>
    <row r="460" spans="3:52" x14ac:dyDescent="0.25">
      <c r="C460" s="354"/>
      <c r="D460" s="354"/>
      <c r="E460" s="354"/>
      <c r="F460" s="354"/>
      <c r="G460" s="354"/>
      <c r="H460" s="354"/>
      <c r="I460" s="354"/>
      <c r="J460" s="354"/>
      <c r="K460" s="354"/>
      <c r="L460" s="354"/>
      <c r="M460" s="354"/>
      <c r="N460" s="354"/>
      <c r="O460" s="354"/>
      <c r="P460" s="354"/>
      <c r="Q460" s="354"/>
      <c r="R460" s="370"/>
      <c r="S460" s="354"/>
      <c r="T460" s="354"/>
      <c r="U460" s="354"/>
      <c r="V460" s="354"/>
      <c r="W460" s="354"/>
      <c r="X460" s="354"/>
      <c r="Y460" s="354"/>
      <c r="Z460" s="354"/>
      <c r="AA460" s="354"/>
      <c r="AB460" s="354"/>
      <c r="AC460" s="354"/>
      <c r="AD460" s="354"/>
      <c r="AE460" s="354"/>
      <c r="AF460" s="354"/>
      <c r="AG460" s="354"/>
      <c r="AH460" s="354"/>
      <c r="AI460" s="354"/>
      <c r="AJ460" s="354"/>
      <c r="AK460" s="354"/>
      <c r="AL460" s="354"/>
      <c r="AM460" s="354"/>
      <c r="AN460" s="354"/>
      <c r="AO460" s="354"/>
      <c r="AP460" s="354"/>
      <c r="AQ460" s="354"/>
      <c r="AR460" s="354"/>
      <c r="AS460" s="354"/>
      <c r="AT460" s="354"/>
      <c r="AU460" s="354"/>
      <c r="AV460" s="354"/>
      <c r="AW460" s="354"/>
      <c r="AX460" s="354"/>
      <c r="AY460" s="354"/>
      <c r="AZ460" s="354"/>
    </row>
    <row r="461" spans="3:52" x14ac:dyDescent="0.25">
      <c r="C461" s="354"/>
      <c r="D461" s="354"/>
      <c r="E461" s="354"/>
      <c r="F461" s="354"/>
      <c r="G461" s="354"/>
      <c r="H461" s="354"/>
      <c r="I461" s="354"/>
      <c r="J461" s="354"/>
      <c r="K461" s="354"/>
      <c r="L461" s="354"/>
      <c r="M461" s="354"/>
      <c r="N461" s="354"/>
      <c r="O461" s="354"/>
      <c r="P461" s="354"/>
      <c r="Q461" s="354"/>
      <c r="R461" s="370"/>
      <c r="S461" s="354"/>
      <c r="T461" s="354"/>
      <c r="U461" s="354"/>
      <c r="V461" s="354"/>
      <c r="W461" s="354"/>
      <c r="X461" s="354"/>
      <c r="Y461" s="354"/>
      <c r="Z461" s="354"/>
      <c r="AA461" s="354"/>
      <c r="AB461" s="354"/>
      <c r="AC461" s="354"/>
      <c r="AD461" s="354"/>
      <c r="AE461" s="354"/>
      <c r="AF461" s="354"/>
      <c r="AG461" s="354"/>
      <c r="AH461" s="354"/>
      <c r="AI461" s="354"/>
      <c r="AJ461" s="354"/>
      <c r="AK461" s="354"/>
      <c r="AL461" s="354"/>
      <c r="AM461" s="354"/>
      <c r="AN461" s="354"/>
      <c r="AO461" s="354"/>
      <c r="AP461" s="354"/>
      <c r="AQ461" s="354"/>
      <c r="AR461" s="354"/>
      <c r="AS461" s="354"/>
      <c r="AT461" s="354"/>
      <c r="AU461" s="354"/>
      <c r="AV461" s="354"/>
      <c r="AW461" s="354"/>
      <c r="AX461" s="354"/>
      <c r="AY461" s="354"/>
      <c r="AZ461" s="354"/>
    </row>
    <row r="462" spans="3:52" x14ac:dyDescent="0.25">
      <c r="C462" s="354"/>
      <c r="D462" s="354"/>
      <c r="E462" s="354"/>
      <c r="F462" s="354"/>
      <c r="G462" s="354"/>
      <c r="H462" s="354"/>
      <c r="I462" s="354"/>
      <c r="J462" s="354"/>
      <c r="K462" s="354"/>
      <c r="L462" s="354"/>
      <c r="M462" s="354"/>
      <c r="N462" s="354"/>
      <c r="O462" s="354"/>
      <c r="P462" s="354"/>
      <c r="Q462" s="354"/>
      <c r="R462" s="370"/>
      <c r="S462" s="354"/>
      <c r="T462" s="354"/>
      <c r="U462" s="354"/>
      <c r="V462" s="354"/>
      <c r="W462" s="354"/>
      <c r="X462" s="354"/>
      <c r="Y462" s="354"/>
      <c r="Z462" s="354"/>
      <c r="AA462" s="354"/>
      <c r="AB462" s="354"/>
      <c r="AC462" s="354"/>
      <c r="AD462" s="354"/>
      <c r="AE462" s="354"/>
      <c r="AF462" s="354"/>
      <c r="AG462" s="354"/>
      <c r="AH462" s="354"/>
      <c r="AI462" s="354"/>
      <c r="AJ462" s="354"/>
      <c r="AK462" s="354"/>
      <c r="AL462" s="354"/>
      <c r="AM462" s="354"/>
      <c r="AN462" s="354"/>
      <c r="AO462" s="354"/>
      <c r="AP462" s="354"/>
      <c r="AQ462" s="354"/>
      <c r="AR462" s="354"/>
      <c r="AS462" s="354"/>
      <c r="AT462" s="354"/>
      <c r="AU462" s="354"/>
      <c r="AV462" s="354"/>
      <c r="AW462" s="354"/>
      <c r="AX462" s="354"/>
      <c r="AY462" s="354"/>
      <c r="AZ462" s="354"/>
    </row>
    <row r="463" spans="3:52" x14ac:dyDescent="0.25">
      <c r="C463" s="354"/>
      <c r="D463" s="354"/>
      <c r="E463" s="354"/>
      <c r="F463" s="354"/>
      <c r="G463" s="354"/>
      <c r="H463" s="354"/>
      <c r="I463" s="354"/>
      <c r="J463" s="354"/>
      <c r="K463" s="354"/>
      <c r="L463" s="354"/>
      <c r="M463" s="354"/>
      <c r="N463" s="354"/>
      <c r="O463" s="354"/>
      <c r="P463" s="354"/>
      <c r="Q463" s="354"/>
      <c r="R463" s="370"/>
      <c r="S463" s="354"/>
      <c r="T463" s="354"/>
      <c r="U463" s="354"/>
      <c r="V463" s="354"/>
      <c r="W463" s="354"/>
      <c r="X463" s="354"/>
      <c r="Y463" s="354"/>
      <c r="Z463" s="354"/>
      <c r="AA463" s="354"/>
      <c r="AB463" s="354"/>
      <c r="AC463" s="354"/>
      <c r="AD463" s="354"/>
      <c r="AE463" s="354"/>
      <c r="AF463" s="354"/>
      <c r="AG463" s="354"/>
      <c r="AH463" s="354"/>
      <c r="AI463" s="354"/>
      <c r="AJ463" s="354"/>
      <c r="AK463" s="354"/>
      <c r="AL463" s="354"/>
      <c r="AM463" s="354"/>
      <c r="AN463" s="354"/>
      <c r="AO463" s="354"/>
      <c r="AP463" s="354"/>
      <c r="AQ463" s="354"/>
      <c r="AR463" s="354"/>
      <c r="AS463" s="354"/>
      <c r="AT463" s="354"/>
      <c r="AU463" s="354"/>
      <c r="AV463" s="354"/>
      <c r="AW463" s="354"/>
      <c r="AX463" s="354"/>
      <c r="AY463" s="354"/>
      <c r="AZ463" s="354"/>
    </row>
    <row r="464" spans="3:52" x14ac:dyDescent="0.25">
      <c r="C464" s="354"/>
      <c r="D464" s="354"/>
      <c r="E464" s="354"/>
      <c r="F464" s="354"/>
      <c r="G464" s="354"/>
      <c r="H464" s="354"/>
      <c r="I464" s="354"/>
      <c r="J464" s="354"/>
      <c r="K464" s="354"/>
      <c r="L464" s="354"/>
      <c r="M464" s="354"/>
      <c r="N464" s="354"/>
      <c r="O464" s="354"/>
      <c r="P464" s="354"/>
      <c r="Q464" s="354"/>
      <c r="R464" s="370"/>
      <c r="S464" s="354"/>
      <c r="T464" s="354"/>
      <c r="U464" s="354"/>
      <c r="V464" s="354"/>
      <c r="W464" s="354"/>
      <c r="X464" s="354"/>
      <c r="Y464" s="354"/>
      <c r="Z464" s="354"/>
      <c r="AA464" s="354"/>
      <c r="AB464" s="354"/>
      <c r="AC464" s="354"/>
      <c r="AD464" s="354"/>
      <c r="AE464" s="354"/>
      <c r="AF464" s="354"/>
      <c r="AG464" s="354"/>
      <c r="AH464" s="354"/>
      <c r="AI464" s="354"/>
      <c r="AJ464" s="354"/>
      <c r="AK464" s="354"/>
      <c r="AL464" s="354"/>
      <c r="AM464" s="354"/>
      <c r="AN464" s="354"/>
      <c r="AO464" s="354"/>
      <c r="AP464" s="354"/>
      <c r="AQ464" s="354"/>
      <c r="AR464" s="354"/>
      <c r="AS464" s="354"/>
      <c r="AT464" s="354"/>
      <c r="AU464" s="354"/>
      <c r="AV464" s="354"/>
      <c r="AW464" s="354"/>
      <c r="AX464" s="354"/>
      <c r="AY464" s="354"/>
      <c r="AZ464" s="354"/>
    </row>
    <row r="465" spans="3:52" x14ac:dyDescent="0.25">
      <c r="C465" s="354"/>
      <c r="D465" s="354"/>
      <c r="E465" s="354"/>
      <c r="F465" s="354"/>
      <c r="G465" s="354"/>
      <c r="H465" s="354"/>
      <c r="I465" s="354"/>
      <c r="J465" s="354"/>
      <c r="K465" s="354"/>
      <c r="L465" s="354"/>
      <c r="M465" s="354"/>
      <c r="N465" s="354"/>
      <c r="O465" s="354"/>
      <c r="P465" s="354"/>
      <c r="Q465" s="354"/>
      <c r="R465" s="370"/>
      <c r="S465" s="354"/>
      <c r="T465" s="354"/>
      <c r="U465" s="354"/>
      <c r="V465" s="354"/>
      <c r="W465" s="354"/>
      <c r="X465" s="354"/>
      <c r="Y465" s="354"/>
      <c r="Z465" s="354"/>
      <c r="AA465" s="354"/>
      <c r="AB465" s="354"/>
      <c r="AC465" s="354"/>
      <c r="AD465" s="354"/>
      <c r="AE465" s="354"/>
      <c r="AF465" s="354"/>
      <c r="AG465" s="354"/>
      <c r="AH465" s="354"/>
      <c r="AI465" s="354"/>
      <c r="AJ465" s="354"/>
      <c r="AK465" s="354"/>
      <c r="AL465" s="354"/>
      <c r="AM465" s="354"/>
      <c r="AN465" s="354"/>
      <c r="AO465" s="354"/>
      <c r="AP465" s="354"/>
      <c r="AQ465" s="354"/>
      <c r="AR465" s="354"/>
      <c r="AS465" s="354"/>
      <c r="AT465" s="354"/>
      <c r="AU465" s="354"/>
      <c r="AV465" s="354"/>
      <c r="AW465" s="354"/>
      <c r="AX465" s="354"/>
      <c r="AY465" s="354"/>
      <c r="AZ465" s="354"/>
    </row>
    <row r="466" spans="3:52" x14ac:dyDescent="0.25">
      <c r="C466" s="354"/>
      <c r="D466" s="354"/>
      <c r="E466" s="354"/>
      <c r="F466" s="354"/>
      <c r="G466" s="354"/>
      <c r="H466" s="354"/>
      <c r="I466" s="354"/>
      <c r="J466" s="354"/>
      <c r="K466" s="354"/>
      <c r="L466" s="354"/>
      <c r="M466" s="354"/>
      <c r="N466" s="354"/>
      <c r="O466" s="354"/>
      <c r="P466" s="354"/>
      <c r="Q466" s="354"/>
      <c r="R466" s="370"/>
      <c r="S466" s="354"/>
      <c r="T466" s="354"/>
      <c r="U466" s="354"/>
      <c r="V466" s="354"/>
      <c r="W466" s="354"/>
      <c r="X466" s="354"/>
      <c r="Y466" s="354"/>
      <c r="Z466" s="354"/>
      <c r="AA466" s="354"/>
      <c r="AB466" s="354"/>
      <c r="AC466" s="354"/>
      <c r="AD466" s="354"/>
      <c r="AE466" s="354"/>
      <c r="AF466" s="354"/>
      <c r="AG466" s="354"/>
      <c r="AH466" s="354"/>
      <c r="AI466" s="354"/>
      <c r="AJ466" s="354"/>
      <c r="AK466" s="354"/>
      <c r="AL466" s="354"/>
      <c r="AM466" s="354"/>
      <c r="AN466" s="354"/>
      <c r="AO466" s="354"/>
      <c r="AP466" s="354"/>
      <c r="AQ466" s="354"/>
      <c r="AR466" s="354"/>
      <c r="AS466" s="354"/>
      <c r="AT466" s="354"/>
      <c r="AU466" s="354"/>
      <c r="AV466" s="354"/>
      <c r="AW466" s="354"/>
      <c r="AX466" s="354"/>
      <c r="AY466" s="354"/>
      <c r="AZ466" s="354"/>
    </row>
    <row r="467" spans="3:52" x14ac:dyDescent="0.25">
      <c r="C467" s="354"/>
      <c r="D467" s="354"/>
      <c r="E467" s="354"/>
      <c r="F467" s="354"/>
      <c r="G467" s="354"/>
      <c r="H467" s="354"/>
      <c r="I467" s="354"/>
      <c r="J467" s="354"/>
      <c r="K467" s="354"/>
      <c r="L467" s="354"/>
      <c r="M467" s="354"/>
      <c r="N467" s="354"/>
      <c r="O467" s="354"/>
      <c r="P467" s="354"/>
      <c r="Q467" s="354"/>
      <c r="R467" s="370"/>
      <c r="S467" s="354"/>
      <c r="T467" s="354"/>
      <c r="U467" s="354"/>
      <c r="V467" s="354"/>
      <c r="W467" s="354"/>
      <c r="X467" s="354"/>
      <c r="Y467" s="354"/>
      <c r="Z467" s="354"/>
      <c r="AA467" s="354"/>
      <c r="AB467" s="354"/>
      <c r="AC467" s="354"/>
      <c r="AD467" s="354"/>
      <c r="AE467" s="354"/>
      <c r="AF467" s="354"/>
      <c r="AG467" s="354"/>
      <c r="AH467" s="354"/>
      <c r="AI467" s="354"/>
      <c r="AJ467" s="354"/>
      <c r="AK467" s="354"/>
      <c r="AL467" s="354"/>
      <c r="AM467" s="354"/>
      <c r="AN467" s="354"/>
      <c r="AO467" s="354"/>
      <c r="AP467" s="354"/>
      <c r="AQ467" s="354"/>
      <c r="AR467" s="354"/>
      <c r="AS467" s="354"/>
      <c r="AT467" s="354"/>
      <c r="AU467" s="354"/>
      <c r="AV467" s="354"/>
      <c r="AW467" s="354"/>
      <c r="AX467" s="354"/>
      <c r="AY467" s="354"/>
      <c r="AZ467" s="354"/>
    </row>
    <row r="468" spans="3:52" x14ac:dyDescent="0.25">
      <c r="C468" s="354"/>
      <c r="D468" s="354"/>
      <c r="E468" s="354"/>
      <c r="F468" s="354"/>
      <c r="G468" s="354"/>
      <c r="H468" s="354"/>
      <c r="I468" s="354"/>
      <c r="J468" s="354"/>
      <c r="K468" s="354"/>
      <c r="L468" s="354"/>
      <c r="M468" s="354"/>
      <c r="N468" s="354"/>
      <c r="O468" s="354"/>
      <c r="P468" s="354"/>
      <c r="Q468" s="354"/>
      <c r="R468" s="370"/>
      <c r="S468" s="354"/>
      <c r="T468" s="354"/>
      <c r="U468" s="354"/>
      <c r="V468" s="354"/>
      <c r="W468" s="354"/>
      <c r="X468" s="354"/>
      <c r="Y468" s="354"/>
      <c r="Z468" s="354"/>
      <c r="AA468" s="354"/>
      <c r="AB468" s="354"/>
      <c r="AC468" s="354"/>
      <c r="AD468" s="354"/>
      <c r="AE468" s="354"/>
      <c r="AF468" s="354"/>
      <c r="AG468" s="354"/>
      <c r="AH468" s="354"/>
      <c r="AI468" s="354"/>
      <c r="AJ468" s="354"/>
      <c r="AK468" s="354"/>
      <c r="AL468" s="354"/>
      <c r="AM468" s="354"/>
      <c r="AN468" s="354"/>
      <c r="AO468" s="354"/>
      <c r="AP468" s="354"/>
      <c r="AQ468" s="354"/>
      <c r="AR468" s="354"/>
      <c r="AS468" s="354"/>
      <c r="AT468" s="354"/>
      <c r="AU468" s="354"/>
      <c r="AV468" s="354"/>
      <c r="AW468" s="354"/>
      <c r="AX468" s="354"/>
      <c r="AY468" s="354"/>
      <c r="AZ468" s="354"/>
    </row>
    <row r="469" spans="3:52" x14ac:dyDescent="0.25">
      <c r="C469" s="354"/>
      <c r="D469" s="354"/>
      <c r="E469" s="354"/>
      <c r="F469" s="354"/>
      <c r="G469" s="354"/>
      <c r="H469" s="354"/>
      <c r="I469" s="354"/>
      <c r="J469" s="354"/>
      <c r="K469" s="354"/>
      <c r="L469" s="354"/>
      <c r="M469" s="354"/>
      <c r="N469" s="354"/>
      <c r="O469" s="354"/>
      <c r="P469" s="354"/>
      <c r="Q469" s="354"/>
      <c r="R469" s="370"/>
      <c r="S469" s="354"/>
      <c r="T469" s="354"/>
      <c r="U469" s="354"/>
      <c r="V469" s="354"/>
      <c r="W469" s="354"/>
      <c r="X469" s="354"/>
      <c r="Y469" s="354"/>
      <c r="Z469" s="354"/>
      <c r="AA469" s="354"/>
      <c r="AB469" s="354"/>
      <c r="AC469" s="354"/>
      <c r="AD469" s="354"/>
      <c r="AE469" s="354"/>
      <c r="AF469" s="354"/>
      <c r="AG469" s="354"/>
      <c r="AH469" s="354"/>
      <c r="AI469" s="354"/>
      <c r="AJ469" s="354"/>
      <c r="AK469" s="354"/>
      <c r="AL469" s="354"/>
      <c r="AM469" s="354"/>
      <c r="AN469" s="354"/>
      <c r="AO469" s="354"/>
      <c r="AP469" s="354"/>
      <c r="AQ469" s="354"/>
      <c r="AR469" s="354"/>
      <c r="AS469" s="354"/>
      <c r="AT469" s="354"/>
      <c r="AU469" s="354"/>
      <c r="AV469" s="354"/>
      <c r="AW469" s="354"/>
      <c r="AX469" s="354"/>
      <c r="AY469" s="354"/>
      <c r="AZ469" s="354"/>
    </row>
    <row r="470" spans="3:52" x14ac:dyDescent="0.25">
      <c r="C470" s="354"/>
      <c r="D470" s="354"/>
      <c r="E470" s="354"/>
      <c r="F470" s="354"/>
      <c r="G470" s="354"/>
      <c r="H470" s="354"/>
      <c r="I470" s="354"/>
      <c r="J470" s="354"/>
      <c r="K470" s="354"/>
      <c r="L470" s="354"/>
      <c r="M470" s="354"/>
      <c r="N470" s="354"/>
      <c r="O470" s="354"/>
      <c r="P470" s="354"/>
      <c r="Q470" s="354"/>
      <c r="R470" s="370"/>
      <c r="S470" s="354"/>
      <c r="T470" s="354"/>
      <c r="U470" s="354"/>
      <c r="V470" s="354"/>
      <c r="W470" s="354"/>
      <c r="X470" s="354"/>
      <c r="Y470" s="354"/>
      <c r="Z470" s="354"/>
      <c r="AA470" s="354"/>
      <c r="AB470" s="354"/>
      <c r="AC470" s="354"/>
      <c r="AD470" s="354"/>
      <c r="AE470" s="354"/>
      <c r="AF470" s="354"/>
      <c r="AG470" s="354"/>
      <c r="AH470" s="354"/>
      <c r="AI470" s="354"/>
      <c r="AJ470" s="354"/>
      <c r="AK470" s="354"/>
      <c r="AL470" s="354"/>
      <c r="AM470" s="354"/>
      <c r="AN470" s="354"/>
      <c r="AO470" s="354"/>
      <c r="AP470" s="354"/>
      <c r="AQ470" s="354"/>
      <c r="AR470" s="354"/>
      <c r="AS470" s="354"/>
      <c r="AT470" s="354"/>
      <c r="AU470" s="354"/>
      <c r="AV470" s="354"/>
      <c r="AW470" s="354"/>
      <c r="AX470" s="354"/>
      <c r="AY470" s="354"/>
      <c r="AZ470" s="354"/>
    </row>
    <row r="471" spans="3:52" x14ac:dyDescent="0.25">
      <c r="C471" s="354"/>
      <c r="D471" s="354"/>
      <c r="E471" s="354"/>
      <c r="F471" s="354"/>
      <c r="G471" s="354"/>
      <c r="H471" s="354"/>
      <c r="I471" s="354"/>
      <c r="J471" s="354"/>
      <c r="K471" s="354"/>
      <c r="L471" s="354"/>
      <c r="M471" s="354"/>
      <c r="N471" s="354"/>
      <c r="O471" s="354"/>
      <c r="P471" s="354"/>
      <c r="Q471" s="354"/>
      <c r="R471" s="370"/>
      <c r="S471" s="354"/>
      <c r="T471" s="354"/>
      <c r="U471" s="354"/>
      <c r="V471" s="354"/>
      <c r="W471" s="354"/>
      <c r="X471" s="354"/>
      <c r="Y471" s="354"/>
      <c r="Z471" s="354"/>
      <c r="AA471" s="354"/>
      <c r="AB471" s="354"/>
      <c r="AC471" s="354"/>
      <c r="AD471" s="354"/>
      <c r="AE471" s="354"/>
      <c r="AF471" s="354"/>
      <c r="AG471" s="354"/>
      <c r="AH471" s="354"/>
      <c r="AI471" s="354"/>
      <c r="AJ471" s="354"/>
      <c r="AK471" s="354"/>
      <c r="AL471" s="354"/>
      <c r="AM471" s="354"/>
      <c r="AN471" s="354"/>
      <c r="AO471" s="354"/>
      <c r="AP471" s="354"/>
      <c r="AQ471" s="354"/>
      <c r="AR471" s="354"/>
      <c r="AS471" s="354"/>
      <c r="AT471" s="354"/>
      <c r="AU471" s="354"/>
      <c r="AV471" s="354"/>
      <c r="AW471" s="354"/>
      <c r="AX471" s="354"/>
      <c r="AY471" s="354"/>
      <c r="AZ471" s="354"/>
    </row>
    <row r="472" spans="3:52" x14ac:dyDescent="0.25">
      <c r="C472" s="354"/>
      <c r="D472" s="354"/>
      <c r="E472" s="354"/>
      <c r="F472" s="354"/>
      <c r="G472" s="354"/>
      <c r="H472" s="354"/>
      <c r="I472" s="354"/>
      <c r="J472" s="354"/>
      <c r="K472" s="354"/>
      <c r="L472" s="354"/>
      <c r="M472" s="354"/>
      <c r="N472" s="354"/>
      <c r="O472" s="354"/>
      <c r="P472" s="354"/>
      <c r="Q472" s="354"/>
      <c r="R472" s="370"/>
      <c r="S472" s="354"/>
      <c r="T472" s="354"/>
      <c r="U472" s="354"/>
      <c r="V472" s="354"/>
      <c r="W472" s="354"/>
      <c r="X472" s="354"/>
      <c r="Y472" s="354"/>
      <c r="Z472" s="354"/>
      <c r="AA472" s="354"/>
      <c r="AB472" s="354"/>
      <c r="AC472" s="354"/>
      <c r="AD472" s="354"/>
      <c r="AE472" s="354"/>
      <c r="AF472" s="354"/>
      <c r="AG472" s="354"/>
      <c r="AH472" s="354"/>
      <c r="AI472" s="354"/>
      <c r="AJ472" s="354"/>
      <c r="AK472" s="354"/>
      <c r="AL472" s="354"/>
      <c r="AM472" s="354"/>
      <c r="AN472" s="354"/>
      <c r="AO472" s="354"/>
      <c r="AP472" s="354"/>
      <c r="AQ472" s="354"/>
      <c r="AR472" s="354"/>
      <c r="AS472" s="354"/>
      <c r="AT472" s="354"/>
      <c r="AU472" s="354"/>
      <c r="AV472" s="354"/>
      <c r="AW472" s="354"/>
      <c r="AX472" s="354"/>
      <c r="AY472" s="354"/>
      <c r="AZ472" s="354"/>
    </row>
    <row r="473" spans="3:52" x14ac:dyDescent="0.25">
      <c r="C473" s="354"/>
      <c r="D473" s="354"/>
      <c r="E473" s="354"/>
      <c r="F473" s="354"/>
      <c r="G473" s="354"/>
      <c r="H473" s="354"/>
      <c r="I473" s="354"/>
      <c r="J473" s="354"/>
      <c r="K473" s="354"/>
      <c r="L473" s="354"/>
      <c r="M473" s="354"/>
      <c r="N473" s="354"/>
      <c r="O473" s="354"/>
      <c r="P473" s="354"/>
      <c r="Q473" s="354"/>
      <c r="R473" s="370"/>
      <c r="S473" s="354"/>
      <c r="T473" s="354"/>
      <c r="U473" s="354"/>
      <c r="V473" s="354"/>
      <c r="W473" s="354"/>
      <c r="X473" s="354"/>
      <c r="Y473" s="354"/>
      <c r="Z473" s="354"/>
      <c r="AA473" s="354"/>
      <c r="AB473" s="354"/>
      <c r="AC473" s="354"/>
      <c r="AD473" s="354"/>
      <c r="AE473" s="354"/>
      <c r="AF473" s="354"/>
      <c r="AG473" s="354"/>
      <c r="AH473" s="354"/>
      <c r="AI473" s="354"/>
      <c r="AJ473" s="354"/>
      <c r="AK473" s="354"/>
      <c r="AL473" s="354"/>
      <c r="AM473" s="354"/>
      <c r="AN473" s="354"/>
      <c r="AO473" s="354"/>
      <c r="AP473" s="354"/>
      <c r="AQ473" s="354"/>
      <c r="AR473" s="354"/>
      <c r="AS473" s="354"/>
      <c r="AT473" s="354"/>
      <c r="AU473" s="354"/>
      <c r="AV473" s="354"/>
      <c r="AW473" s="354"/>
      <c r="AX473" s="354"/>
      <c r="AY473" s="354"/>
      <c r="AZ473" s="354"/>
    </row>
    <row r="474" spans="3:52" x14ac:dyDescent="0.25">
      <c r="C474" s="354"/>
      <c r="D474" s="354"/>
      <c r="E474" s="354"/>
      <c r="F474" s="354"/>
      <c r="G474" s="354"/>
      <c r="H474" s="354"/>
      <c r="I474" s="354"/>
      <c r="J474" s="354"/>
      <c r="K474" s="354"/>
      <c r="L474" s="354"/>
      <c r="M474" s="354"/>
      <c r="N474" s="354"/>
      <c r="O474" s="354"/>
      <c r="P474" s="354"/>
      <c r="Q474" s="354"/>
      <c r="R474" s="370"/>
      <c r="S474" s="354"/>
      <c r="T474" s="354"/>
      <c r="U474" s="354"/>
      <c r="V474" s="354"/>
      <c r="W474" s="354"/>
      <c r="X474" s="354"/>
      <c r="Y474" s="354"/>
      <c r="Z474" s="354"/>
      <c r="AA474" s="354"/>
      <c r="AB474" s="354"/>
      <c r="AC474" s="354"/>
      <c r="AD474" s="354"/>
      <c r="AE474" s="354"/>
      <c r="AF474" s="354"/>
      <c r="AG474" s="354"/>
      <c r="AH474" s="354"/>
      <c r="AI474" s="354"/>
      <c r="AJ474" s="354"/>
      <c r="AK474" s="354"/>
      <c r="AL474" s="354"/>
      <c r="AM474" s="354"/>
      <c r="AN474" s="354"/>
      <c r="AO474" s="354"/>
      <c r="AP474" s="354"/>
      <c r="AQ474" s="354"/>
      <c r="AR474" s="354"/>
      <c r="AS474" s="354"/>
      <c r="AT474" s="354"/>
      <c r="AU474" s="354"/>
      <c r="AV474" s="354"/>
      <c r="AW474" s="354"/>
      <c r="AX474" s="354"/>
      <c r="AY474" s="354"/>
      <c r="AZ474" s="354"/>
    </row>
    <row r="475" spans="3:52" x14ac:dyDescent="0.25">
      <c r="C475" s="354"/>
      <c r="D475" s="354"/>
      <c r="E475" s="354"/>
      <c r="F475" s="354"/>
      <c r="G475" s="354"/>
      <c r="H475" s="354"/>
      <c r="I475" s="354"/>
      <c r="J475" s="354"/>
      <c r="K475" s="354"/>
      <c r="L475" s="354"/>
      <c r="M475" s="354"/>
      <c r="N475" s="354"/>
      <c r="O475" s="354"/>
      <c r="P475" s="354"/>
      <c r="Q475" s="354"/>
      <c r="R475" s="370"/>
      <c r="S475" s="354"/>
      <c r="T475" s="354"/>
      <c r="U475" s="354"/>
      <c r="V475" s="354"/>
      <c r="W475" s="354"/>
      <c r="X475" s="354"/>
      <c r="Y475" s="354"/>
      <c r="Z475" s="354"/>
      <c r="AA475" s="354"/>
      <c r="AB475" s="354"/>
      <c r="AC475" s="354"/>
      <c r="AD475" s="354"/>
      <c r="AE475" s="354"/>
      <c r="AF475" s="354"/>
      <c r="AG475" s="354"/>
      <c r="AH475" s="354"/>
      <c r="AI475" s="354"/>
      <c r="AJ475" s="354"/>
      <c r="AK475" s="354"/>
      <c r="AL475" s="354"/>
      <c r="AM475" s="354"/>
      <c r="AN475" s="354"/>
      <c r="AO475" s="354"/>
      <c r="AP475" s="354"/>
      <c r="AQ475" s="354"/>
      <c r="AR475" s="354"/>
      <c r="AS475" s="354"/>
      <c r="AT475" s="354"/>
      <c r="AU475" s="354"/>
      <c r="AV475" s="354"/>
      <c r="AW475" s="354"/>
      <c r="AX475" s="354"/>
      <c r="AY475" s="354"/>
      <c r="AZ475" s="354"/>
    </row>
    <row r="476" spans="3:52" x14ac:dyDescent="0.25">
      <c r="C476" s="354"/>
      <c r="D476" s="354"/>
      <c r="E476" s="354"/>
      <c r="F476" s="354"/>
      <c r="G476" s="354"/>
      <c r="H476" s="354"/>
      <c r="I476" s="354"/>
      <c r="J476" s="354"/>
      <c r="K476" s="354"/>
      <c r="L476" s="354"/>
      <c r="M476" s="354"/>
      <c r="N476" s="354"/>
      <c r="O476" s="354"/>
      <c r="P476" s="354"/>
      <c r="Q476" s="354"/>
      <c r="R476" s="370"/>
      <c r="S476" s="354"/>
      <c r="T476" s="354"/>
      <c r="U476" s="354"/>
      <c r="V476" s="354"/>
      <c r="W476" s="354"/>
      <c r="X476" s="354"/>
      <c r="Y476" s="354"/>
      <c r="Z476" s="354"/>
      <c r="AA476" s="354"/>
      <c r="AB476" s="354"/>
      <c r="AC476" s="354"/>
      <c r="AD476" s="354"/>
      <c r="AE476" s="354"/>
      <c r="AF476" s="354"/>
      <c r="AG476" s="354"/>
      <c r="AH476" s="354"/>
      <c r="AI476" s="354"/>
      <c r="AJ476" s="354"/>
      <c r="AK476" s="354"/>
      <c r="AL476" s="354"/>
      <c r="AM476" s="354"/>
      <c r="AN476" s="354"/>
      <c r="AO476" s="354"/>
      <c r="AP476" s="354"/>
      <c r="AQ476" s="354"/>
      <c r="AR476" s="354"/>
      <c r="AS476" s="354"/>
      <c r="AT476" s="354"/>
      <c r="AU476" s="354"/>
      <c r="AV476" s="354"/>
      <c r="AW476" s="354"/>
      <c r="AX476" s="354"/>
      <c r="AY476" s="354"/>
      <c r="AZ476" s="354"/>
    </row>
    <row r="477" spans="3:52" x14ac:dyDescent="0.25">
      <c r="C477" s="354"/>
      <c r="D477" s="354"/>
      <c r="E477" s="354"/>
      <c r="F477" s="354"/>
      <c r="G477" s="354"/>
      <c r="H477" s="354"/>
      <c r="I477" s="354"/>
      <c r="J477" s="354"/>
      <c r="K477" s="354"/>
      <c r="L477" s="354"/>
      <c r="M477" s="354"/>
      <c r="N477" s="354"/>
      <c r="O477" s="354"/>
      <c r="P477" s="354"/>
      <c r="Q477" s="354"/>
      <c r="R477" s="370"/>
      <c r="S477" s="354"/>
      <c r="T477" s="354"/>
      <c r="U477" s="354"/>
      <c r="V477" s="354"/>
      <c r="W477" s="354"/>
      <c r="X477" s="354"/>
      <c r="Y477" s="354"/>
      <c r="Z477" s="354"/>
      <c r="AA477" s="354"/>
      <c r="AB477" s="354"/>
      <c r="AC477" s="354"/>
      <c r="AD477" s="354"/>
      <c r="AE477" s="354"/>
      <c r="AF477" s="354"/>
      <c r="AG477" s="354"/>
      <c r="AH477" s="354"/>
      <c r="AI477" s="354"/>
      <c r="AJ477" s="354"/>
      <c r="AK477" s="354"/>
      <c r="AL477" s="354"/>
      <c r="AM477" s="354"/>
      <c r="AN477" s="354"/>
      <c r="AO477" s="354"/>
      <c r="AP477" s="354"/>
      <c r="AQ477" s="354"/>
      <c r="AR477" s="354"/>
      <c r="AS477" s="354"/>
      <c r="AT477" s="354"/>
      <c r="AU477" s="354"/>
      <c r="AV477" s="354"/>
      <c r="AW477" s="354"/>
      <c r="AX477" s="354"/>
      <c r="AY477" s="354"/>
      <c r="AZ477" s="354"/>
    </row>
    <row r="478" spans="3:52" x14ac:dyDescent="0.25">
      <c r="C478" s="354"/>
      <c r="D478" s="354"/>
      <c r="E478" s="354"/>
      <c r="F478" s="354"/>
      <c r="G478" s="354"/>
      <c r="H478" s="354"/>
      <c r="I478" s="354"/>
      <c r="J478" s="354"/>
      <c r="K478" s="354"/>
      <c r="L478" s="354"/>
      <c r="M478" s="354"/>
      <c r="N478" s="354"/>
      <c r="O478" s="354"/>
      <c r="P478" s="354"/>
      <c r="Q478" s="354"/>
      <c r="R478" s="370"/>
      <c r="S478" s="354"/>
      <c r="T478" s="354"/>
      <c r="U478" s="354"/>
      <c r="V478" s="354"/>
      <c r="W478" s="354"/>
      <c r="X478" s="354"/>
      <c r="Y478" s="354"/>
      <c r="Z478" s="354"/>
      <c r="AA478" s="354"/>
      <c r="AB478" s="354"/>
      <c r="AC478" s="354"/>
      <c r="AD478" s="354"/>
      <c r="AE478" s="354"/>
      <c r="AF478" s="354"/>
      <c r="AG478" s="354"/>
      <c r="AH478" s="354"/>
      <c r="AI478" s="354"/>
      <c r="AJ478" s="354"/>
      <c r="AK478" s="354"/>
      <c r="AL478" s="354"/>
      <c r="AM478" s="354"/>
      <c r="AN478" s="354"/>
      <c r="AO478" s="354"/>
      <c r="AP478" s="354"/>
      <c r="AQ478" s="354"/>
      <c r="AR478" s="354"/>
      <c r="AS478" s="354"/>
      <c r="AT478" s="354"/>
      <c r="AU478" s="354"/>
      <c r="AV478" s="354"/>
      <c r="AW478" s="354"/>
      <c r="AX478" s="354"/>
      <c r="AY478" s="354"/>
      <c r="AZ478" s="354"/>
    </row>
    <row r="479" spans="3:52" x14ac:dyDescent="0.25">
      <c r="C479" s="354"/>
      <c r="D479" s="354"/>
      <c r="E479" s="354"/>
      <c r="F479" s="354"/>
      <c r="G479" s="354"/>
      <c r="H479" s="354"/>
      <c r="I479" s="354"/>
      <c r="J479" s="354"/>
      <c r="K479" s="354"/>
      <c r="L479" s="354"/>
      <c r="M479" s="354"/>
      <c r="N479" s="354"/>
      <c r="O479" s="354"/>
      <c r="P479" s="354"/>
      <c r="Q479" s="354"/>
      <c r="R479" s="370"/>
      <c r="S479" s="354"/>
      <c r="T479" s="354"/>
      <c r="U479" s="354"/>
      <c r="V479" s="354"/>
      <c r="W479" s="354"/>
      <c r="X479" s="354"/>
      <c r="Y479" s="354"/>
      <c r="Z479" s="354"/>
      <c r="AA479" s="354"/>
      <c r="AB479" s="354"/>
      <c r="AC479" s="354"/>
      <c r="AD479" s="354"/>
      <c r="AE479" s="354"/>
      <c r="AF479" s="354"/>
      <c r="AG479" s="354"/>
      <c r="AH479" s="354"/>
      <c r="AI479" s="354"/>
      <c r="AJ479" s="354"/>
      <c r="AK479" s="354"/>
      <c r="AL479" s="354"/>
      <c r="AM479" s="354"/>
      <c r="AN479" s="354"/>
      <c r="AO479" s="354"/>
      <c r="AP479" s="354"/>
      <c r="AQ479" s="354"/>
      <c r="AR479" s="354"/>
      <c r="AS479" s="354"/>
      <c r="AT479" s="354"/>
      <c r="AU479" s="354"/>
      <c r="AV479" s="354"/>
      <c r="AW479" s="354"/>
      <c r="AX479" s="354"/>
      <c r="AY479" s="354"/>
      <c r="AZ479" s="354"/>
    </row>
    <row r="480" spans="3:52" x14ac:dyDescent="0.25">
      <c r="C480" s="354"/>
      <c r="D480" s="354"/>
      <c r="E480" s="354"/>
      <c r="F480" s="354"/>
      <c r="G480" s="354"/>
      <c r="H480" s="354"/>
      <c r="I480" s="354"/>
      <c r="J480" s="354"/>
      <c r="K480" s="354"/>
      <c r="L480" s="354"/>
      <c r="M480" s="354"/>
      <c r="N480" s="354"/>
      <c r="O480" s="354"/>
      <c r="P480" s="354"/>
      <c r="Q480" s="354"/>
      <c r="R480" s="370"/>
      <c r="S480" s="354"/>
      <c r="T480" s="354"/>
      <c r="U480" s="354"/>
      <c r="V480" s="354"/>
      <c r="W480" s="354"/>
      <c r="X480" s="354"/>
      <c r="Y480" s="354"/>
      <c r="Z480" s="354"/>
      <c r="AA480" s="354"/>
      <c r="AB480" s="354"/>
      <c r="AC480" s="354"/>
      <c r="AD480" s="354"/>
      <c r="AE480" s="354"/>
      <c r="AF480" s="354"/>
      <c r="AG480" s="354"/>
      <c r="AH480" s="354"/>
      <c r="AI480" s="354"/>
      <c r="AJ480" s="354"/>
      <c r="AK480" s="354"/>
      <c r="AL480" s="354"/>
      <c r="AM480" s="354"/>
      <c r="AN480" s="354"/>
      <c r="AO480" s="354"/>
      <c r="AP480" s="354"/>
      <c r="AQ480" s="354"/>
      <c r="AR480" s="354"/>
      <c r="AS480" s="354"/>
      <c r="AT480" s="354"/>
      <c r="AU480" s="354"/>
      <c r="AV480" s="354"/>
      <c r="AW480" s="354"/>
      <c r="AX480" s="354"/>
      <c r="AY480" s="354"/>
      <c r="AZ480" s="354"/>
    </row>
    <row r="481" spans="3:52" x14ac:dyDescent="0.25">
      <c r="C481" s="354"/>
      <c r="D481" s="354"/>
      <c r="E481" s="354"/>
      <c r="F481" s="354"/>
      <c r="G481" s="354"/>
      <c r="H481" s="354"/>
      <c r="I481" s="354"/>
      <c r="J481" s="354"/>
      <c r="K481" s="354"/>
      <c r="L481" s="354"/>
      <c r="M481" s="354"/>
      <c r="N481" s="354"/>
      <c r="O481" s="354"/>
      <c r="P481" s="354"/>
      <c r="Q481" s="354"/>
      <c r="R481" s="370"/>
      <c r="S481" s="354"/>
      <c r="T481" s="354"/>
      <c r="U481" s="354"/>
      <c r="V481" s="354"/>
      <c r="W481" s="354"/>
      <c r="X481" s="354"/>
      <c r="Y481" s="354"/>
      <c r="Z481" s="354"/>
      <c r="AA481" s="354"/>
      <c r="AB481" s="354"/>
      <c r="AC481" s="354"/>
      <c r="AD481" s="354"/>
      <c r="AE481" s="354"/>
      <c r="AF481" s="354"/>
      <c r="AG481" s="354"/>
      <c r="AH481" s="354"/>
      <c r="AI481" s="354"/>
      <c r="AJ481" s="354"/>
      <c r="AK481" s="354"/>
      <c r="AL481" s="354"/>
      <c r="AM481" s="354"/>
      <c r="AN481" s="354"/>
      <c r="AO481" s="354"/>
      <c r="AP481" s="354"/>
      <c r="AQ481" s="354"/>
      <c r="AR481" s="354"/>
      <c r="AS481" s="354"/>
      <c r="AT481" s="354"/>
      <c r="AU481" s="354"/>
      <c r="AV481" s="354"/>
      <c r="AW481" s="354"/>
      <c r="AX481" s="354"/>
      <c r="AY481" s="354"/>
      <c r="AZ481" s="354"/>
    </row>
    <row r="482" spans="3:52" x14ac:dyDescent="0.25">
      <c r="C482" s="354"/>
      <c r="D482" s="354"/>
      <c r="E482" s="354"/>
      <c r="F482" s="354"/>
      <c r="G482" s="354"/>
      <c r="H482" s="354"/>
      <c r="I482" s="354"/>
      <c r="J482" s="354"/>
      <c r="K482" s="354"/>
      <c r="L482" s="354"/>
      <c r="M482" s="354"/>
      <c r="N482" s="354"/>
      <c r="O482" s="354"/>
      <c r="P482" s="354"/>
      <c r="Q482" s="354"/>
      <c r="R482" s="370"/>
      <c r="S482" s="354"/>
      <c r="T482" s="354"/>
      <c r="U482" s="354"/>
      <c r="V482" s="354"/>
      <c r="W482" s="354"/>
      <c r="X482" s="354"/>
      <c r="Y482" s="354"/>
      <c r="Z482" s="354"/>
      <c r="AA482" s="354"/>
      <c r="AB482" s="354"/>
      <c r="AC482" s="354"/>
      <c r="AD482" s="354"/>
      <c r="AE482" s="354"/>
      <c r="AF482" s="354"/>
      <c r="AG482" s="354"/>
      <c r="AH482" s="354"/>
      <c r="AI482" s="354"/>
      <c r="AJ482" s="354"/>
      <c r="AK482" s="354"/>
      <c r="AL482" s="354"/>
      <c r="AM482" s="354"/>
      <c r="AN482" s="354"/>
      <c r="AO482" s="354"/>
      <c r="AP482" s="354"/>
      <c r="AQ482" s="354"/>
      <c r="AR482" s="354"/>
      <c r="AS482" s="354"/>
      <c r="AT482" s="354"/>
      <c r="AU482" s="354"/>
      <c r="AV482" s="354"/>
      <c r="AW482" s="354"/>
      <c r="AX482" s="354"/>
      <c r="AY482" s="354"/>
      <c r="AZ482" s="354"/>
    </row>
    <row r="483" spans="3:52" x14ac:dyDescent="0.25">
      <c r="C483" s="354"/>
      <c r="D483" s="354"/>
      <c r="E483" s="354"/>
      <c r="F483" s="354"/>
      <c r="G483" s="354"/>
      <c r="H483" s="354"/>
      <c r="I483" s="354"/>
      <c r="J483" s="354"/>
      <c r="K483" s="354"/>
      <c r="L483" s="354"/>
      <c r="M483" s="354"/>
      <c r="N483" s="354"/>
      <c r="O483" s="354"/>
      <c r="P483" s="354"/>
      <c r="Q483" s="354"/>
      <c r="R483" s="370"/>
      <c r="S483" s="354"/>
      <c r="T483" s="354"/>
      <c r="U483" s="354"/>
      <c r="V483" s="354"/>
      <c r="W483" s="354"/>
      <c r="X483" s="354"/>
      <c r="Y483" s="354"/>
      <c r="Z483" s="354"/>
      <c r="AA483" s="354"/>
      <c r="AB483" s="354"/>
      <c r="AC483" s="354"/>
      <c r="AD483" s="354"/>
      <c r="AE483" s="354"/>
      <c r="AF483" s="354"/>
      <c r="AG483" s="354"/>
      <c r="AH483" s="354"/>
      <c r="AI483" s="354"/>
      <c r="AJ483" s="354"/>
      <c r="AK483" s="354"/>
      <c r="AL483" s="354"/>
      <c r="AM483" s="354"/>
      <c r="AN483" s="354"/>
      <c r="AO483" s="354"/>
      <c r="AP483" s="354"/>
      <c r="AQ483" s="354"/>
      <c r="AR483" s="354"/>
      <c r="AS483" s="354"/>
      <c r="AT483" s="354"/>
      <c r="AU483" s="354"/>
      <c r="AV483" s="354"/>
      <c r="AW483" s="354"/>
      <c r="AX483" s="354"/>
      <c r="AY483" s="354"/>
      <c r="AZ483" s="354"/>
    </row>
    <row r="484" spans="3:52" x14ac:dyDescent="0.25">
      <c r="C484" s="354"/>
      <c r="D484" s="354"/>
      <c r="E484" s="354"/>
      <c r="F484" s="354"/>
      <c r="G484" s="354"/>
      <c r="H484" s="354"/>
      <c r="I484" s="354"/>
      <c r="J484" s="354"/>
      <c r="K484" s="354"/>
      <c r="L484" s="354"/>
      <c r="M484" s="354"/>
      <c r="N484" s="354"/>
      <c r="O484" s="354"/>
      <c r="P484" s="354"/>
      <c r="Q484" s="354"/>
      <c r="R484" s="370"/>
      <c r="S484" s="354"/>
      <c r="T484" s="354"/>
      <c r="U484" s="354"/>
      <c r="V484" s="354"/>
      <c r="W484" s="354"/>
      <c r="X484" s="354"/>
      <c r="Y484" s="354"/>
      <c r="Z484" s="354"/>
      <c r="AA484" s="354"/>
      <c r="AB484" s="354"/>
      <c r="AC484" s="354"/>
      <c r="AD484" s="354"/>
      <c r="AE484" s="354"/>
      <c r="AF484" s="354"/>
      <c r="AG484" s="354"/>
      <c r="AH484" s="354"/>
      <c r="AI484" s="354"/>
      <c r="AJ484" s="354"/>
      <c r="AK484" s="354"/>
      <c r="AL484" s="354"/>
      <c r="AM484" s="354"/>
      <c r="AN484" s="354"/>
      <c r="AO484" s="354"/>
      <c r="AP484" s="354"/>
      <c r="AQ484" s="354"/>
      <c r="AR484" s="354"/>
      <c r="AS484" s="354"/>
      <c r="AT484" s="354"/>
      <c r="AU484" s="354"/>
      <c r="AV484" s="354"/>
      <c r="AW484" s="354"/>
      <c r="AX484" s="354"/>
      <c r="AY484" s="354"/>
      <c r="AZ484" s="354"/>
    </row>
    <row r="485" spans="3:52" x14ac:dyDescent="0.25">
      <c r="C485" s="354"/>
      <c r="D485" s="354"/>
      <c r="E485" s="354"/>
      <c r="F485" s="354"/>
      <c r="G485" s="354"/>
      <c r="H485" s="354"/>
      <c r="I485" s="354"/>
      <c r="J485" s="354"/>
      <c r="K485" s="354"/>
      <c r="L485" s="354"/>
      <c r="M485" s="354"/>
      <c r="N485" s="354"/>
      <c r="O485" s="354"/>
      <c r="P485" s="354"/>
      <c r="Q485" s="354"/>
      <c r="R485" s="370"/>
      <c r="S485" s="354"/>
      <c r="T485" s="354"/>
      <c r="U485" s="354"/>
      <c r="V485" s="354"/>
      <c r="W485" s="354"/>
      <c r="X485" s="354"/>
      <c r="Y485" s="354"/>
      <c r="Z485" s="354"/>
      <c r="AA485" s="354"/>
      <c r="AB485" s="354"/>
      <c r="AC485" s="354"/>
      <c r="AD485" s="354"/>
      <c r="AE485" s="354"/>
      <c r="AF485" s="354"/>
      <c r="AG485" s="354"/>
      <c r="AH485" s="354"/>
      <c r="AI485" s="354"/>
      <c r="AJ485" s="354"/>
      <c r="AK485" s="354"/>
      <c r="AL485" s="354"/>
      <c r="AM485" s="354"/>
      <c r="AN485" s="354"/>
      <c r="AO485" s="354"/>
      <c r="AP485" s="354"/>
      <c r="AQ485" s="354"/>
      <c r="AR485" s="354"/>
      <c r="AS485" s="354"/>
      <c r="AT485" s="354"/>
      <c r="AU485" s="354"/>
      <c r="AV485" s="354"/>
      <c r="AW485" s="354"/>
      <c r="AX485" s="354"/>
      <c r="AY485" s="354"/>
      <c r="AZ485" s="354"/>
    </row>
    <row r="486" spans="3:52" x14ac:dyDescent="0.25">
      <c r="C486" s="354"/>
      <c r="D486" s="354"/>
      <c r="E486" s="354"/>
      <c r="F486" s="354"/>
      <c r="G486" s="354"/>
      <c r="H486" s="354"/>
      <c r="I486" s="354"/>
      <c r="J486" s="354"/>
      <c r="K486" s="354"/>
      <c r="L486" s="354"/>
      <c r="M486" s="354"/>
      <c r="N486" s="354"/>
      <c r="O486" s="354"/>
      <c r="P486" s="354"/>
      <c r="Q486" s="354"/>
      <c r="R486" s="370"/>
      <c r="S486" s="354"/>
      <c r="T486" s="354"/>
      <c r="U486" s="354"/>
      <c r="V486" s="354"/>
      <c r="W486" s="354"/>
      <c r="X486" s="354"/>
      <c r="Y486" s="354"/>
      <c r="Z486" s="354"/>
      <c r="AA486" s="354"/>
      <c r="AB486" s="354"/>
      <c r="AC486" s="354"/>
      <c r="AD486" s="354"/>
      <c r="AE486" s="354"/>
      <c r="AF486" s="354"/>
      <c r="AG486" s="354"/>
      <c r="AH486" s="354"/>
      <c r="AI486" s="354"/>
      <c r="AJ486" s="354"/>
      <c r="AK486" s="354"/>
      <c r="AL486" s="354"/>
      <c r="AM486" s="354"/>
      <c r="AN486" s="354"/>
      <c r="AO486" s="354"/>
      <c r="AP486" s="354"/>
      <c r="AQ486" s="354"/>
      <c r="AR486" s="354"/>
      <c r="AS486" s="354"/>
      <c r="AT486" s="354"/>
      <c r="AU486" s="354"/>
      <c r="AV486" s="354"/>
      <c r="AW486" s="354"/>
      <c r="AX486" s="354"/>
      <c r="AY486" s="354"/>
      <c r="AZ486" s="354"/>
    </row>
    <row r="487" spans="3:52" x14ac:dyDescent="0.25">
      <c r="C487" s="354"/>
      <c r="D487" s="354"/>
      <c r="E487" s="354"/>
      <c r="F487" s="354"/>
      <c r="G487" s="354"/>
      <c r="H487" s="354"/>
      <c r="I487" s="354"/>
      <c r="J487" s="354"/>
      <c r="K487" s="354"/>
      <c r="L487" s="354"/>
      <c r="M487" s="354"/>
      <c r="N487" s="354"/>
      <c r="O487" s="354"/>
      <c r="P487" s="354"/>
      <c r="Q487" s="354"/>
      <c r="R487" s="370"/>
      <c r="S487" s="354"/>
      <c r="T487" s="354"/>
      <c r="U487" s="354"/>
      <c r="V487" s="354"/>
      <c r="W487" s="354"/>
      <c r="X487" s="354"/>
      <c r="Y487" s="354"/>
      <c r="Z487" s="354"/>
      <c r="AA487" s="354"/>
      <c r="AB487" s="354"/>
      <c r="AC487" s="354"/>
      <c r="AD487" s="354"/>
      <c r="AE487" s="354"/>
      <c r="AF487" s="354"/>
      <c r="AG487" s="354"/>
      <c r="AH487" s="354"/>
      <c r="AI487" s="354"/>
      <c r="AJ487" s="354"/>
      <c r="AK487" s="354"/>
      <c r="AL487" s="354"/>
      <c r="AM487" s="354"/>
      <c r="AN487" s="354"/>
      <c r="AO487" s="354"/>
      <c r="AP487" s="354"/>
      <c r="AQ487" s="354"/>
      <c r="AR487" s="354"/>
      <c r="AS487" s="354"/>
      <c r="AT487" s="354"/>
      <c r="AU487" s="354"/>
      <c r="AV487" s="354"/>
      <c r="AW487" s="354"/>
      <c r="AX487" s="354"/>
      <c r="AY487" s="354"/>
      <c r="AZ487" s="354"/>
    </row>
    <row r="488" spans="3:52" x14ac:dyDescent="0.25">
      <c r="C488" s="354"/>
      <c r="D488" s="354"/>
      <c r="E488" s="354"/>
      <c r="F488" s="354"/>
      <c r="G488" s="354"/>
      <c r="H488" s="354"/>
      <c r="I488" s="354"/>
      <c r="J488" s="354"/>
      <c r="K488" s="354"/>
      <c r="L488" s="354"/>
      <c r="M488" s="354"/>
      <c r="N488" s="354"/>
      <c r="O488" s="354"/>
      <c r="P488" s="354"/>
      <c r="Q488" s="354"/>
      <c r="R488" s="370"/>
      <c r="S488" s="354"/>
      <c r="T488" s="354"/>
      <c r="U488" s="354"/>
      <c r="V488" s="354"/>
      <c r="W488" s="354"/>
      <c r="X488" s="354"/>
      <c r="Y488" s="354"/>
      <c r="Z488" s="354"/>
      <c r="AA488" s="354"/>
      <c r="AB488" s="354"/>
      <c r="AC488" s="354"/>
      <c r="AD488" s="354"/>
      <c r="AE488" s="354"/>
      <c r="AF488" s="354"/>
      <c r="AG488" s="354"/>
      <c r="AH488" s="354"/>
      <c r="AI488" s="354"/>
      <c r="AJ488" s="354"/>
      <c r="AK488" s="354"/>
      <c r="AL488" s="354"/>
      <c r="AM488" s="354"/>
      <c r="AN488" s="354"/>
      <c r="AO488" s="354"/>
      <c r="AP488" s="354"/>
      <c r="AQ488" s="354"/>
      <c r="AR488" s="354"/>
      <c r="AS488" s="354"/>
      <c r="AT488" s="354"/>
      <c r="AU488" s="354"/>
      <c r="AV488" s="354"/>
      <c r="AW488" s="354"/>
      <c r="AX488" s="354"/>
      <c r="AY488" s="354"/>
      <c r="AZ488" s="354"/>
    </row>
    <row r="489" spans="3:52" x14ac:dyDescent="0.25">
      <c r="C489" s="354"/>
      <c r="D489" s="354"/>
      <c r="E489" s="354"/>
      <c r="F489" s="354"/>
      <c r="G489" s="354"/>
      <c r="H489" s="354"/>
      <c r="I489" s="354"/>
      <c r="J489" s="354"/>
      <c r="K489" s="354"/>
      <c r="L489" s="354"/>
      <c r="M489" s="354"/>
      <c r="N489" s="354"/>
      <c r="O489" s="354"/>
      <c r="P489" s="354"/>
      <c r="Q489" s="354"/>
      <c r="R489" s="370"/>
      <c r="S489" s="354"/>
      <c r="T489" s="354"/>
      <c r="U489" s="354"/>
      <c r="V489" s="354"/>
      <c r="W489" s="354"/>
      <c r="X489" s="354"/>
      <c r="Y489" s="354"/>
      <c r="Z489" s="354"/>
      <c r="AA489" s="354"/>
      <c r="AB489" s="354"/>
      <c r="AC489" s="354"/>
      <c r="AD489" s="354"/>
      <c r="AE489" s="354"/>
      <c r="AF489" s="354"/>
      <c r="AG489" s="354"/>
      <c r="AH489" s="354"/>
      <c r="AI489" s="354"/>
      <c r="AJ489" s="354"/>
      <c r="AK489" s="354"/>
      <c r="AL489" s="354"/>
      <c r="AM489" s="354"/>
      <c r="AN489" s="354"/>
      <c r="AO489" s="354"/>
      <c r="AP489" s="354"/>
      <c r="AQ489" s="354"/>
      <c r="AR489" s="354"/>
      <c r="AS489" s="354"/>
      <c r="AT489" s="354"/>
      <c r="AU489" s="354"/>
      <c r="AV489" s="354"/>
      <c r="AW489" s="354"/>
      <c r="AX489" s="354"/>
      <c r="AY489" s="354"/>
      <c r="AZ489" s="354"/>
    </row>
    <row r="490" spans="3:52" x14ac:dyDescent="0.25">
      <c r="C490" s="354"/>
      <c r="D490" s="354"/>
      <c r="E490" s="354"/>
      <c r="F490" s="354"/>
      <c r="G490" s="354"/>
      <c r="H490" s="354"/>
      <c r="I490" s="354"/>
      <c r="J490" s="354"/>
      <c r="K490" s="354"/>
      <c r="L490" s="354"/>
      <c r="M490" s="354"/>
      <c r="N490" s="354"/>
      <c r="O490" s="354"/>
      <c r="P490" s="354"/>
      <c r="Q490" s="354"/>
      <c r="R490" s="370"/>
      <c r="S490" s="354"/>
      <c r="T490" s="354"/>
      <c r="U490" s="354"/>
      <c r="V490" s="354"/>
      <c r="W490" s="354"/>
      <c r="X490" s="354"/>
      <c r="Y490" s="354"/>
      <c r="Z490" s="354"/>
      <c r="AA490" s="354"/>
      <c r="AB490" s="354"/>
      <c r="AC490" s="354"/>
      <c r="AD490" s="354"/>
      <c r="AE490" s="354"/>
      <c r="AF490" s="354"/>
      <c r="AG490" s="354"/>
      <c r="AH490" s="354"/>
      <c r="AI490" s="354"/>
      <c r="AJ490" s="354"/>
      <c r="AK490" s="354"/>
      <c r="AL490" s="354"/>
      <c r="AM490" s="354"/>
      <c r="AN490" s="354"/>
      <c r="AO490" s="354"/>
      <c r="AP490" s="354"/>
      <c r="AQ490" s="354"/>
      <c r="AR490" s="354"/>
      <c r="AS490" s="354"/>
      <c r="AT490" s="354"/>
      <c r="AU490" s="354"/>
      <c r="AV490" s="354"/>
      <c r="AW490" s="354"/>
      <c r="AX490" s="354"/>
      <c r="AY490" s="354"/>
      <c r="AZ490" s="354"/>
    </row>
    <row r="491" spans="3:52" x14ac:dyDescent="0.25">
      <c r="C491" s="354"/>
      <c r="D491" s="354"/>
      <c r="E491" s="354"/>
      <c r="F491" s="354"/>
      <c r="G491" s="354"/>
      <c r="H491" s="354"/>
      <c r="I491" s="354"/>
      <c r="J491" s="354"/>
      <c r="K491" s="354"/>
      <c r="L491" s="354"/>
      <c r="M491" s="354"/>
      <c r="N491" s="354"/>
      <c r="O491" s="354"/>
      <c r="P491" s="354"/>
      <c r="Q491" s="354"/>
      <c r="R491" s="370"/>
      <c r="S491" s="354"/>
      <c r="T491" s="354"/>
      <c r="U491" s="354"/>
      <c r="V491" s="354"/>
      <c r="W491" s="354"/>
      <c r="X491" s="354"/>
      <c r="Y491" s="354"/>
      <c r="Z491" s="354"/>
      <c r="AA491" s="354"/>
      <c r="AB491" s="354"/>
      <c r="AC491" s="354"/>
      <c r="AD491" s="354"/>
      <c r="AE491" s="354"/>
      <c r="AF491" s="354"/>
      <c r="AG491" s="354"/>
      <c r="AH491" s="354"/>
      <c r="AI491" s="354"/>
      <c r="AJ491" s="354"/>
      <c r="AK491" s="354"/>
      <c r="AL491" s="354"/>
      <c r="AM491" s="354"/>
      <c r="AN491" s="354"/>
      <c r="AO491" s="354"/>
      <c r="AP491" s="354"/>
      <c r="AQ491" s="354"/>
      <c r="AR491" s="354"/>
      <c r="AS491" s="354"/>
      <c r="AT491" s="354"/>
      <c r="AU491" s="354"/>
      <c r="AV491" s="354"/>
      <c r="AW491" s="354"/>
      <c r="AX491" s="354"/>
      <c r="AY491" s="354"/>
      <c r="AZ491" s="354"/>
    </row>
    <row r="492" spans="3:52" x14ac:dyDescent="0.25">
      <c r="C492" s="354"/>
      <c r="D492" s="354"/>
      <c r="E492" s="354"/>
      <c r="F492" s="354"/>
      <c r="G492" s="354"/>
      <c r="H492" s="354"/>
      <c r="I492" s="354"/>
      <c r="J492" s="354"/>
      <c r="K492" s="354"/>
      <c r="L492" s="354"/>
      <c r="M492" s="354"/>
      <c r="N492" s="354"/>
      <c r="O492" s="354"/>
      <c r="P492" s="354"/>
      <c r="Q492" s="354"/>
      <c r="R492" s="370"/>
      <c r="S492" s="354"/>
      <c r="T492" s="354"/>
      <c r="U492" s="354"/>
      <c r="V492" s="354"/>
      <c r="W492" s="354"/>
      <c r="X492" s="354"/>
      <c r="Y492" s="354"/>
      <c r="Z492" s="354"/>
      <c r="AA492" s="354"/>
      <c r="AB492" s="354"/>
      <c r="AC492" s="354"/>
      <c r="AD492" s="354"/>
      <c r="AE492" s="354"/>
      <c r="AF492" s="354"/>
      <c r="AG492" s="354"/>
      <c r="AH492" s="354"/>
      <c r="AI492" s="354"/>
      <c r="AJ492" s="354"/>
      <c r="AK492" s="354"/>
      <c r="AL492" s="354"/>
      <c r="AM492" s="354"/>
      <c r="AN492" s="354"/>
      <c r="AO492" s="354"/>
      <c r="AP492" s="354"/>
      <c r="AQ492" s="354"/>
      <c r="AR492" s="354"/>
      <c r="AS492" s="354"/>
      <c r="AT492" s="354"/>
      <c r="AU492" s="354"/>
      <c r="AV492" s="354"/>
      <c r="AW492" s="354"/>
      <c r="AX492" s="354"/>
      <c r="AY492" s="354"/>
      <c r="AZ492" s="354"/>
    </row>
    <row r="493" spans="3:52" x14ac:dyDescent="0.25">
      <c r="C493" s="354"/>
      <c r="D493" s="354"/>
      <c r="E493" s="354"/>
      <c r="F493" s="354"/>
      <c r="G493" s="354"/>
      <c r="H493" s="354"/>
      <c r="I493" s="354"/>
      <c r="J493" s="354"/>
      <c r="K493" s="354"/>
      <c r="L493" s="354"/>
      <c r="M493" s="354"/>
      <c r="N493" s="354"/>
      <c r="O493" s="354"/>
      <c r="P493" s="354"/>
      <c r="Q493" s="354"/>
      <c r="R493" s="370"/>
      <c r="S493" s="354"/>
      <c r="T493" s="354"/>
      <c r="U493" s="354"/>
      <c r="V493" s="354"/>
      <c r="W493" s="354"/>
      <c r="X493" s="354"/>
      <c r="Y493" s="354"/>
      <c r="Z493" s="354"/>
      <c r="AA493" s="354"/>
      <c r="AB493" s="354"/>
      <c r="AC493" s="354"/>
      <c r="AD493" s="354"/>
      <c r="AE493" s="354"/>
      <c r="AF493" s="354"/>
      <c r="AG493" s="354"/>
      <c r="AH493" s="354"/>
      <c r="AI493" s="354"/>
      <c r="AJ493" s="354"/>
      <c r="AK493" s="354"/>
      <c r="AL493" s="354"/>
      <c r="AM493" s="354"/>
      <c r="AN493" s="354"/>
      <c r="AO493" s="354"/>
      <c r="AP493" s="354"/>
      <c r="AQ493" s="354"/>
      <c r="AR493" s="354"/>
      <c r="AS493" s="354"/>
      <c r="AT493" s="354"/>
      <c r="AU493" s="354"/>
      <c r="AV493" s="354"/>
      <c r="AW493" s="354"/>
      <c r="AX493" s="354"/>
      <c r="AY493" s="354"/>
      <c r="AZ493" s="354"/>
    </row>
    <row r="494" spans="3:52" x14ac:dyDescent="0.25">
      <c r="C494" s="354"/>
      <c r="D494" s="354"/>
      <c r="E494" s="354"/>
      <c r="F494" s="354"/>
      <c r="G494" s="354"/>
      <c r="H494" s="354"/>
      <c r="I494" s="354"/>
      <c r="J494" s="354"/>
      <c r="K494" s="354"/>
      <c r="L494" s="354"/>
      <c r="M494" s="354"/>
      <c r="N494" s="354"/>
      <c r="O494" s="354"/>
      <c r="P494" s="354"/>
      <c r="Q494" s="354"/>
      <c r="R494" s="370"/>
      <c r="S494" s="354"/>
      <c r="T494" s="354"/>
      <c r="U494" s="354"/>
      <c r="V494" s="354"/>
      <c r="W494" s="354"/>
      <c r="X494" s="354"/>
      <c r="Y494" s="354"/>
      <c r="Z494" s="354"/>
      <c r="AA494" s="354"/>
      <c r="AB494" s="354"/>
      <c r="AC494" s="354"/>
      <c r="AD494" s="354"/>
      <c r="AE494" s="354"/>
      <c r="AF494" s="354"/>
      <c r="AG494" s="354"/>
      <c r="AH494" s="354"/>
      <c r="AI494" s="354"/>
      <c r="AJ494" s="354"/>
      <c r="AK494" s="354"/>
      <c r="AL494" s="354"/>
      <c r="AM494" s="354"/>
      <c r="AN494" s="354"/>
      <c r="AO494" s="354"/>
      <c r="AP494" s="354"/>
      <c r="AQ494" s="354"/>
      <c r="AR494" s="354"/>
      <c r="AS494" s="354"/>
      <c r="AT494" s="354"/>
      <c r="AU494" s="354"/>
      <c r="AV494" s="354"/>
      <c r="AW494" s="354"/>
      <c r="AX494" s="354"/>
      <c r="AY494" s="354"/>
      <c r="AZ494" s="354"/>
    </row>
    <row r="495" spans="3:52" x14ac:dyDescent="0.25">
      <c r="C495" s="354"/>
      <c r="D495" s="354"/>
      <c r="E495" s="354"/>
      <c r="F495" s="354"/>
      <c r="G495" s="354"/>
      <c r="H495" s="354"/>
      <c r="I495" s="354"/>
      <c r="J495" s="354"/>
      <c r="K495" s="354"/>
      <c r="L495" s="354"/>
      <c r="M495" s="354"/>
      <c r="N495" s="354"/>
      <c r="O495" s="354"/>
      <c r="P495" s="354"/>
      <c r="Q495" s="354"/>
      <c r="R495" s="370"/>
      <c r="S495" s="354"/>
      <c r="T495" s="354"/>
      <c r="U495" s="354"/>
      <c r="V495" s="354"/>
      <c r="W495" s="354"/>
      <c r="X495" s="354"/>
      <c r="Y495" s="354"/>
      <c r="Z495" s="354"/>
      <c r="AA495" s="354"/>
      <c r="AB495" s="354"/>
      <c r="AC495" s="354"/>
      <c r="AD495" s="354"/>
      <c r="AE495" s="354"/>
      <c r="AF495" s="354"/>
      <c r="AG495" s="354"/>
      <c r="AH495" s="354"/>
      <c r="AI495" s="354"/>
      <c r="AJ495" s="354"/>
      <c r="AK495" s="354"/>
      <c r="AL495" s="354"/>
      <c r="AM495" s="354"/>
      <c r="AN495" s="354"/>
      <c r="AO495" s="354"/>
      <c r="AP495" s="354"/>
      <c r="AQ495" s="354"/>
      <c r="AR495" s="354"/>
      <c r="AS495" s="354"/>
      <c r="AT495" s="354"/>
      <c r="AU495" s="354"/>
      <c r="AV495" s="354"/>
      <c r="AW495" s="354"/>
      <c r="AX495" s="354"/>
      <c r="AY495" s="354"/>
      <c r="AZ495" s="354"/>
    </row>
    <row r="496" spans="3:52" x14ac:dyDescent="0.25">
      <c r="C496" s="354"/>
      <c r="D496" s="354"/>
      <c r="E496" s="354"/>
      <c r="F496" s="354"/>
      <c r="G496" s="354"/>
      <c r="H496" s="354"/>
      <c r="I496" s="354"/>
      <c r="J496" s="354"/>
      <c r="K496" s="354"/>
      <c r="L496" s="354"/>
      <c r="M496" s="354"/>
      <c r="N496" s="354"/>
      <c r="O496" s="354"/>
      <c r="P496" s="354"/>
      <c r="Q496" s="354"/>
      <c r="R496" s="370"/>
      <c r="S496" s="354"/>
      <c r="T496" s="354"/>
      <c r="U496" s="354"/>
      <c r="V496" s="354"/>
      <c r="W496" s="354"/>
      <c r="X496" s="354"/>
      <c r="Y496" s="354"/>
      <c r="Z496" s="354"/>
      <c r="AA496" s="354"/>
      <c r="AB496" s="354"/>
      <c r="AC496" s="354"/>
      <c r="AD496" s="354"/>
      <c r="AE496" s="354"/>
      <c r="AF496" s="354"/>
      <c r="AG496" s="354"/>
      <c r="AH496" s="354"/>
      <c r="AI496" s="354"/>
      <c r="AJ496" s="354"/>
      <c r="AK496" s="354"/>
      <c r="AL496" s="354"/>
      <c r="AM496" s="354"/>
      <c r="AN496" s="354"/>
      <c r="AO496" s="354"/>
      <c r="AP496" s="354"/>
      <c r="AQ496" s="354"/>
      <c r="AR496" s="354"/>
      <c r="AS496" s="354"/>
      <c r="AT496" s="354"/>
      <c r="AU496" s="354"/>
      <c r="AV496" s="354"/>
      <c r="AW496" s="354"/>
      <c r="AX496" s="354"/>
      <c r="AY496" s="354"/>
      <c r="AZ496" s="354"/>
    </row>
    <row r="497" spans="3:52" x14ac:dyDescent="0.25">
      <c r="C497" s="354"/>
      <c r="D497" s="354"/>
      <c r="E497" s="354"/>
      <c r="F497" s="354"/>
      <c r="G497" s="354"/>
      <c r="H497" s="354"/>
      <c r="I497" s="354"/>
      <c r="J497" s="354"/>
      <c r="K497" s="354"/>
      <c r="L497" s="354"/>
      <c r="M497" s="354"/>
      <c r="N497" s="354"/>
      <c r="O497" s="354"/>
      <c r="P497" s="354"/>
      <c r="Q497" s="354"/>
      <c r="R497" s="370"/>
      <c r="S497" s="354"/>
      <c r="T497" s="354"/>
      <c r="U497" s="354"/>
      <c r="V497" s="354"/>
      <c r="W497" s="354"/>
      <c r="X497" s="354"/>
      <c r="Y497" s="354"/>
      <c r="Z497" s="354"/>
      <c r="AA497" s="354"/>
      <c r="AB497" s="354"/>
      <c r="AC497" s="354"/>
      <c r="AD497" s="354"/>
      <c r="AE497" s="354"/>
      <c r="AF497" s="354"/>
      <c r="AG497" s="354"/>
      <c r="AH497" s="354"/>
      <c r="AI497" s="354"/>
      <c r="AJ497" s="354"/>
      <c r="AK497" s="354"/>
      <c r="AL497" s="354"/>
      <c r="AM497" s="354"/>
      <c r="AN497" s="354"/>
      <c r="AO497" s="354"/>
      <c r="AP497" s="354"/>
      <c r="AQ497" s="354"/>
      <c r="AR497" s="354"/>
      <c r="AS497" s="354"/>
      <c r="AT497" s="354"/>
      <c r="AU497" s="354"/>
      <c r="AV497" s="354"/>
      <c r="AW497" s="354"/>
      <c r="AX497" s="354"/>
      <c r="AY497" s="354"/>
      <c r="AZ497" s="354"/>
    </row>
    <row r="498" spans="3:52" x14ac:dyDescent="0.25">
      <c r="C498" s="354"/>
      <c r="D498" s="354"/>
      <c r="E498" s="354"/>
      <c r="F498" s="354"/>
      <c r="G498" s="354"/>
      <c r="H498" s="354"/>
      <c r="I498" s="354"/>
      <c r="J498" s="354"/>
      <c r="K498" s="354"/>
      <c r="L498" s="354"/>
      <c r="M498" s="354"/>
      <c r="N498" s="354"/>
      <c r="O498" s="354"/>
      <c r="P498" s="354"/>
      <c r="Q498" s="354"/>
      <c r="R498" s="370"/>
      <c r="S498" s="354"/>
      <c r="T498" s="354"/>
      <c r="U498" s="354"/>
      <c r="V498" s="354"/>
      <c r="W498" s="354"/>
      <c r="X498" s="354"/>
      <c r="Y498" s="354"/>
      <c r="Z498" s="354"/>
      <c r="AA498" s="354"/>
      <c r="AB498" s="354"/>
      <c r="AC498" s="354"/>
      <c r="AD498" s="354"/>
      <c r="AE498" s="354"/>
      <c r="AF498" s="354"/>
      <c r="AG498" s="354"/>
      <c r="AH498" s="354"/>
      <c r="AI498" s="354"/>
      <c r="AJ498" s="354"/>
      <c r="AK498" s="354"/>
      <c r="AL498" s="354"/>
      <c r="AM498" s="354"/>
      <c r="AN498" s="354"/>
      <c r="AO498" s="354"/>
      <c r="AP498" s="354"/>
      <c r="AQ498" s="354"/>
      <c r="AR498" s="354"/>
      <c r="AS498" s="354"/>
      <c r="AT498" s="354"/>
      <c r="AU498" s="354"/>
      <c r="AV498" s="354"/>
      <c r="AW498" s="354"/>
      <c r="AX498" s="354"/>
      <c r="AY498" s="354"/>
      <c r="AZ498" s="354"/>
    </row>
    <row r="499" spans="3:52" x14ac:dyDescent="0.25">
      <c r="C499" s="354"/>
      <c r="D499" s="354"/>
      <c r="E499" s="354"/>
      <c r="F499" s="354"/>
      <c r="G499" s="354"/>
      <c r="H499" s="354"/>
      <c r="I499" s="354"/>
      <c r="J499" s="354"/>
      <c r="K499" s="354"/>
      <c r="L499" s="354"/>
      <c r="M499" s="354"/>
      <c r="N499" s="354"/>
      <c r="O499" s="354"/>
      <c r="P499" s="354"/>
      <c r="Q499" s="354"/>
      <c r="R499" s="370"/>
      <c r="S499" s="354"/>
      <c r="T499" s="354"/>
      <c r="U499" s="354"/>
      <c r="V499" s="354"/>
      <c r="W499" s="354"/>
      <c r="X499" s="354"/>
      <c r="Y499" s="354"/>
      <c r="Z499" s="354"/>
      <c r="AA499" s="354"/>
      <c r="AB499" s="354"/>
      <c r="AC499" s="354"/>
      <c r="AD499" s="354"/>
      <c r="AE499" s="354"/>
      <c r="AF499" s="354"/>
      <c r="AG499" s="354"/>
      <c r="AH499" s="354"/>
      <c r="AI499" s="354"/>
      <c r="AJ499" s="354"/>
      <c r="AK499" s="354"/>
      <c r="AL499" s="354"/>
      <c r="AM499" s="354"/>
      <c r="AN499" s="354"/>
      <c r="AO499" s="354"/>
      <c r="AP499" s="354"/>
      <c r="AQ499" s="354"/>
      <c r="AR499" s="354"/>
      <c r="AS499" s="354"/>
      <c r="AT499" s="354"/>
      <c r="AU499" s="354"/>
      <c r="AV499" s="354"/>
      <c r="AW499" s="354"/>
      <c r="AX499" s="354"/>
      <c r="AY499" s="354"/>
      <c r="AZ499" s="354"/>
    </row>
    <row r="500" spans="3:52" x14ac:dyDescent="0.25">
      <c r="C500" s="354"/>
      <c r="D500" s="354"/>
      <c r="E500" s="354"/>
      <c r="F500" s="354"/>
      <c r="G500" s="354"/>
      <c r="H500" s="354"/>
      <c r="I500" s="354"/>
      <c r="J500" s="354"/>
      <c r="K500" s="354"/>
      <c r="L500" s="354"/>
      <c r="M500" s="354"/>
      <c r="N500" s="354"/>
      <c r="O500" s="354"/>
      <c r="P500" s="354"/>
      <c r="Q500" s="354"/>
      <c r="R500" s="370"/>
      <c r="S500" s="354"/>
      <c r="T500" s="354"/>
      <c r="U500" s="354"/>
      <c r="V500" s="354"/>
      <c r="W500" s="354"/>
      <c r="X500" s="354"/>
      <c r="Y500" s="354"/>
      <c r="Z500" s="354"/>
      <c r="AA500" s="354"/>
      <c r="AB500" s="354"/>
      <c r="AC500" s="354"/>
      <c r="AD500" s="354"/>
      <c r="AE500" s="354"/>
      <c r="AF500" s="354"/>
      <c r="AG500" s="354"/>
      <c r="AH500" s="354"/>
      <c r="AI500" s="354"/>
      <c r="AJ500" s="354"/>
      <c r="AK500" s="354"/>
      <c r="AL500" s="354"/>
      <c r="AM500" s="354"/>
      <c r="AN500" s="354"/>
      <c r="AO500" s="354"/>
      <c r="AP500" s="354"/>
      <c r="AQ500" s="354"/>
      <c r="AR500" s="354"/>
      <c r="AS500" s="354"/>
      <c r="AT500" s="354"/>
      <c r="AU500" s="354"/>
      <c r="AV500" s="354"/>
      <c r="AW500" s="354"/>
      <c r="AX500" s="354"/>
      <c r="AY500" s="354"/>
      <c r="AZ500" s="354"/>
    </row>
    <row r="501" spans="3:52" x14ac:dyDescent="0.25">
      <c r="C501" s="354"/>
      <c r="D501" s="354"/>
      <c r="E501" s="354"/>
      <c r="F501" s="354"/>
      <c r="G501" s="354"/>
      <c r="H501" s="354"/>
      <c r="I501" s="354"/>
      <c r="J501" s="354"/>
      <c r="K501" s="354"/>
      <c r="L501" s="354"/>
      <c r="M501" s="354"/>
      <c r="N501" s="354"/>
      <c r="O501" s="354"/>
      <c r="P501" s="354"/>
      <c r="Q501" s="354"/>
      <c r="R501" s="370"/>
      <c r="S501" s="354"/>
      <c r="T501" s="354"/>
      <c r="U501" s="354"/>
      <c r="V501" s="354"/>
      <c r="W501" s="354"/>
      <c r="X501" s="354"/>
      <c r="Y501" s="354"/>
      <c r="Z501" s="354"/>
      <c r="AA501" s="354"/>
      <c r="AB501" s="354"/>
      <c r="AC501" s="354"/>
      <c r="AD501" s="354"/>
      <c r="AE501" s="354"/>
      <c r="AF501" s="354"/>
      <c r="AG501" s="354"/>
      <c r="AH501" s="354"/>
      <c r="AI501" s="354"/>
      <c r="AJ501" s="354"/>
      <c r="AK501" s="354"/>
      <c r="AL501" s="354"/>
      <c r="AM501" s="354"/>
      <c r="AN501" s="354"/>
      <c r="AO501" s="354"/>
      <c r="AP501" s="354"/>
      <c r="AQ501" s="354"/>
      <c r="AR501" s="354"/>
      <c r="AS501" s="354"/>
      <c r="AT501" s="354"/>
      <c r="AU501" s="354"/>
      <c r="AV501" s="354"/>
      <c r="AW501" s="354"/>
      <c r="AX501" s="354"/>
      <c r="AY501" s="354"/>
      <c r="AZ501" s="354"/>
    </row>
    <row r="502" spans="3:52" x14ac:dyDescent="0.25">
      <c r="C502" s="354"/>
      <c r="D502" s="354"/>
      <c r="E502" s="354"/>
      <c r="F502" s="354"/>
      <c r="G502" s="354"/>
      <c r="H502" s="354"/>
      <c r="I502" s="354"/>
      <c r="J502" s="354"/>
      <c r="K502" s="354"/>
      <c r="L502" s="354"/>
      <c r="M502" s="354"/>
      <c r="N502" s="354"/>
      <c r="O502" s="354"/>
      <c r="P502" s="354"/>
      <c r="Q502" s="354"/>
      <c r="R502" s="370"/>
      <c r="S502" s="354"/>
      <c r="T502" s="354"/>
      <c r="U502" s="354"/>
      <c r="V502" s="354"/>
      <c r="W502" s="354"/>
      <c r="X502" s="354"/>
      <c r="Y502" s="354"/>
      <c r="Z502" s="354"/>
      <c r="AA502" s="354"/>
      <c r="AB502" s="354"/>
      <c r="AC502" s="354"/>
      <c r="AD502" s="354"/>
      <c r="AE502" s="354"/>
      <c r="AF502" s="354"/>
      <c r="AG502" s="354"/>
      <c r="AH502" s="354"/>
      <c r="AI502" s="354"/>
      <c r="AJ502" s="354"/>
      <c r="AK502" s="354"/>
      <c r="AL502" s="354"/>
      <c r="AM502" s="354"/>
      <c r="AN502" s="354"/>
      <c r="AO502" s="354"/>
      <c r="AP502" s="354"/>
      <c r="AQ502" s="354"/>
      <c r="AR502" s="354"/>
      <c r="AS502" s="354"/>
      <c r="AT502" s="354"/>
      <c r="AU502" s="354"/>
      <c r="AV502" s="354"/>
      <c r="AW502" s="354"/>
      <c r="AX502" s="354"/>
      <c r="AY502" s="354"/>
      <c r="AZ502" s="354"/>
    </row>
    <row r="503" spans="3:52" x14ac:dyDescent="0.25">
      <c r="C503" s="354"/>
      <c r="D503" s="354"/>
      <c r="E503" s="354"/>
      <c r="F503" s="354"/>
      <c r="G503" s="354"/>
      <c r="H503" s="354"/>
      <c r="I503" s="354"/>
      <c r="J503" s="354"/>
      <c r="K503" s="354"/>
      <c r="L503" s="354"/>
      <c r="M503" s="354"/>
      <c r="N503" s="354"/>
      <c r="O503" s="354"/>
      <c r="P503" s="354"/>
      <c r="Q503" s="354"/>
      <c r="R503" s="370"/>
      <c r="S503" s="354"/>
      <c r="T503" s="354"/>
      <c r="U503" s="354"/>
      <c r="V503" s="354"/>
      <c r="W503" s="354"/>
      <c r="X503" s="354"/>
      <c r="Y503" s="354"/>
      <c r="Z503" s="354"/>
      <c r="AA503" s="354"/>
      <c r="AB503" s="354"/>
      <c r="AC503" s="354"/>
      <c r="AD503" s="354"/>
      <c r="AE503" s="354"/>
      <c r="AF503" s="354"/>
      <c r="AG503" s="354"/>
      <c r="AH503" s="354"/>
      <c r="AI503" s="354"/>
      <c r="AJ503" s="354"/>
      <c r="AK503" s="354"/>
      <c r="AL503" s="354"/>
      <c r="AM503" s="354"/>
      <c r="AN503" s="354"/>
      <c r="AO503" s="354"/>
      <c r="AP503" s="354"/>
      <c r="AQ503" s="354"/>
      <c r="AR503" s="354"/>
      <c r="AS503" s="354"/>
      <c r="AT503" s="354"/>
      <c r="AU503" s="354"/>
      <c r="AV503" s="354"/>
      <c r="AW503" s="354"/>
      <c r="AX503" s="354"/>
      <c r="AY503" s="354"/>
      <c r="AZ503" s="354"/>
    </row>
    <row r="504" spans="3:52" x14ac:dyDescent="0.25">
      <c r="C504" s="354"/>
      <c r="D504" s="354"/>
      <c r="E504" s="354"/>
      <c r="F504" s="354"/>
      <c r="G504" s="354"/>
      <c r="H504" s="354"/>
      <c r="I504" s="354"/>
      <c r="J504" s="354"/>
      <c r="K504" s="354"/>
      <c r="L504" s="354"/>
      <c r="M504" s="354"/>
      <c r="N504" s="354"/>
      <c r="O504" s="354"/>
      <c r="P504" s="354"/>
      <c r="Q504" s="354"/>
      <c r="R504" s="370"/>
      <c r="S504" s="354"/>
      <c r="T504" s="354"/>
      <c r="U504" s="354"/>
      <c r="V504" s="354"/>
      <c r="W504" s="354"/>
      <c r="X504" s="354"/>
      <c r="Y504" s="354"/>
      <c r="Z504" s="354"/>
      <c r="AA504" s="354"/>
      <c r="AB504" s="354"/>
      <c r="AC504" s="354"/>
      <c r="AD504" s="354"/>
      <c r="AE504" s="354"/>
      <c r="AF504" s="354"/>
      <c r="AG504" s="354"/>
      <c r="AH504" s="354"/>
      <c r="AI504" s="354"/>
      <c r="AJ504" s="354"/>
      <c r="AK504" s="354"/>
      <c r="AL504" s="354"/>
      <c r="AM504" s="354"/>
      <c r="AN504" s="354"/>
      <c r="AO504" s="354"/>
      <c r="AP504" s="354"/>
      <c r="AQ504" s="354"/>
      <c r="AR504" s="354"/>
      <c r="AS504" s="354"/>
      <c r="AT504" s="354"/>
      <c r="AU504" s="354"/>
      <c r="AV504" s="354"/>
      <c r="AW504" s="354"/>
      <c r="AX504" s="354"/>
      <c r="AY504" s="354"/>
      <c r="AZ504" s="354"/>
    </row>
    <row r="505" spans="3:52" x14ac:dyDescent="0.25">
      <c r="C505" s="354"/>
      <c r="D505" s="354"/>
      <c r="E505" s="354"/>
      <c r="F505" s="354"/>
      <c r="G505" s="354"/>
      <c r="H505" s="354"/>
      <c r="I505" s="354"/>
      <c r="J505" s="354"/>
      <c r="K505" s="354"/>
      <c r="L505" s="354"/>
      <c r="M505" s="354"/>
      <c r="N505" s="354"/>
      <c r="O505" s="354"/>
      <c r="P505" s="354"/>
      <c r="Q505" s="354"/>
      <c r="R505" s="370"/>
      <c r="S505" s="354"/>
      <c r="T505" s="354"/>
      <c r="U505" s="354"/>
      <c r="V505" s="354"/>
      <c r="W505" s="354"/>
      <c r="X505" s="354"/>
      <c r="Y505" s="354"/>
      <c r="Z505" s="354"/>
      <c r="AA505" s="354"/>
      <c r="AB505" s="354"/>
      <c r="AC505" s="354"/>
      <c r="AD505" s="354"/>
      <c r="AE505" s="354"/>
      <c r="AF505" s="354"/>
      <c r="AG505" s="354"/>
      <c r="AH505" s="354"/>
      <c r="AI505" s="354"/>
      <c r="AJ505" s="354"/>
      <c r="AK505" s="354"/>
      <c r="AL505" s="354"/>
      <c r="AM505" s="354"/>
      <c r="AN505" s="354"/>
      <c r="AO505" s="354"/>
      <c r="AP505" s="354"/>
      <c r="AQ505" s="354"/>
      <c r="AR505" s="354"/>
      <c r="AS505" s="354"/>
      <c r="AT505" s="354"/>
      <c r="AU505" s="354"/>
      <c r="AV505" s="354"/>
      <c r="AW505" s="354"/>
      <c r="AX505" s="354"/>
      <c r="AY505" s="354"/>
      <c r="AZ505" s="354"/>
    </row>
    <row r="506" spans="3:52" x14ac:dyDescent="0.25">
      <c r="C506" s="354"/>
      <c r="D506" s="354"/>
      <c r="E506" s="354"/>
      <c r="F506" s="354"/>
      <c r="G506" s="354"/>
      <c r="H506" s="354"/>
      <c r="I506" s="354"/>
      <c r="J506" s="354"/>
      <c r="K506" s="354"/>
      <c r="L506" s="354"/>
      <c r="M506" s="354"/>
      <c r="N506" s="354"/>
      <c r="O506" s="354"/>
      <c r="P506" s="354"/>
      <c r="Q506" s="354"/>
      <c r="R506" s="370"/>
      <c r="S506" s="354"/>
      <c r="T506" s="354"/>
      <c r="U506" s="354"/>
      <c r="V506" s="354"/>
      <c r="W506" s="354"/>
      <c r="X506" s="354"/>
      <c r="Y506" s="354"/>
      <c r="Z506" s="354"/>
      <c r="AA506" s="354"/>
      <c r="AB506" s="354"/>
      <c r="AC506" s="354"/>
      <c r="AD506" s="354"/>
      <c r="AE506" s="354"/>
      <c r="AF506" s="354"/>
      <c r="AG506" s="354"/>
      <c r="AH506" s="354"/>
      <c r="AI506" s="354"/>
      <c r="AJ506" s="354"/>
      <c r="AK506" s="354"/>
      <c r="AL506" s="354"/>
      <c r="AM506" s="354"/>
      <c r="AN506" s="354"/>
      <c r="AO506" s="354"/>
      <c r="AP506" s="354"/>
      <c r="AQ506" s="354"/>
      <c r="AR506" s="354"/>
      <c r="AS506" s="354"/>
      <c r="AT506" s="354"/>
      <c r="AU506" s="354"/>
      <c r="AV506" s="354"/>
      <c r="AW506" s="354"/>
      <c r="AX506" s="354"/>
      <c r="AY506" s="354"/>
      <c r="AZ506" s="354"/>
    </row>
    <row r="507" spans="3:52" x14ac:dyDescent="0.25">
      <c r="C507" s="354"/>
      <c r="D507" s="354"/>
      <c r="E507" s="354"/>
      <c r="F507" s="354"/>
      <c r="G507" s="354"/>
      <c r="H507" s="354"/>
      <c r="I507" s="354"/>
      <c r="J507" s="354"/>
      <c r="K507" s="354"/>
      <c r="L507" s="354"/>
      <c r="M507" s="354"/>
      <c r="N507" s="354"/>
      <c r="O507" s="354"/>
      <c r="P507" s="354"/>
      <c r="Q507" s="354"/>
      <c r="R507" s="370"/>
      <c r="S507" s="354"/>
      <c r="T507" s="354"/>
      <c r="U507" s="354"/>
      <c r="V507" s="354"/>
      <c r="W507" s="354"/>
      <c r="X507" s="354"/>
      <c r="Y507" s="354"/>
      <c r="Z507" s="354"/>
      <c r="AA507" s="354"/>
      <c r="AB507" s="354"/>
      <c r="AC507" s="354"/>
      <c r="AD507" s="354"/>
      <c r="AE507" s="354"/>
      <c r="AF507" s="354"/>
      <c r="AG507" s="354"/>
      <c r="AH507" s="354"/>
      <c r="AI507" s="354"/>
      <c r="AJ507" s="354"/>
      <c r="AK507" s="354"/>
      <c r="AL507" s="354"/>
      <c r="AM507" s="354"/>
      <c r="AN507" s="354"/>
      <c r="AO507" s="354"/>
      <c r="AP507" s="354"/>
      <c r="AQ507" s="354"/>
      <c r="AR507" s="354"/>
      <c r="AS507" s="354"/>
      <c r="AT507" s="354"/>
      <c r="AU507" s="354"/>
      <c r="AV507" s="354"/>
      <c r="AW507" s="354"/>
      <c r="AX507" s="354"/>
      <c r="AY507" s="354"/>
      <c r="AZ507" s="354"/>
    </row>
    <row r="508" spans="3:52" x14ac:dyDescent="0.25">
      <c r="C508" s="354"/>
      <c r="D508" s="354"/>
      <c r="E508" s="354"/>
      <c r="F508" s="354"/>
      <c r="G508" s="354"/>
      <c r="H508" s="354"/>
      <c r="I508" s="354"/>
      <c r="J508" s="354"/>
      <c r="K508" s="354"/>
      <c r="L508" s="354"/>
      <c r="M508" s="354"/>
      <c r="N508" s="354"/>
      <c r="O508" s="354"/>
      <c r="P508" s="354"/>
      <c r="Q508" s="354"/>
      <c r="R508" s="370"/>
      <c r="S508" s="354"/>
      <c r="T508" s="354"/>
      <c r="U508" s="354"/>
      <c r="V508" s="354"/>
      <c r="W508" s="354"/>
      <c r="X508" s="354"/>
      <c r="Y508" s="354"/>
      <c r="Z508" s="354"/>
      <c r="AA508" s="354"/>
      <c r="AB508" s="354"/>
      <c r="AC508" s="354"/>
      <c r="AD508" s="354"/>
      <c r="AE508" s="354"/>
      <c r="AF508" s="354"/>
      <c r="AG508" s="354"/>
      <c r="AH508" s="354"/>
      <c r="AI508" s="354"/>
      <c r="AJ508" s="354"/>
      <c r="AK508" s="354"/>
      <c r="AL508" s="354"/>
      <c r="AM508" s="354"/>
      <c r="AN508" s="354"/>
      <c r="AO508" s="354"/>
      <c r="AP508" s="354"/>
      <c r="AQ508" s="354"/>
      <c r="AR508" s="354"/>
      <c r="AS508" s="354"/>
      <c r="AT508" s="354"/>
      <c r="AU508" s="354"/>
      <c r="AV508" s="354"/>
      <c r="AW508" s="354"/>
      <c r="AX508" s="354"/>
      <c r="AY508" s="354"/>
      <c r="AZ508" s="354"/>
    </row>
    <row r="509" spans="3:52" x14ac:dyDescent="0.25">
      <c r="C509" s="354"/>
      <c r="D509" s="354"/>
      <c r="E509" s="354"/>
      <c r="F509" s="354"/>
      <c r="G509" s="354"/>
      <c r="H509" s="354"/>
      <c r="I509" s="354"/>
      <c r="J509" s="354"/>
      <c r="K509" s="354"/>
      <c r="L509" s="354"/>
      <c r="M509" s="354"/>
      <c r="N509" s="354"/>
      <c r="O509" s="354"/>
      <c r="P509" s="354"/>
      <c r="Q509" s="354"/>
      <c r="R509" s="370"/>
      <c r="S509" s="354"/>
      <c r="T509" s="354"/>
      <c r="U509" s="354"/>
      <c r="V509" s="354"/>
      <c r="W509" s="354"/>
      <c r="X509" s="354"/>
      <c r="Y509" s="354"/>
      <c r="Z509" s="354"/>
      <c r="AA509" s="354"/>
      <c r="AB509" s="354"/>
      <c r="AC509" s="354"/>
      <c r="AD509" s="354"/>
      <c r="AE509" s="354"/>
      <c r="AF509" s="354"/>
      <c r="AG509" s="354"/>
      <c r="AH509" s="354"/>
      <c r="AI509" s="354"/>
      <c r="AJ509" s="354"/>
      <c r="AK509" s="354"/>
      <c r="AL509" s="354"/>
      <c r="AM509" s="354"/>
      <c r="AN509" s="354"/>
      <c r="AO509" s="354"/>
      <c r="AP509" s="354"/>
      <c r="AQ509" s="354"/>
      <c r="AR509" s="354"/>
      <c r="AS509" s="354"/>
      <c r="AT509" s="354"/>
      <c r="AU509" s="354"/>
      <c r="AV509" s="354"/>
      <c r="AW509" s="354"/>
      <c r="AX509" s="354"/>
      <c r="AY509" s="354"/>
      <c r="AZ509" s="354"/>
    </row>
    <row r="510" spans="3:52" x14ac:dyDescent="0.25">
      <c r="C510" s="354"/>
      <c r="D510" s="354"/>
      <c r="E510" s="354"/>
      <c r="F510" s="354"/>
      <c r="G510" s="354"/>
      <c r="H510" s="354"/>
      <c r="I510" s="354"/>
      <c r="J510" s="354"/>
      <c r="K510" s="354"/>
      <c r="L510" s="354"/>
      <c r="M510" s="354"/>
      <c r="N510" s="354"/>
      <c r="O510" s="354"/>
      <c r="P510" s="354"/>
      <c r="Q510" s="354"/>
      <c r="R510" s="370"/>
      <c r="S510" s="354"/>
      <c r="T510" s="354"/>
      <c r="U510" s="354"/>
      <c r="V510" s="354"/>
      <c r="W510" s="354"/>
      <c r="X510" s="354"/>
      <c r="Y510" s="354"/>
      <c r="Z510" s="354"/>
      <c r="AA510" s="354"/>
      <c r="AB510" s="354"/>
      <c r="AC510" s="354"/>
      <c r="AD510" s="354"/>
      <c r="AE510" s="354"/>
      <c r="AF510" s="354"/>
      <c r="AG510" s="354"/>
      <c r="AH510" s="354"/>
      <c r="AI510" s="354"/>
      <c r="AJ510" s="354"/>
      <c r="AK510" s="354"/>
      <c r="AL510" s="354"/>
      <c r="AM510" s="354"/>
      <c r="AN510" s="354"/>
      <c r="AO510" s="354"/>
      <c r="AP510" s="354"/>
      <c r="AQ510" s="354"/>
      <c r="AR510" s="354"/>
      <c r="AS510" s="354"/>
      <c r="AT510" s="354"/>
      <c r="AU510" s="354"/>
      <c r="AV510" s="354"/>
      <c r="AW510" s="354"/>
      <c r="AX510" s="354"/>
      <c r="AY510" s="354"/>
      <c r="AZ510" s="354"/>
    </row>
    <row r="511" spans="3:52" x14ac:dyDescent="0.25">
      <c r="C511" s="354"/>
      <c r="D511" s="354"/>
      <c r="E511" s="354"/>
      <c r="F511" s="354"/>
      <c r="G511" s="354"/>
      <c r="H511" s="354"/>
      <c r="I511" s="354"/>
      <c r="J511" s="354"/>
      <c r="K511" s="354"/>
      <c r="L511" s="354"/>
      <c r="M511" s="354"/>
      <c r="N511" s="354"/>
      <c r="O511" s="354"/>
      <c r="P511" s="354"/>
      <c r="Q511" s="354"/>
      <c r="R511" s="370"/>
      <c r="S511" s="354"/>
      <c r="T511" s="354"/>
      <c r="U511" s="354"/>
      <c r="V511" s="354"/>
      <c r="W511" s="354"/>
      <c r="X511" s="354"/>
      <c r="Y511" s="354"/>
      <c r="Z511" s="354"/>
      <c r="AA511" s="354"/>
      <c r="AB511" s="354"/>
      <c r="AC511" s="354"/>
      <c r="AD511" s="354"/>
      <c r="AE511" s="354"/>
      <c r="AF511" s="354"/>
      <c r="AG511" s="354"/>
      <c r="AH511" s="354"/>
      <c r="AI511" s="354"/>
      <c r="AJ511" s="354"/>
      <c r="AK511" s="354"/>
      <c r="AL511" s="354"/>
      <c r="AM511" s="354"/>
      <c r="AN511" s="354"/>
      <c r="AO511" s="354"/>
      <c r="AP511" s="354"/>
      <c r="AQ511" s="354"/>
      <c r="AR511" s="354"/>
      <c r="AS511" s="354"/>
      <c r="AT511" s="354"/>
      <c r="AU511" s="354"/>
      <c r="AV511" s="354"/>
      <c r="AW511" s="354"/>
      <c r="AX511" s="354"/>
      <c r="AY511" s="354"/>
      <c r="AZ511" s="354"/>
    </row>
    <row r="512" spans="3:52" x14ac:dyDescent="0.25">
      <c r="C512" s="354"/>
      <c r="D512" s="354"/>
      <c r="E512" s="354"/>
      <c r="F512" s="354"/>
      <c r="G512" s="354"/>
      <c r="H512" s="354"/>
      <c r="I512" s="354"/>
      <c r="J512" s="354"/>
      <c r="K512" s="354"/>
      <c r="L512" s="354"/>
      <c r="M512" s="354"/>
      <c r="N512" s="354"/>
      <c r="O512" s="354"/>
      <c r="P512" s="354"/>
      <c r="Q512" s="354"/>
      <c r="R512" s="370"/>
      <c r="S512" s="354"/>
      <c r="T512" s="354"/>
      <c r="U512" s="354"/>
      <c r="V512" s="354"/>
      <c r="W512" s="354"/>
      <c r="X512" s="354"/>
      <c r="Y512" s="354"/>
      <c r="Z512" s="354"/>
      <c r="AA512" s="354"/>
      <c r="AB512" s="354"/>
      <c r="AC512" s="354"/>
      <c r="AD512" s="354"/>
      <c r="AE512" s="354"/>
      <c r="AF512" s="354"/>
      <c r="AG512" s="354"/>
      <c r="AH512" s="354"/>
      <c r="AI512" s="354"/>
      <c r="AJ512" s="354"/>
      <c r="AK512" s="354"/>
      <c r="AL512" s="354"/>
      <c r="AM512" s="354"/>
      <c r="AN512" s="354"/>
      <c r="AO512" s="354"/>
      <c r="AP512" s="354"/>
      <c r="AQ512" s="354"/>
      <c r="AR512" s="354"/>
      <c r="AS512" s="354"/>
      <c r="AT512" s="354"/>
      <c r="AU512" s="354"/>
      <c r="AV512" s="354"/>
      <c r="AW512" s="354"/>
      <c r="AX512" s="354"/>
      <c r="AY512" s="354"/>
      <c r="AZ512" s="354"/>
    </row>
    <row r="513" spans="3:52" x14ac:dyDescent="0.25">
      <c r="C513" s="354"/>
      <c r="D513" s="354"/>
      <c r="E513" s="354"/>
      <c r="F513" s="354"/>
      <c r="G513" s="354"/>
      <c r="H513" s="354"/>
      <c r="I513" s="354"/>
      <c r="J513" s="354"/>
      <c r="K513" s="354"/>
      <c r="L513" s="354"/>
      <c r="M513" s="354"/>
      <c r="N513" s="354"/>
      <c r="O513" s="354"/>
      <c r="P513" s="354"/>
      <c r="Q513" s="354"/>
      <c r="R513" s="370"/>
      <c r="S513" s="354"/>
      <c r="T513" s="354"/>
      <c r="U513" s="354"/>
      <c r="V513" s="354"/>
      <c r="W513" s="354"/>
      <c r="X513" s="354"/>
      <c r="Y513" s="354"/>
      <c r="Z513" s="354"/>
      <c r="AA513" s="354"/>
      <c r="AB513" s="354"/>
      <c r="AC513" s="354"/>
      <c r="AD513" s="354"/>
      <c r="AE513" s="354"/>
      <c r="AF513" s="354"/>
      <c r="AG513" s="354"/>
      <c r="AH513" s="354"/>
      <c r="AI513" s="354"/>
      <c r="AJ513" s="354"/>
      <c r="AK513" s="354"/>
      <c r="AL513" s="354"/>
      <c r="AM513" s="354"/>
      <c r="AN513" s="354"/>
      <c r="AO513" s="354"/>
      <c r="AP513" s="354"/>
      <c r="AQ513" s="354"/>
      <c r="AR513" s="354"/>
      <c r="AS513" s="354"/>
      <c r="AT513" s="354"/>
      <c r="AU513" s="354"/>
      <c r="AV513" s="354"/>
      <c r="AW513" s="354"/>
      <c r="AX513" s="354"/>
      <c r="AY513" s="354"/>
      <c r="AZ513" s="354"/>
    </row>
    <row r="514" spans="3:52" x14ac:dyDescent="0.25">
      <c r="C514" s="354"/>
      <c r="D514" s="354"/>
      <c r="E514" s="354"/>
      <c r="F514" s="354"/>
      <c r="G514" s="354"/>
      <c r="H514" s="354"/>
      <c r="I514" s="354"/>
      <c r="J514" s="354"/>
      <c r="K514" s="354"/>
      <c r="L514" s="354"/>
      <c r="M514" s="354"/>
      <c r="N514" s="354"/>
      <c r="O514" s="354"/>
      <c r="P514" s="354"/>
      <c r="Q514" s="354"/>
      <c r="R514" s="370"/>
      <c r="S514" s="354"/>
      <c r="T514" s="354"/>
      <c r="U514" s="354"/>
      <c r="V514" s="354"/>
      <c r="W514" s="354"/>
      <c r="X514" s="354"/>
      <c r="Y514" s="354"/>
      <c r="Z514" s="354"/>
      <c r="AA514" s="354"/>
      <c r="AB514" s="354"/>
      <c r="AC514" s="354"/>
      <c r="AD514" s="354"/>
      <c r="AE514" s="354"/>
      <c r="AF514" s="354"/>
      <c r="AG514" s="354"/>
      <c r="AH514" s="354"/>
      <c r="AI514" s="354"/>
      <c r="AJ514" s="354"/>
      <c r="AK514" s="354"/>
      <c r="AL514" s="354"/>
      <c r="AM514" s="354"/>
      <c r="AN514" s="354"/>
      <c r="AO514" s="354"/>
      <c r="AP514" s="354"/>
      <c r="AQ514" s="354"/>
      <c r="AR514" s="354"/>
      <c r="AS514" s="354"/>
      <c r="AT514" s="354"/>
      <c r="AU514" s="354"/>
      <c r="AV514" s="354"/>
      <c r="AW514" s="354"/>
      <c r="AX514" s="354"/>
      <c r="AY514" s="354"/>
      <c r="AZ514" s="354"/>
    </row>
    <row r="515" spans="3:52" x14ac:dyDescent="0.25">
      <c r="C515" s="354"/>
      <c r="D515" s="354"/>
      <c r="E515" s="354"/>
      <c r="F515" s="354"/>
      <c r="G515" s="354"/>
      <c r="H515" s="354"/>
      <c r="I515" s="354"/>
      <c r="J515" s="354"/>
      <c r="K515" s="354"/>
      <c r="L515" s="354"/>
      <c r="M515" s="354"/>
      <c r="N515" s="354"/>
      <c r="O515" s="354"/>
      <c r="P515" s="354"/>
      <c r="Q515" s="354"/>
      <c r="R515" s="370"/>
      <c r="S515" s="354"/>
      <c r="T515" s="354"/>
      <c r="U515" s="354"/>
      <c r="V515" s="354"/>
      <c r="W515" s="354"/>
      <c r="X515" s="354"/>
      <c r="Y515" s="354"/>
      <c r="Z515" s="354"/>
      <c r="AA515" s="354"/>
      <c r="AB515" s="354"/>
      <c r="AC515" s="354"/>
      <c r="AD515" s="354"/>
      <c r="AE515" s="354"/>
      <c r="AF515" s="354"/>
      <c r="AG515" s="354"/>
      <c r="AH515" s="354"/>
      <c r="AI515" s="354"/>
      <c r="AJ515" s="354"/>
      <c r="AK515" s="354"/>
      <c r="AL515" s="354"/>
      <c r="AM515" s="354"/>
      <c r="AN515" s="354"/>
      <c r="AO515" s="354"/>
      <c r="AP515" s="354"/>
      <c r="AQ515" s="354"/>
      <c r="AR515" s="354"/>
      <c r="AS515" s="354"/>
      <c r="AT515" s="354"/>
      <c r="AU515" s="354"/>
      <c r="AV515" s="354"/>
      <c r="AW515" s="354"/>
      <c r="AX515" s="354"/>
      <c r="AY515" s="354"/>
      <c r="AZ515" s="354"/>
    </row>
    <row r="516" spans="3:52" x14ac:dyDescent="0.25">
      <c r="C516" s="354"/>
      <c r="D516" s="354"/>
      <c r="E516" s="354"/>
      <c r="F516" s="354"/>
      <c r="G516" s="354"/>
      <c r="H516" s="354"/>
      <c r="I516" s="354"/>
      <c r="J516" s="354"/>
      <c r="K516" s="354"/>
      <c r="L516" s="354"/>
      <c r="M516" s="354"/>
      <c r="N516" s="354"/>
      <c r="O516" s="354"/>
      <c r="P516" s="354"/>
      <c r="Q516" s="354"/>
      <c r="R516" s="370"/>
      <c r="S516" s="354"/>
      <c r="T516" s="354"/>
      <c r="U516" s="354"/>
      <c r="V516" s="354"/>
      <c r="W516" s="354"/>
      <c r="X516" s="354"/>
      <c r="Y516" s="354"/>
      <c r="Z516" s="354"/>
      <c r="AA516" s="354"/>
      <c r="AB516" s="354"/>
      <c r="AC516" s="354"/>
      <c r="AD516" s="354"/>
      <c r="AE516" s="354"/>
      <c r="AF516" s="354"/>
      <c r="AG516" s="354"/>
      <c r="AH516" s="354"/>
      <c r="AI516" s="354"/>
      <c r="AJ516" s="354"/>
      <c r="AK516" s="354"/>
      <c r="AL516" s="354"/>
      <c r="AM516" s="354"/>
      <c r="AN516" s="354"/>
      <c r="AO516" s="354"/>
      <c r="AP516" s="354"/>
      <c r="AQ516" s="354"/>
      <c r="AR516" s="354"/>
      <c r="AS516" s="354"/>
      <c r="AT516" s="354"/>
      <c r="AU516" s="354"/>
      <c r="AV516" s="354"/>
      <c r="AW516" s="354"/>
      <c r="AX516" s="354"/>
      <c r="AY516" s="354"/>
      <c r="AZ516" s="354"/>
    </row>
    <row r="517" spans="3:52" x14ac:dyDescent="0.25">
      <c r="C517" s="354"/>
      <c r="D517" s="354"/>
      <c r="E517" s="354"/>
      <c r="F517" s="354"/>
      <c r="G517" s="354"/>
      <c r="H517" s="354"/>
      <c r="I517" s="354"/>
      <c r="J517" s="354"/>
      <c r="K517" s="354"/>
      <c r="L517" s="354"/>
      <c r="M517" s="354"/>
      <c r="N517" s="354"/>
      <c r="O517" s="354"/>
      <c r="P517" s="354"/>
      <c r="Q517" s="354"/>
      <c r="R517" s="370"/>
      <c r="S517" s="354"/>
      <c r="T517" s="354"/>
      <c r="U517" s="354"/>
      <c r="V517" s="354"/>
      <c r="W517" s="354"/>
      <c r="X517" s="354"/>
      <c r="Y517" s="354"/>
      <c r="Z517" s="354"/>
      <c r="AA517" s="354"/>
      <c r="AB517" s="354"/>
      <c r="AC517" s="354"/>
      <c r="AD517" s="354"/>
      <c r="AE517" s="354"/>
      <c r="AF517" s="354"/>
      <c r="AG517" s="354"/>
      <c r="AH517" s="354"/>
      <c r="AI517" s="354"/>
      <c r="AJ517" s="354"/>
      <c r="AK517" s="354"/>
      <c r="AL517" s="354"/>
      <c r="AM517" s="354"/>
      <c r="AN517" s="354"/>
      <c r="AO517" s="354"/>
      <c r="AP517" s="354"/>
      <c r="AQ517" s="354"/>
      <c r="AR517" s="354"/>
      <c r="AS517" s="354"/>
      <c r="AT517" s="354"/>
      <c r="AU517" s="354"/>
      <c r="AV517" s="354"/>
      <c r="AW517" s="354"/>
      <c r="AX517" s="354"/>
      <c r="AY517" s="354"/>
      <c r="AZ517" s="354"/>
    </row>
    <row r="518" spans="3:52" x14ac:dyDescent="0.25">
      <c r="C518" s="354"/>
      <c r="D518" s="354"/>
      <c r="E518" s="354"/>
      <c r="F518" s="354"/>
      <c r="G518" s="354"/>
      <c r="H518" s="354"/>
      <c r="I518" s="354"/>
      <c r="J518" s="354"/>
      <c r="K518" s="354"/>
      <c r="L518" s="354"/>
      <c r="M518" s="354"/>
      <c r="N518" s="354"/>
      <c r="O518" s="354"/>
      <c r="P518" s="354"/>
      <c r="Q518" s="354"/>
      <c r="R518" s="370"/>
      <c r="S518" s="354"/>
      <c r="T518" s="354"/>
      <c r="U518" s="354"/>
      <c r="V518" s="354"/>
      <c r="W518" s="354"/>
      <c r="X518" s="354"/>
      <c r="Y518" s="354"/>
      <c r="Z518" s="354"/>
      <c r="AA518" s="354"/>
      <c r="AB518" s="354"/>
      <c r="AC518" s="354"/>
      <c r="AD518" s="354"/>
      <c r="AE518" s="354"/>
      <c r="AF518" s="354"/>
      <c r="AG518" s="354"/>
      <c r="AH518" s="354"/>
      <c r="AI518" s="354"/>
      <c r="AJ518" s="354"/>
      <c r="AK518" s="354"/>
      <c r="AL518" s="354"/>
      <c r="AM518" s="354"/>
      <c r="AN518" s="354"/>
      <c r="AO518" s="354"/>
      <c r="AP518" s="354"/>
      <c r="AQ518" s="354"/>
      <c r="AR518" s="354"/>
      <c r="AS518" s="354"/>
      <c r="AT518" s="354"/>
      <c r="AU518" s="354"/>
      <c r="AV518" s="354"/>
      <c r="AW518" s="354"/>
      <c r="AX518" s="354"/>
      <c r="AY518" s="354"/>
      <c r="AZ518" s="354"/>
    </row>
    <row r="519" spans="3:52" x14ac:dyDescent="0.25">
      <c r="C519" s="354"/>
      <c r="D519" s="354"/>
      <c r="E519" s="354"/>
      <c r="F519" s="354"/>
      <c r="G519" s="354"/>
      <c r="H519" s="354"/>
      <c r="I519" s="354"/>
      <c r="J519" s="354"/>
      <c r="K519" s="354"/>
      <c r="L519" s="354"/>
      <c r="M519" s="354"/>
      <c r="N519" s="354"/>
      <c r="O519" s="354"/>
      <c r="P519" s="354"/>
      <c r="Q519" s="354"/>
      <c r="R519" s="370"/>
      <c r="S519" s="354"/>
      <c r="T519" s="354"/>
      <c r="U519" s="354"/>
      <c r="V519" s="354"/>
      <c r="W519" s="354"/>
      <c r="X519" s="354"/>
      <c r="Y519" s="354"/>
      <c r="Z519" s="354"/>
      <c r="AA519" s="354"/>
      <c r="AB519" s="354"/>
      <c r="AC519" s="354"/>
      <c r="AD519" s="354"/>
      <c r="AE519" s="354"/>
      <c r="AF519" s="354"/>
      <c r="AG519" s="354"/>
      <c r="AH519" s="354"/>
      <c r="AI519" s="354"/>
      <c r="AJ519" s="354"/>
      <c r="AK519" s="354"/>
      <c r="AL519" s="354"/>
      <c r="AM519" s="354"/>
      <c r="AN519" s="354"/>
      <c r="AO519" s="354"/>
      <c r="AP519" s="354"/>
      <c r="AQ519" s="354"/>
      <c r="AR519" s="354"/>
      <c r="AS519" s="354"/>
      <c r="AT519" s="354"/>
      <c r="AU519" s="354"/>
      <c r="AV519" s="354"/>
      <c r="AW519" s="354"/>
      <c r="AX519" s="354"/>
      <c r="AY519" s="354"/>
      <c r="AZ519" s="354"/>
    </row>
    <row r="520" spans="3:52" x14ac:dyDescent="0.25">
      <c r="C520" s="354"/>
      <c r="D520" s="354"/>
      <c r="E520" s="354"/>
      <c r="F520" s="354"/>
      <c r="G520" s="354"/>
      <c r="H520" s="354"/>
      <c r="I520" s="354"/>
      <c r="J520" s="354"/>
      <c r="K520" s="354"/>
      <c r="L520" s="354"/>
      <c r="M520" s="354"/>
      <c r="N520" s="354"/>
      <c r="O520" s="354"/>
      <c r="P520" s="354"/>
      <c r="Q520" s="354"/>
      <c r="R520" s="370"/>
      <c r="S520" s="354"/>
      <c r="T520" s="354"/>
      <c r="U520" s="354"/>
      <c r="V520" s="354"/>
      <c r="W520" s="354"/>
      <c r="X520" s="354"/>
      <c r="Y520" s="354"/>
      <c r="Z520" s="354"/>
      <c r="AA520" s="354"/>
      <c r="AB520" s="354"/>
      <c r="AC520" s="354"/>
      <c r="AD520" s="354"/>
      <c r="AE520" s="354"/>
      <c r="AF520" s="354"/>
      <c r="AG520" s="354"/>
      <c r="AH520" s="354"/>
      <c r="AI520" s="354"/>
      <c r="AJ520" s="354"/>
      <c r="AK520" s="354"/>
      <c r="AL520" s="354"/>
      <c r="AM520" s="354"/>
      <c r="AN520" s="354"/>
      <c r="AO520" s="354"/>
      <c r="AP520" s="354"/>
      <c r="AQ520" s="354"/>
      <c r="AR520" s="354"/>
      <c r="AS520" s="354"/>
      <c r="AT520" s="354"/>
      <c r="AU520" s="354"/>
      <c r="AV520" s="354"/>
      <c r="AW520" s="354"/>
      <c r="AX520" s="354"/>
      <c r="AY520" s="354"/>
      <c r="AZ520" s="354"/>
    </row>
    <row r="521" spans="3:52" x14ac:dyDescent="0.25">
      <c r="C521" s="354"/>
      <c r="D521" s="354"/>
      <c r="E521" s="354"/>
      <c r="F521" s="354"/>
      <c r="G521" s="354"/>
      <c r="H521" s="354"/>
      <c r="I521" s="354"/>
      <c r="J521" s="354"/>
      <c r="K521" s="354"/>
      <c r="L521" s="354"/>
      <c r="M521" s="354"/>
      <c r="N521" s="354"/>
      <c r="O521" s="354"/>
      <c r="P521" s="354"/>
      <c r="Q521" s="354"/>
      <c r="R521" s="370"/>
      <c r="S521" s="354"/>
      <c r="T521" s="354"/>
      <c r="U521" s="354"/>
      <c r="V521" s="354"/>
      <c r="W521" s="354"/>
      <c r="X521" s="354"/>
      <c r="Y521" s="354"/>
      <c r="Z521" s="354"/>
      <c r="AA521" s="354"/>
      <c r="AB521" s="354"/>
      <c r="AC521" s="354"/>
      <c r="AD521" s="354"/>
      <c r="AE521" s="354"/>
      <c r="AF521" s="354"/>
      <c r="AG521" s="354"/>
      <c r="AH521" s="354"/>
      <c r="AI521" s="354"/>
      <c r="AJ521" s="354"/>
      <c r="AK521" s="354"/>
      <c r="AL521" s="354"/>
      <c r="AM521" s="354"/>
      <c r="AN521" s="354"/>
      <c r="AO521" s="354"/>
      <c r="AP521" s="354"/>
      <c r="AQ521" s="354"/>
      <c r="AR521" s="354"/>
      <c r="AS521" s="354"/>
      <c r="AT521" s="354"/>
      <c r="AU521" s="354"/>
      <c r="AV521" s="354"/>
      <c r="AW521" s="354"/>
      <c r="AX521" s="354"/>
      <c r="AY521" s="354"/>
      <c r="AZ521" s="354"/>
    </row>
    <row r="522" spans="3:52" x14ac:dyDescent="0.25">
      <c r="C522" s="354"/>
      <c r="D522" s="354"/>
      <c r="E522" s="354"/>
      <c r="F522" s="354"/>
      <c r="G522" s="354"/>
      <c r="H522" s="354"/>
      <c r="I522" s="354"/>
      <c r="J522" s="354"/>
      <c r="K522" s="354"/>
      <c r="L522" s="354"/>
      <c r="M522" s="354"/>
      <c r="N522" s="354"/>
      <c r="O522" s="354"/>
      <c r="P522" s="354"/>
      <c r="Q522" s="354"/>
      <c r="R522" s="370"/>
      <c r="S522" s="354"/>
      <c r="T522" s="354"/>
      <c r="U522" s="354"/>
      <c r="V522" s="354"/>
      <c r="W522" s="354"/>
      <c r="X522" s="354"/>
      <c r="Y522" s="354"/>
      <c r="Z522" s="354"/>
      <c r="AA522" s="354"/>
      <c r="AB522" s="354"/>
      <c r="AC522" s="354"/>
      <c r="AD522" s="354"/>
      <c r="AE522" s="354"/>
      <c r="AF522" s="354"/>
      <c r="AG522" s="354"/>
      <c r="AH522" s="354"/>
      <c r="AI522" s="354"/>
      <c r="AJ522" s="354"/>
      <c r="AK522" s="354"/>
      <c r="AL522" s="354"/>
      <c r="AM522" s="354"/>
      <c r="AN522" s="354"/>
      <c r="AO522" s="354"/>
      <c r="AP522" s="354"/>
      <c r="AQ522" s="354"/>
      <c r="AR522" s="354"/>
      <c r="AS522" s="354"/>
      <c r="AT522" s="354"/>
      <c r="AU522" s="354"/>
      <c r="AV522" s="354"/>
      <c r="AW522" s="354"/>
      <c r="AX522" s="354"/>
      <c r="AY522" s="354"/>
      <c r="AZ522" s="354"/>
    </row>
    <row r="523" spans="3:52" x14ac:dyDescent="0.25">
      <c r="C523" s="354"/>
      <c r="D523" s="354"/>
      <c r="E523" s="354"/>
      <c r="F523" s="354"/>
      <c r="G523" s="354"/>
      <c r="H523" s="354"/>
      <c r="I523" s="354"/>
      <c r="J523" s="354"/>
      <c r="K523" s="354"/>
      <c r="L523" s="354"/>
      <c r="M523" s="354"/>
      <c r="N523" s="354"/>
      <c r="O523" s="354"/>
      <c r="P523" s="354"/>
      <c r="Q523" s="354"/>
      <c r="R523" s="370"/>
      <c r="S523" s="354"/>
      <c r="T523" s="354"/>
      <c r="U523" s="354"/>
      <c r="V523" s="354"/>
      <c r="W523" s="354"/>
      <c r="X523" s="354"/>
      <c r="Y523" s="354"/>
      <c r="Z523" s="354"/>
      <c r="AA523" s="354"/>
      <c r="AB523" s="354"/>
      <c r="AC523" s="354"/>
      <c r="AD523" s="354"/>
      <c r="AE523" s="354"/>
      <c r="AF523" s="354"/>
      <c r="AG523" s="354"/>
      <c r="AH523" s="354"/>
      <c r="AI523" s="354"/>
      <c r="AJ523" s="354"/>
      <c r="AK523" s="354"/>
      <c r="AL523" s="354"/>
      <c r="AM523" s="354"/>
      <c r="AN523" s="354"/>
      <c r="AO523" s="354"/>
      <c r="AP523" s="354"/>
      <c r="AQ523" s="354"/>
      <c r="AR523" s="354"/>
      <c r="AS523" s="354"/>
      <c r="AT523" s="354"/>
      <c r="AU523" s="354"/>
      <c r="AV523" s="354"/>
      <c r="AW523" s="354"/>
      <c r="AX523" s="354"/>
      <c r="AY523" s="354"/>
      <c r="AZ523" s="354"/>
    </row>
    <row r="524" spans="3:52" x14ac:dyDescent="0.25">
      <c r="C524" s="354"/>
      <c r="D524" s="354"/>
      <c r="E524" s="354"/>
      <c r="F524" s="354"/>
      <c r="G524" s="354"/>
      <c r="H524" s="354"/>
      <c r="I524" s="354"/>
      <c r="J524" s="354"/>
      <c r="K524" s="354"/>
      <c r="L524" s="354"/>
      <c r="M524" s="354"/>
      <c r="N524" s="354"/>
      <c r="O524" s="354"/>
      <c r="P524" s="354"/>
      <c r="Q524" s="354"/>
      <c r="R524" s="370"/>
      <c r="S524" s="354"/>
      <c r="T524" s="354"/>
      <c r="U524" s="354"/>
      <c r="V524" s="354"/>
      <c r="W524" s="354"/>
      <c r="X524" s="354"/>
      <c r="Y524" s="354"/>
      <c r="Z524" s="354"/>
      <c r="AA524" s="354"/>
      <c r="AB524" s="354"/>
      <c r="AC524" s="354"/>
      <c r="AD524" s="354"/>
      <c r="AE524" s="354"/>
      <c r="AF524" s="354"/>
      <c r="AG524" s="354"/>
      <c r="AH524" s="354"/>
      <c r="AI524" s="354"/>
      <c r="AJ524" s="354"/>
      <c r="AK524" s="354"/>
      <c r="AL524" s="354"/>
      <c r="AM524" s="354"/>
      <c r="AN524" s="354"/>
      <c r="AO524" s="354"/>
      <c r="AP524" s="354"/>
      <c r="AQ524" s="354"/>
      <c r="AR524" s="354"/>
      <c r="AS524" s="354"/>
      <c r="AT524" s="354"/>
      <c r="AU524" s="354"/>
      <c r="AV524" s="354"/>
      <c r="AW524" s="354"/>
      <c r="AX524" s="354"/>
      <c r="AY524" s="354"/>
      <c r="AZ524" s="354"/>
    </row>
    <row r="525" spans="3:52" x14ac:dyDescent="0.25">
      <c r="C525" s="354"/>
      <c r="D525" s="354"/>
      <c r="E525" s="354"/>
      <c r="F525" s="354"/>
      <c r="G525" s="354"/>
      <c r="H525" s="354"/>
      <c r="I525" s="354"/>
      <c r="J525" s="354"/>
      <c r="K525" s="354"/>
      <c r="L525" s="354"/>
      <c r="M525" s="354"/>
      <c r="N525" s="354"/>
      <c r="O525" s="354"/>
      <c r="P525" s="354"/>
      <c r="Q525" s="354"/>
      <c r="R525" s="370"/>
      <c r="S525" s="354"/>
      <c r="T525" s="354"/>
      <c r="U525" s="354"/>
      <c r="V525" s="354"/>
      <c r="W525" s="354"/>
      <c r="X525" s="354"/>
      <c r="Y525" s="354"/>
      <c r="Z525" s="354"/>
      <c r="AA525" s="354"/>
      <c r="AB525" s="354"/>
      <c r="AC525" s="354"/>
      <c r="AD525" s="354"/>
      <c r="AE525" s="354"/>
      <c r="AF525" s="354"/>
      <c r="AG525" s="354"/>
      <c r="AH525" s="354"/>
      <c r="AI525" s="354"/>
      <c r="AJ525" s="354"/>
      <c r="AK525" s="354"/>
      <c r="AL525" s="354"/>
      <c r="AM525" s="354"/>
      <c r="AN525" s="354"/>
      <c r="AO525" s="354"/>
      <c r="AP525" s="354"/>
      <c r="AQ525" s="354"/>
      <c r="AR525" s="354"/>
      <c r="AS525" s="354"/>
      <c r="AT525" s="354"/>
      <c r="AU525" s="354"/>
      <c r="AV525" s="354"/>
      <c r="AW525" s="354"/>
      <c r="AX525" s="354"/>
      <c r="AY525" s="354"/>
      <c r="AZ525" s="354"/>
    </row>
    <row r="526" spans="3:52" x14ac:dyDescent="0.25">
      <c r="C526" s="354"/>
      <c r="D526" s="354"/>
      <c r="E526" s="354"/>
      <c r="F526" s="354"/>
      <c r="G526" s="354"/>
      <c r="H526" s="354"/>
      <c r="I526" s="354"/>
      <c r="J526" s="354"/>
      <c r="K526" s="354"/>
      <c r="L526" s="354"/>
      <c r="M526" s="354"/>
      <c r="N526" s="354"/>
      <c r="O526" s="354"/>
      <c r="P526" s="354"/>
      <c r="Q526" s="354"/>
      <c r="R526" s="370"/>
      <c r="S526" s="354"/>
      <c r="T526" s="354"/>
      <c r="U526" s="354"/>
      <c r="V526" s="354"/>
      <c r="W526" s="354"/>
      <c r="X526" s="354"/>
      <c r="Y526" s="354"/>
      <c r="Z526" s="354"/>
      <c r="AA526" s="354"/>
      <c r="AB526" s="354"/>
      <c r="AC526" s="354"/>
      <c r="AD526" s="354"/>
      <c r="AE526" s="354"/>
      <c r="AF526" s="354"/>
      <c r="AG526" s="354"/>
      <c r="AH526" s="354"/>
      <c r="AI526" s="354"/>
      <c r="AJ526" s="354"/>
      <c r="AK526" s="354"/>
      <c r="AL526" s="354"/>
      <c r="AM526" s="354"/>
      <c r="AN526" s="354"/>
      <c r="AO526" s="354"/>
      <c r="AP526" s="354"/>
      <c r="AQ526" s="354"/>
      <c r="AR526" s="354"/>
      <c r="AS526" s="354"/>
      <c r="AT526" s="354"/>
      <c r="AU526" s="354"/>
      <c r="AV526" s="354"/>
      <c r="AW526" s="354"/>
      <c r="AX526" s="354"/>
      <c r="AY526" s="354"/>
      <c r="AZ526" s="354"/>
    </row>
    <row r="527" spans="3:52" x14ac:dyDescent="0.25">
      <c r="C527" s="354"/>
      <c r="D527" s="354"/>
      <c r="E527" s="354"/>
      <c r="F527" s="354"/>
      <c r="G527" s="354"/>
      <c r="H527" s="354"/>
      <c r="I527" s="354"/>
      <c r="J527" s="354"/>
      <c r="K527" s="354"/>
      <c r="L527" s="354"/>
      <c r="M527" s="354"/>
      <c r="N527" s="354"/>
      <c r="O527" s="354"/>
      <c r="P527" s="354"/>
      <c r="Q527" s="354"/>
      <c r="R527" s="370"/>
      <c r="S527" s="354"/>
      <c r="T527" s="354"/>
      <c r="U527" s="354"/>
      <c r="V527" s="354"/>
      <c r="W527" s="354"/>
      <c r="X527" s="354"/>
      <c r="Y527" s="354"/>
      <c r="Z527" s="354"/>
      <c r="AA527" s="354"/>
      <c r="AB527" s="354"/>
      <c r="AC527" s="354"/>
      <c r="AD527" s="354"/>
      <c r="AE527" s="354"/>
      <c r="AF527" s="354"/>
      <c r="AG527" s="354"/>
      <c r="AH527" s="354"/>
      <c r="AI527" s="354"/>
      <c r="AJ527" s="354"/>
      <c r="AK527" s="354"/>
      <c r="AL527" s="354"/>
      <c r="AM527" s="354"/>
      <c r="AN527" s="354"/>
      <c r="AO527" s="354"/>
      <c r="AP527" s="354"/>
      <c r="AQ527" s="354"/>
      <c r="AR527" s="354"/>
      <c r="AS527" s="354"/>
      <c r="AT527" s="354"/>
      <c r="AU527" s="354"/>
      <c r="AV527" s="354"/>
      <c r="AW527" s="354"/>
      <c r="AX527" s="354"/>
      <c r="AY527" s="354"/>
      <c r="AZ527" s="354"/>
    </row>
    <row r="528" spans="3:52" x14ac:dyDescent="0.25">
      <c r="C528" s="354"/>
      <c r="D528" s="354"/>
      <c r="E528" s="354"/>
      <c r="F528" s="354"/>
      <c r="G528" s="354"/>
      <c r="H528" s="354"/>
      <c r="I528" s="354"/>
      <c r="J528" s="354"/>
      <c r="K528" s="354"/>
      <c r="L528" s="354"/>
      <c r="M528" s="354"/>
      <c r="N528" s="354"/>
      <c r="O528" s="354"/>
      <c r="P528" s="354"/>
      <c r="Q528" s="354"/>
      <c r="R528" s="370"/>
      <c r="S528" s="354"/>
      <c r="T528" s="354"/>
      <c r="U528" s="354"/>
      <c r="V528" s="354"/>
      <c r="W528" s="354"/>
      <c r="X528" s="354"/>
      <c r="Y528" s="354"/>
      <c r="Z528" s="354"/>
      <c r="AA528" s="354"/>
      <c r="AB528" s="354"/>
      <c r="AC528" s="354"/>
      <c r="AD528" s="354"/>
      <c r="AE528" s="354"/>
      <c r="AF528" s="354"/>
      <c r="AG528" s="354"/>
      <c r="AH528" s="354"/>
      <c r="AI528" s="354"/>
      <c r="AJ528" s="354"/>
      <c r="AK528" s="354"/>
      <c r="AL528" s="354"/>
      <c r="AM528" s="354"/>
      <c r="AN528" s="354"/>
      <c r="AO528" s="354"/>
      <c r="AP528" s="354"/>
      <c r="AQ528" s="354"/>
      <c r="AR528" s="354"/>
      <c r="AS528" s="354"/>
      <c r="AT528" s="354"/>
      <c r="AU528" s="354"/>
      <c r="AV528" s="354"/>
      <c r="AW528" s="354"/>
      <c r="AX528" s="354"/>
      <c r="AY528" s="354"/>
      <c r="AZ528" s="354"/>
    </row>
    <row r="529" spans="3:52" x14ac:dyDescent="0.25">
      <c r="C529" s="354"/>
      <c r="D529" s="354"/>
      <c r="E529" s="354"/>
      <c r="F529" s="354"/>
      <c r="G529" s="354"/>
      <c r="H529" s="354"/>
      <c r="I529" s="354"/>
      <c r="J529" s="354"/>
      <c r="K529" s="354"/>
      <c r="L529" s="354"/>
      <c r="M529" s="354"/>
      <c r="N529" s="354"/>
      <c r="O529" s="354"/>
      <c r="P529" s="354"/>
      <c r="Q529" s="354"/>
      <c r="R529" s="370"/>
      <c r="S529" s="354"/>
      <c r="T529" s="354"/>
      <c r="U529" s="354"/>
      <c r="V529" s="354"/>
      <c r="W529" s="354"/>
      <c r="X529" s="354"/>
      <c r="Y529" s="354"/>
      <c r="Z529" s="354"/>
      <c r="AA529" s="354"/>
      <c r="AB529" s="354"/>
      <c r="AC529" s="354"/>
      <c r="AD529" s="354"/>
      <c r="AE529" s="354"/>
      <c r="AF529" s="354"/>
      <c r="AG529" s="354"/>
      <c r="AH529" s="354"/>
      <c r="AI529" s="354"/>
      <c r="AJ529" s="354"/>
      <c r="AK529" s="354"/>
      <c r="AL529" s="354"/>
      <c r="AM529" s="354"/>
      <c r="AN529" s="354"/>
      <c r="AO529" s="354"/>
      <c r="AP529" s="354"/>
      <c r="AQ529" s="354"/>
      <c r="AR529" s="354"/>
      <c r="AS529" s="354"/>
      <c r="AT529" s="354"/>
      <c r="AU529" s="354"/>
      <c r="AV529" s="354"/>
      <c r="AW529" s="354"/>
      <c r="AX529" s="354"/>
      <c r="AY529" s="354"/>
      <c r="AZ529" s="354"/>
    </row>
    <row r="530" spans="3:52" x14ac:dyDescent="0.25">
      <c r="C530" s="354"/>
      <c r="D530" s="354"/>
      <c r="E530" s="354"/>
      <c r="F530" s="354"/>
      <c r="G530" s="354"/>
      <c r="H530" s="354"/>
      <c r="I530" s="354"/>
      <c r="J530" s="354"/>
      <c r="K530" s="354"/>
      <c r="L530" s="354"/>
      <c r="M530" s="354"/>
      <c r="N530" s="354"/>
      <c r="O530" s="354"/>
      <c r="P530" s="354"/>
      <c r="Q530" s="354"/>
      <c r="R530" s="370"/>
      <c r="S530" s="354"/>
      <c r="T530" s="354"/>
      <c r="U530" s="354"/>
      <c r="V530" s="354"/>
      <c r="W530" s="354"/>
      <c r="X530" s="354"/>
      <c r="Y530" s="354"/>
      <c r="Z530" s="354"/>
      <c r="AA530" s="354"/>
      <c r="AB530" s="354"/>
      <c r="AC530" s="354"/>
      <c r="AD530" s="354"/>
      <c r="AE530" s="354"/>
      <c r="AF530" s="354"/>
      <c r="AG530" s="354"/>
      <c r="AH530" s="354"/>
      <c r="AI530" s="354"/>
      <c r="AJ530" s="354"/>
      <c r="AK530" s="354"/>
      <c r="AL530" s="354"/>
      <c r="AM530" s="354"/>
      <c r="AN530" s="354"/>
      <c r="AO530" s="354"/>
      <c r="AP530" s="354"/>
      <c r="AQ530" s="354"/>
      <c r="AR530" s="354"/>
      <c r="AS530" s="354"/>
      <c r="AT530" s="354"/>
      <c r="AU530" s="354"/>
      <c r="AV530" s="354"/>
      <c r="AW530" s="354"/>
      <c r="AX530" s="354"/>
      <c r="AY530" s="354"/>
      <c r="AZ530" s="354"/>
    </row>
    <row r="531" spans="3:52" x14ac:dyDescent="0.25">
      <c r="C531" s="354"/>
      <c r="D531" s="354"/>
      <c r="E531" s="354"/>
      <c r="F531" s="354"/>
      <c r="G531" s="354"/>
      <c r="H531" s="354"/>
      <c r="I531" s="354"/>
      <c r="J531" s="354"/>
      <c r="K531" s="354"/>
      <c r="L531" s="354"/>
      <c r="M531" s="354"/>
      <c r="N531" s="354"/>
      <c r="O531" s="354"/>
      <c r="P531" s="354"/>
      <c r="Q531" s="354"/>
      <c r="R531" s="370"/>
      <c r="S531" s="354"/>
      <c r="T531" s="354"/>
      <c r="U531" s="354"/>
      <c r="V531" s="354"/>
      <c r="W531" s="354"/>
      <c r="X531" s="354"/>
      <c r="Y531" s="354"/>
      <c r="Z531" s="354"/>
      <c r="AA531" s="354"/>
      <c r="AB531" s="354"/>
      <c r="AC531" s="354"/>
      <c r="AD531" s="354"/>
      <c r="AE531" s="354"/>
      <c r="AF531" s="354"/>
      <c r="AG531" s="354"/>
      <c r="AH531" s="354"/>
      <c r="AI531" s="354"/>
      <c r="AJ531" s="354"/>
      <c r="AK531" s="354"/>
      <c r="AL531" s="354"/>
      <c r="AM531" s="354"/>
      <c r="AN531" s="354"/>
      <c r="AO531" s="354"/>
      <c r="AP531" s="354"/>
      <c r="AQ531" s="354"/>
      <c r="AR531" s="354"/>
      <c r="AS531" s="354"/>
      <c r="AT531" s="354"/>
      <c r="AU531" s="354"/>
      <c r="AV531" s="354"/>
      <c r="AW531" s="354"/>
      <c r="AX531" s="354"/>
      <c r="AY531" s="354"/>
      <c r="AZ531" s="354"/>
    </row>
    <row r="532" spans="3:52" x14ac:dyDescent="0.25">
      <c r="C532" s="354"/>
      <c r="D532" s="354"/>
      <c r="E532" s="354"/>
      <c r="F532" s="354"/>
      <c r="G532" s="354"/>
      <c r="H532" s="354"/>
      <c r="I532" s="354"/>
      <c r="J532" s="354"/>
      <c r="K532" s="354"/>
      <c r="L532" s="354"/>
      <c r="M532" s="354"/>
      <c r="N532" s="354"/>
      <c r="O532" s="354"/>
      <c r="P532" s="354"/>
      <c r="Q532" s="354"/>
      <c r="R532" s="370"/>
      <c r="S532" s="354"/>
      <c r="T532" s="354"/>
      <c r="U532" s="354"/>
      <c r="V532" s="354"/>
      <c r="W532" s="354"/>
      <c r="X532" s="354"/>
      <c r="Y532" s="354"/>
      <c r="Z532" s="354"/>
      <c r="AA532" s="354"/>
      <c r="AB532" s="354"/>
      <c r="AC532" s="354"/>
      <c r="AD532" s="354"/>
      <c r="AE532" s="354"/>
      <c r="AF532" s="354"/>
      <c r="AG532" s="354"/>
      <c r="AH532" s="354"/>
      <c r="AI532" s="354"/>
      <c r="AJ532" s="354"/>
      <c r="AK532" s="354"/>
      <c r="AL532" s="354"/>
      <c r="AM532" s="354"/>
      <c r="AN532" s="354"/>
      <c r="AO532" s="354"/>
      <c r="AP532" s="354"/>
      <c r="AQ532" s="354"/>
      <c r="AR532" s="354"/>
      <c r="AS532" s="354"/>
      <c r="AT532" s="354"/>
      <c r="AU532" s="354"/>
      <c r="AV532" s="354"/>
      <c r="AW532" s="354"/>
      <c r="AX532" s="354"/>
      <c r="AY532" s="354"/>
      <c r="AZ532" s="354"/>
    </row>
    <row r="533" spans="3:52" x14ac:dyDescent="0.25">
      <c r="C533" s="354"/>
      <c r="D533" s="354"/>
      <c r="E533" s="354"/>
      <c r="F533" s="354"/>
      <c r="G533" s="354"/>
      <c r="H533" s="354"/>
      <c r="I533" s="354"/>
      <c r="J533" s="354"/>
      <c r="K533" s="354"/>
      <c r="L533" s="354"/>
      <c r="M533" s="354"/>
      <c r="N533" s="354"/>
      <c r="O533" s="354"/>
      <c r="P533" s="354"/>
      <c r="Q533" s="354"/>
      <c r="R533" s="370"/>
      <c r="S533" s="354"/>
      <c r="T533" s="354"/>
      <c r="U533" s="354"/>
      <c r="V533" s="354"/>
      <c r="W533" s="354"/>
      <c r="X533" s="354"/>
      <c r="Y533" s="354"/>
      <c r="Z533" s="354"/>
      <c r="AA533" s="354"/>
      <c r="AB533" s="354"/>
      <c r="AC533" s="354"/>
      <c r="AD533" s="354"/>
      <c r="AE533" s="354"/>
      <c r="AF533" s="354"/>
      <c r="AG533" s="354"/>
      <c r="AH533" s="354"/>
      <c r="AI533" s="354"/>
      <c r="AJ533" s="354"/>
      <c r="AK533" s="354"/>
      <c r="AL533" s="354"/>
      <c r="AM533" s="354"/>
      <c r="AN533" s="354"/>
      <c r="AO533" s="354"/>
      <c r="AP533" s="354"/>
      <c r="AQ533" s="354"/>
      <c r="AR533" s="354"/>
      <c r="AS533" s="354"/>
      <c r="AT533" s="354"/>
      <c r="AU533" s="354"/>
      <c r="AV533" s="354"/>
      <c r="AW533" s="354"/>
      <c r="AX533" s="354"/>
      <c r="AY533" s="354"/>
      <c r="AZ533" s="354"/>
    </row>
    <row r="534" spans="3:52" x14ac:dyDescent="0.25">
      <c r="C534" s="354"/>
      <c r="D534" s="354"/>
      <c r="E534" s="354"/>
      <c r="F534" s="354"/>
      <c r="G534" s="354"/>
      <c r="H534" s="354"/>
      <c r="I534" s="354"/>
      <c r="J534" s="354"/>
      <c r="K534" s="354"/>
      <c r="L534" s="354"/>
      <c r="M534" s="354"/>
      <c r="N534" s="354"/>
      <c r="O534" s="354"/>
      <c r="P534" s="354"/>
      <c r="Q534" s="354"/>
      <c r="R534" s="370"/>
      <c r="S534" s="354"/>
      <c r="T534" s="354"/>
      <c r="U534" s="354"/>
      <c r="V534" s="354"/>
      <c r="W534" s="354"/>
      <c r="X534" s="354"/>
      <c r="Y534" s="354"/>
      <c r="Z534" s="354"/>
      <c r="AA534" s="354"/>
      <c r="AB534" s="354"/>
      <c r="AC534" s="354"/>
      <c r="AD534" s="354"/>
      <c r="AE534" s="354"/>
      <c r="AF534" s="354"/>
      <c r="AG534" s="354"/>
      <c r="AH534" s="354"/>
      <c r="AI534" s="354"/>
      <c r="AJ534" s="354"/>
      <c r="AK534" s="354"/>
      <c r="AL534" s="354"/>
      <c r="AM534" s="354"/>
      <c r="AN534" s="354"/>
      <c r="AO534" s="354"/>
      <c r="AP534" s="354"/>
      <c r="AQ534" s="354"/>
      <c r="AR534" s="354"/>
      <c r="AS534" s="354"/>
      <c r="AT534" s="354"/>
      <c r="AU534" s="354"/>
      <c r="AV534" s="354"/>
      <c r="AW534" s="354"/>
      <c r="AX534" s="354"/>
      <c r="AY534" s="354"/>
      <c r="AZ534" s="354"/>
    </row>
    <row r="535" spans="3:52" x14ac:dyDescent="0.25">
      <c r="C535" s="354"/>
      <c r="D535" s="354"/>
      <c r="E535" s="354"/>
      <c r="F535" s="354"/>
      <c r="G535" s="354"/>
      <c r="H535" s="354"/>
      <c r="I535" s="354"/>
      <c r="J535" s="354"/>
      <c r="K535" s="354"/>
      <c r="L535" s="354"/>
      <c r="M535" s="354"/>
      <c r="N535" s="354"/>
      <c r="O535" s="354"/>
      <c r="P535" s="354"/>
      <c r="Q535" s="354"/>
      <c r="R535" s="370"/>
      <c r="S535" s="354"/>
      <c r="T535" s="354"/>
      <c r="U535" s="354"/>
      <c r="V535" s="354"/>
      <c r="W535" s="354"/>
      <c r="X535" s="354"/>
      <c r="Y535" s="354"/>
      <c r="Z535" s="354"/>
      <c r="AA535" s="354"/>
      <c r="AB535" s="354"/>
      <c r="AC535" s="354"/>
      <c r="AD535" s="354"/>
      <c r="AE535" s="354"/>
      <c r="AF535" s="354"/>
      <c r="AG535" s="354"/>
      <c r="AH535" s="354"/>
      <c r="AI535" s="354"/>
      <c r="AJ535" s="354"/>
      <c r="AK535" s="354"/>
      <c r="AL535" s="354"/>
      <c r="AM535" s="354"/>
      <c r="AN535" s="354"/>
      <c r="AO535" s="354"/>
      <c r="AP535" s="354"/>
      <c r="AQ535" s="354"/>
      <c r="AR535" s="354"/>
      <c r="AS535" s="354"/>
      <c r="AT535" s="354"/>
      <c r="AU535" s="354"/>
      <c r="AV535" s="354"/>
      <c r="AW535" s="354"/>
      <c r="AX535" s="354"/>
      <c r="AY535" s="354"/>
      <c r="AZ535" s="354"/>
    </row>
    <row r="536" spans="3:52" x14ac:dyDescent="0.25">
      <c r="C536" s="354"/>
      <c r="D536" s="354"/>
      <c r="E536" s="354"/>
      <c r="F536" s="354"/>
      <c r="G536" s="354"/>
      <c r="H536" s="354"/>
      <c r="I536" s="354"/>
      <c r="J536" s="354"/>
      <c r="K536" s="354"/>
      <c r="L536" s="354"/>
      <c r="M536" s="354"/>
      <c r="N536" s="354"/>
      <c r="O536" s="354"/>
      <c r="P536" s="354"/>
      <c r="Q536" s="354"/>
      <c r="R536" s="370"/>
      <c r="S536" s="354"/>
      <c r="T536" s="354"/>
      <c r="U536" s="354"/>
      <c r="V536" s="354"/>
      <c r="W536" s="354"/>
      <c r="X536" s="354"/>
      <c r="Y536" s="354"/>
      <c r="Z536" s="354"/>
      <c r="AA536" s="354"/>
      <c r="AB536" s="354"/>
      <c r="AC536" s="354"/>
      <c r="AD536" s="354"/>
      <c r="AE536" s="354"/>
      <c r="AF536" s="354"/>
      <c r="AG536" s="354"/>
      <c r="AH536" s="354"/>
      <c r="AI536" s="354"/>
      <c r="AJ536" s="354"/>
      <c r="AK536" s="354"/>
      <c r="AL536" s="354"/>
      <c r="AM536" s="354"/>
      <c r="AN536" s="354"/>
      <c r="AO536" s="354"/>
      <c r="AP536" s="354"/>
      <c r="AQ536" s="354"/>
      <c r="AR536" s="354"/>
      <c r="AS536" s="354"/>
      <c r="AT536" s="354"/>
      <c r="AU536" s="354"/>
      <c r="AV536" s="354"/>
      <c r="AW536" s="354"/>
      <c r="AX536" s="354"/>
      <c r="AY536" s="354"/>
      <c r="AZ536" s="354"/>
    </row>
    <row r="537" spans="3:52" x14ac:dyDescent="0.25">
      <c r="C537" s="354"/>
      <c r="D537" s="354"/>
      <c r="E537" s="354"/>
      <c r="F537" s="354"/>
      <c r="G537" s="354"/>
      <c r="H537" s="354"/>
      <c r="I537" s="354"/>
      <c r="J537" s="354"/>
      <c r="K537" s="354"/>
      <c r="L537" s="354"/>
      <c r="M537" s="354"/>
      <c r="N537" s="354"/>
      <c r="O537" s="354"/>
      <c r="P537" s="354"/>
      <c r="Q537" s="354"/>
      <c r="R537" s="370"/>
      <c r="S537" s="354"/>
      <c r="T537" s="354"/>
      <c r="U537" s="354"/>
      <c r="V537" s="354"/>
      <c r="W537" s="354"/>
      <c r="X537" s="354"/>
      <c r="Y537" s="354"/>
      <c r="Z537" s="354"/>
      <c r="AA537" s="354"/>
      <c r="AB537" s="354"/>
      <c r="AC537" s="354"/>
      <c r="AD537" s="354"/>
      <c r="AE537" s="354"/>
      <c r="AF537" s="354"/>
      <c r="AG537" s="354"/>
      <c r="AH537" s="354"/>
      <c r="AI537" s="354"/>
      <c r="AJ537" s="354"/>
      <c r="AK537" s="354"/>
      <c r="AL537" s="354"/>
      <c r="AM537" s="354"/>
      <c r="AN537" s="354"/>
      <c r="AO537" s="354"/>
      <c r="AP537" s="354"/>
      <c r="AQ537" s="354"/>
      <c r="AR537" s="354"/>
      <c r="AS537" s="354"/>
      <c r="AT537" s="354"/>
      <c r="AU537" s="354"/>
      <c r="AV537" s="354"/>
      <c r="AW537" s="354"/>
      <c r="AX537" s="354"/>
      <c r="AY537" s="354"/>
      <c r="AZ537" s="354"/>
    </row>
    <row r="538" spans="3:52" x14ac:dyDescent="0.25">
      <c r="C538" s="354"/>
      <c r="D538" s="354"/>
      <c r="E538" s="354"/>
      <c r="F538" s="354"/>
      <c r="G538" s="354"/>
      <c r="H538" s="354"/>
      <c r="I538" s="354"/>
      <c r="J538" s="354"/>
      <c r="K538" s="354"/>
      <c r="L538" s="354"/>
      <c r="M538" s="354"/>
      <c r="N538" s="354"/>
      <c r="O538" s="354"/>
      <c r="P538" s="354"/>
      <c r="Q538" s="354"/>
      <c r="R538" s="370"/>
      <c r="S538" s="354"/>
      <c r="T538" s="354"/>
      <c r="U538" s="354"/>
      <c r="V538" s="354"/>
      <c r="W538" s="354"/>
      <c r="X538" s="354"/>
      <c r="Y538" s="354"/>
      <c r="Z538" s="354"/>
      <c r="AA538" s="354"/>
      <c r="AB538" s="354"/>
      <c r="AC538" s="354"/>
      <c r="AD538" s="354"/>
      <c r="AE538" s="354"/>
      <c r="AF538" s="354"/>
      <c r="AG538" s="354"/>
      <c r="AH538" s="354"/>
      <c r="AI538" s="354"/>
      <c r="AJ538" s="354"/>
      <c r="AK538" s="354"/>
      <c r="AL538" s="354"/>
      <c r="AM538" s="354"/>
      <c r="AN538" s="354"/>
      <c r="AO538" s="354"/>
      <c r="AP538" s="354"/>
      <c r="AQ538" s="354"/>
      <c r="AR538" s="354"/>
      <c r="AS538" s="354"/>
      <c r="AT538" s="354"/>
      <c r="AU538" s="354"/>
      <c r="AV538" s="354"/>
      <c r="AW538" s="354"/>
      <c r="AX538" s="354"/>
      <c r="AY538" s="354"/>
      <c r="AZ538" s="354"/>
    </row>
    <row r="539" spans="3:52" x14ac:dyDescent="0.25">
      <c r="C539" s="354"/>
      <c r="D539" s="354"/>
      <c r="E539" s="354"/>
      <c r="F539" s="354"/>
      <c r="G539" s="354"/>
      <c r="H539" s="354"/>
      <c r="I539" s="354"/>
      <c r="J539" s="354"/>
      <c r="K539" s="354"/>
      <c r="L539" s="354"/>
      <c r="M539" s="354"/>
      <c r="N539" s="354"/>
      <c r="O539" s="354"/>
      <c r="P539" s="354"/>
      <c r="Q539" s="354"/>
      <c r="R539" s="370"/>
      <c r="S539" s="354"/>
      <c r="T539" s="354"/>
      <c r="U539" s="354"/>
      <c r="V539" s="354"/>
      <c r="W539" s="354"/>
      <c r="X539" s="354"/>
      <c r="Y539" s="354"/>
      <c r="Z539" s="354"/>
      <c r="AA539" s="354"/>
      <c r="AB539" s="354"/>
      <c r="AC539" s="354"/>
      <c r="AD539" s="354"/>
      <c r="AE539" s="354"/>
      <c r="AF539" s="354"/>
      <c r="AG539" s="354"/>
      <c r="AH539" s="354"/>
      <c r="AI539" s="354"/>
      <c r="AJ539" s="354"/>
      <c r="AK539" s="354"/>
      <c r="AL539" s="354"/>
      <c r="AM539" s="354"/>
      <c r="AN539" s="354"/>
      <c r="AO539" s="354"/>
      <c r="AP539" s="354"/>
      <c r="AQ539" s="354"/>
      <c r="AR539" s="354"/>
      <c r="AS539" s="354"/>
      <c r="AT539" s="354"/>
      <c r="AU539" s="354"/>
      <c r="AV539" s="354"/>
      <c r="AW539" s="354"/>
      <c r="AX539" s="354"/>
      <c r="AY539" s="354"/>
      <c r="AZ539" s="354"/>
    </row>
    <row r="540" spans="3:52" x14ac:dyDescent="0.25">
      <c r="C540" s="354"/>
      <c r="D540" s="354"/>
      <c r="E540" s="354"/>
      <c r="F540" s="354"/>
      <c r="G540" s="354"/>
      <c r="H540" s="354"/>
      <c r="I540" s="354"/>
      <c r="J540" s="354"/>
      <c r="K540" s="354"/>
      <c r="L540" s="354"/>
      <c r="M540" s="354"/>
      <c r="N540" s="354"/>
      <c r="O540" s="354"/>
      <c r="P540" s="354"/>
      <c r="Q540" s="354"/>
      <c r="R540" s="370"/>
      <c r="S540" s="354"/>
      <c r="T540" s="354"/>
      <c r="U540" s="354"/>
      <c r="V540" s="354"/>
      <c r="W540" s="354"/>
      <c r="X540" s="354"/>
      <c r="Y540" s="354"/>
      <c r="Z540" s="354"/>
      <c r="AA540" s="354"/>
      <c r="AB540" s="354"/>
      <c r="AC540" s="354"/>
      <c r="AD540" s="354"/>
      <c r="AE540" s="354"/>
      <c r="AF540" s="354"/>
      <c r="AG540" s="354"/>
      <c r="AH540" s="354"/>
      <c r="AI540" s="354"/>
      <c r="AJ540" s="354"/>
      <c r="AK540" s="354"/>
      <c r="AL540" s="354"/>
      <c r="AM540" s="354"/>
      <c r="AN540" s="354"/>
      <c r="AO540" s="354"/>
      <c r="AP540" s="354"/>
      <c r="AQ540" s="354"/>
      <c r="AR540" s="354"/>
      <c r="AS540" s="354"/>
      <c r="AT540" s="354"/>
      <c r="AU540" s="354"/>
      <c r="AV540" s="354"/>
      <c r="AW540" s="354"/>
      <c r="AX540" s="354"/>
      <c r="AY540" s="354"/>
      <c r="AZ540" s="354"/>
    </row>
    <row r="541" spans="3:52" x14ac:dyDescent="0.25">
      <c r="C541" s="354"/>
      <c r="D541" s="354"/>
      <c r="E541" s="354"/>
      <c r="F541" s="354"/>
      <c r="G541" s="354"/>
      <c r="H541" s="354"/>
      <c r="I541" s="354"/>
      <c r="J541" s="354"/>
      <c r="K541" s="354"/>
      <c r="L541" s="354"/>
      <c r="M541" s="354"/>
      <c r="N541" s="354"/>
      <c r="O541" s="354"/>
      <c r="P541" s="354"/>
      <c r="Q541" s="354"/>
      <c r="R541" s="370"/>
      <c r="S541" s="354"/>
      <c r="T541" s="354"/>
      <c r="U541" s="354"/>
      <c r="V541" s="354"/>
      <c r="W541" s="354"/>
      <c r="X541" s="354"/>
      <c r="Y541" s="354"/>
      <c r="Z541" s="354"/>
      <c r="AA541" s="354"/>
      <c r="AB541" s="354"/>
      <c r="AC541" s="354"/>
      <c r="AD541" s="354"/>
      <c r="AE541" s="354"/>
      <c r="AF541" s="354"/>
      <c r="AG541" s="354"/>
      <c r="AH541" s="354"/>
      <c r="AI541" s="354"/>
      <c r="AJ541" s="354"/>
      <c r="AK541" s="354"/>
      <c r="AL541" s="354"/>
      <c r="AM541" s="354"/>
      <c r="AN541" s="354"/>
      <c r="AO541" s="354"/>
      <c r="AP541" s="354"/>
      <c r="AQ541" s="354"/>
      <c r="AR541" s="354"/>
      <c r="AS541" s="354"/>
      <c r="AT541" s="354"/>
      <c r="AU541" s="354"/>
      <c r="AV541" s="354"/>
      <c r="AW541" s="354"/>
      <c r="AX541" s="354"/>
      <c r="AY541" s="354"/>
      <c r="AZ541" s="354"/>
    </row>
    <row r="542" spans="3:52" x14ac:dyDescent="0.25">
      <c r="C542" s="354"/>
      <c r="D542" s="354"/>
      <c r="E542" s="354"/>
      <c r="F542" s="354"/>
      <c r="G542" s="354"/>
      <c r="H542" s="354"/>
      <c r="I542" s="354"/>
      <c r="J542" s="354"/>
      <c r="K542" s="354"/>
      <c r="L542" s="354"/>
      <c r="M542" s="354"/>
      <c r="N542" s="354"/>
      <c r="O542" s="354"/>
      <c r="P542" s="354"/>
      <c r="Q542" s="354"/>
      <c r="R542" s="370"/>
      <c r="S542" s="354"/>
      <c r="T542" s="354"/>
      <c r="U542" s="354"/>
      <c r="V542" s="354"/>
      <c r="W542" s="354"/>
      <c r="X542" s="354"/>
      <c r="Y542" s="354"/>
      <c r="Z542" s="354"/>
      <c r="AA542" s="354"/>
      <c r="AB542" s="354"/>
      <c r="AC542" s="354"/>
      <c r="AD542" s="354"/>
      <c r="AE542" s="354"/>
      <c r="AF542" s="354"/>
      <c r="AG542" s="354"/>
      <c r="AH542" s="354"/>
      <c r="AI542" s="354"/>
      <c r="AJ542" s="354"/>
      <c r="AK542" s="354"/>
      <c r="AL542" s="354"/>
      <c r="AM542" s="354"/>
      <c r="AN542" s="354"/>
      <c r="AO542" s="354"/>
      <c r="AP542" s="354"/>
      <c r="AQ542" s="354"/>
      <c r="AR542" s="354"/>
      <c r="AS542" s="354"/>
      <c r="AT542" s="354"/>
      <c r="AU542" s="354"/>
      <c r="AV542" s="354"/>
      <c r="AW542" s="354"/>
      <c r="AX542" s="354"/>
      <c r="AY542" s="354"/>
      <c r="AZ542" s="354"/>
    </row>
    <row r="543" spans="3:52" x14ac:dyDescent="0.25">
      <c r="C543" s="354"/>
      <c r="D543" s="354"/>
      <c r="E543" s="354"/>
      <c r="F543" s="354"/>
      <c r="G543" s="354"/>
      <c r="H543" s="354"/>
      <c r="I543" s="354"/>
      <c r="J543" s="354"/>
      <c r="K543" s="354"/>
      <c r="L543" s="354"/>
      <c r="M543" s="354"/>
      <c r="N543" s="354"/>
      <c r="O543" s="354"/>
      <c r="P543" s="354"/>
      <c r="Q543" s="354"/>
      <c r="R543" s="370"/>
      <c r="S543" s="354"/>
      <c r="T543" s="354"/>
      <c r="U543" s="354"/>
      <c r="V543" s="354"/>
      <c r="W543" s="354"/>
      <c r="X543" s="354"/>
      <c r="Y543" s="354"/>
      <c r="Z543" s="354"/>
      <c r="AA543" s="354"/>
      <c r="AB543" s="354"/>
      <c r="AC543" s="354"/>
      <c r="AD543" s="354"/>
      <c r="AE543" s="354"/>
      <c r="AF543" s="354"/>
      <c r="AG543" s="354"/>
      <c r="AH543" s="354"/>
      <c r="AI543" s="354"/>
      <c r="AJ543" s="354"/>
      <c r="AK543" s="354"/>
      <c r="AL543" s="354"/>
      <c r="AM543" s="354"/>
      <c r="AN543" s="354"/>
      <c r="AO543" s="354"/>
      <c r="AP543" s="354"/>
      <c r="AQ543" s="354"/>
      <c r="AR543" s="354"/>
      <c r="AS543" s="354"/>
      <c r="AT543" s="354"/>
      <c r="AU543" s="354"/>
      <c r="AV543" s="354"/>
      <c r="AW543" s="354"/>
      <c r="AX543" s="354"/>
      <c r="AY543" s="354"/>
      <c r="AZ543" s="354"/>
    </row>
    <row r="544" spans="3:52" x14ac:dyDescent="0.25">
      <c r="C544" s="354"/>
      <c r="D544" s="354"/>
      <c r="E544" s="354"/>
      <c r="F544" s="354"/>
      <c r="G544" s="354"/>
      <c r="H544" s="354"/>
      <c r="I544" s="354"/>
      <c r="J544" s="354"/>
      <c r="K544" s="354"/>
      <c r="L544" s="354"/>
      <c r="M544" s="354"/>
      <c r="N544" s="354"/>
      <c r="O544" s="354"/>
      <c r="P544" s="354"/>
      <c r="Q544" s="354"/>
      <c r="R544" s="370"/>
      <c r="S544" s="354"/>
      <c r="T544" s="354"/>
      <c r="U544" s="354"/>
      <c r="V544" s="354"/>
      <c r="W544" s="354"/>
      <c r="X544" s="354"/>
      <c r="Y544" s="354"/>
      <c r="Z544" s="354"/>
      <c r="AA544" s="354"/>
      <c r="AB544" s="354"/>
      <c r="AC544" s="354"/>
      <c r="AD544" s="354"/>
      <c r="AE544" s="354"/>
      <c r="AF544" s="354"/>
      <c r="AG544" s="354"/>
      <c r="AH544" s="354"/>
      <c r="AI544" s="354"/>
      <c r="AJ544" s="354"/>
      <c r="AK544" s="354"/>
      <c r="AL544" s="354"/>
      <c r="AM544" s="354"/>
      <c r="AN544" s="354"/>
      <c r="AO544" s="354"/>
      <c r="AP544" s="354"/>
      <c r="AQ544" s="354"/>
      <c r="AR544" s="354"/>
      <c r="AS544" s="354"/>
      <c r="AT544" s="354"/>
      <c r="AU544" s="354"/>
      <c r="AV544" s="354"/>
      <c r="AW544" s="354"/>
      <c r="AX544" s="354"/>
      <c r="AY544" s="354"/>
      <c r="AZ544" s="354"/>
    </row>
    <row r="545" spans="3:52" x14ac:dyDescent="0.25">
      <c r="C545" s="354"/>
      <c r="D545" s="354"/>
      <c r="E545" s="354"/>
      <c r="F545" s="354"/>
      <c r="G545" s="354"/>
      <c r="H545" s="354"/>
      <c r="I545" s="354"/>
      <c r="J545" s="354"/>
      <c r="K545" s="354"/>
      <c r="L545" s="354"/>
      <c r="M545" s="354"/>
      <c r="N545" s="354"/>
      <c r="O545" s="354"/>
      <c r="P545" s="354"/>
      <c r="Q545" s="354"/>
      <c r="R545" s="370"/>
      <c r="S545" s="354"/>
      <c r="T545" s="354"/>
      <c r="U545" s="354"/>
      <c r="V545" s="354"/>
      <c r="W545" s="354"/>
      <c r="X545" s="354"/>
      <c r="Y545" s="354"/>
      <c r="Z545" s="354"/>
      <c r="AA545" s="354"/>
      <c r="AB545" s="354"/>
      <c r="AC545" s="354"/>
      <c r="AD545" s="354"/>
      <c r="AE545" s="354"/>
      <c r="AF545" s="354"/>
      <c r="AG545" s="354"/>
      <c r="AH545" s="354"/>
      <c r="AI545" s="354"/>
      <c r="AJ545" s="354"/>
      <c r="AK545" s="354"/>
      <c r="AL545" s="354"/>
      <c r="AM545" s="354"/>
      <c r="AN545" s="354"/>
      <c r="AO545" s="354"/>
      <c r="AP545" s="354"/>
      <c r="AQ545" s="354"/>
      <c r="AR545" s="354"/>
      <c r="AS545" s="354"/>
      <c r="AT545" s="354"/>
      <c r="AU545" s="354"/>
      <c r="AV545" s="354"/>
      <c r="AW545" s="354"/>
      <c r="AX545" s="354"/>
      <c r="AY545" s="354"/>
      <c r="AZ545" s="354"/>
    </row>
    <row r="546" spans="3:52" x14ac:dyDescent="0.25">
      <c r="C546" s="354"/>
      <c r="D546" s="354"/>
      <c r="E546" s="354"/>
      <c r="F546" s="354"/>
      <c r="G546" s="354"/>
      <c r="H546" s="354"/>
      <c r="I546" s="354"/>
      <c r="J546" s="354"/>
      <c r="K546" s="354"/>
      <c r="L546" s="354"/>
      <c r="M546" s="354"/>
      <c r="N546" s="354"/>
      <c r="O546" s="354"/>
      <c r="P546" s="354"/>
      <c r="Q546" s="354"/>
      <c r="R546" s="370"/>
      <c r="S546" s="354"/>
      <c r="T546" s="354"/>
      <c r="U546" s="354"/>
      <c r="V546" s="354"/>
      <c r="W546" s="354"/>
      <c r="X546" s="354"/>
      <c r="Y546" s="354"/>
      <c r="Z546" s="354"/>
      <c r="AA546" s="354"/>
      <c r="AB546" s="354"/>
      <c r="AC546" s="354"/>
      <c r="AD546" s="354"/>
      <c r="AE546" s="354"/>
      <c r="AF546" s="354"/>
      <c r="AG546" s="354"/>
      <c r="AH546" s="354"/>
      <c r="AI546" s="354"/>
      <c r="AJ546" s="354"/>
      <c r="AK546" s="354"/>
      <c r="AL546" s="354"/>
      <c r="AM546" s="354"/>
      <c r="AN546" s="354"/>
      <c r="AO546" s="354"/>
      <c r="AP546" s="354"/>
      <c r="AQ546" s="354"/>
      <c r="AR546" s="354"/>
      <c r="AS546" s="354"/>
      <c r="AT546" s="354"/>
      <c r="AU546" s="354"/>
      <c r="AV546" s="354"/>
      <c r="AW546" s="354"/>
      <c r="AX546" s="354"/>
      <c r="AY546" s="354"/>
      <c r="AZ546" s="354"/>
    </row>
    <row r="547" spans="3:52" x14ac:dyDescent="0.25">
      <c r="C547" s="354"/>
      <c r="D547" s="354"/>
      <c r="E547" s="354"/>
      <c r="F547" s="354"/>
      <c r="G547" s="354"/>
      <c r="H547" s="354"/>
      <c r="I547" s="354"/>
      <c r="J547" s="354"/>
      <c r="K547" s="354"/>
      <c r="L547" s="354"/>
      <c r="M547" s="354"/>
      <c r="N547" s="354"/>
      <c r="O547" s="354"/>
      <c r="P547" s="354"/>
      <c r="Q547" s="354"/>
      <c r="R547" s="370"/>
      <c r="S547" s="354"/>
      <c r="T547" s="354"/>
      <c r="U547" s="354"/>
      <c r="V547" s="354"/>
      <c r="W547" s="354"/>
      <c r="X547" s="354"/>
      <c r="Y547" s="354"/>
      <c r="Z547" s="354"/>
      <c r="AA547" s="354"/>
      <c r="AB547" s="354"/>
      <c r="AC547" s="354"/>
      <c r="AD547" s="354"/>
      <c r="AE547" s="354"/>
      <c r="AF547" s="354"/>
      <c r="AG547" s="354"/>
      <c r="AH547" s="354"/>
      <c r="AI547" s="354"/>
      <c r="AJ547" s="354"/>
      <c r="AK547" s="354"/>
      <c r="AL547" s="354"/>
      <c r="AM547" s="354"/>
      <c r="AN547" s="354"/>
      <c r="AO547" s="354"/>
      <c r="AP547" s="354"/>
      <c r="AQ547" s="354"/>
      <c r="AR547" s="354"/>
      <c r="AS547" s="354"/>
      <c r="AT547" s="354"/>
      <c r="AU547" s="354"/>
      <c r="AV547" s="354"/>
      <c r="AW547" s="354"/>
      <c r="AX547" s="354"/>
      <c r="AY547" s="354"/>
      <c r="AZ547" s="354"/>
    </row>
    <row r="548" spans="3:52" x14ac:dyDescent="0.25">
      <c r="C548" s="354"/>
      <c r="D548" s="354"/>
      <c r="E548" s="354"/>
      <c r="F548" s="354"/>
      <c r="G548" s="354"/>
      <c r="H548" s="354"/>
      <c r="I548" s="354"/>
      <c r="J548" s="354"/>
      <c r="K548" s="354"/>
      <c r="L548" s="354"/>
      <c r="M548" s="354"/>
      <c r="N548" s="354"/>
      <c r="O548" s="354"/>
      <c r="P548" s="354"/>
      <c r="Q548" s="354"/>
      <c r="R548" s="370"/>
      <c r="S548" s="354"/>
      <c r="T548" s="354"/>
      <c r="U548" s="354"/>
      <c r="V548" s="354"/>
      <c r="W548" s="354"/>
      <c r="X548" s="354"/>
      <c r="Y548" s="354"/>
      <c r="Z548" s="354"/>
      <c r="AA548" s="354"/>
      <c r="AB548" s="354"/>
      <c r="AC548" s="354"/>
      <c r="AD548" s="354"/>
      <c r="AE548" s="354"/>
      <c r="AF548" s="354"/>
      <c r="AG548" s="354"/>
      <c r="AH548" s="354"/>
      <c r="AI548" s="354"/>
      <c r="AJ548" s="354"/>
      <c r="AK548" s="354"/>
      <c r="AL548" s="354"/>
      <c r="AM548" s="354"/>
      <c r="AN548" s="354"/>
      <c r="AO548" s="354"/>
      <c r="AP548" s="354"/>
      <c r="AQ548" s="354"/>
      <c r="AR548" s="354"/>
      <c r="AS548" s="354"/>
      <c r="AT548" s="354"/>
      <c r="AU548" s="354"/>
      <c r="AV548" s="354"/>
      <c r="AW548" s="354"/>
      <c r="AX548" s="354"/>
      <c r="AY548" s="354"/>
      <c r="AZ548" s="354"/>
    </row>
    <row r="549" spans="3:52" x14ac:dyDescent="0.25">
      <c r="C549" s="354"/>
      <c r="D549" s="354"/>
      <c r="E549" s="354"/>
      <c r="F549" s="354"/>
      <c r="G549" s="354"/>
      <c r="H549" s="354"/>
      <c r="I549" s="354"/>
      <c r="J549" s="354"/>
      <c r="K549" s="354"/>
      <c r="L549" s="354"/>
      <c r="M549" s="354"/>
      <c r="N549" s="354"/>
      <c r="O549" s="354"/>
      <c r="P549" s="354"/>
      <c r="Q549" s="354"/>
      <c r="R549" s="370"/>
      <c r="S549" s="354"/>
      <c r="T549" s="354"/>
      <c r="U549" s="354"/>
      <c r="V549" s="354"/>
      <c r="W549" s="354"/>
      <c r="X549" s="354"/>
      <c r="Y549" s="354"/>
      <c r="Z549" s="354"/>
      <c r="AA549" s="354"/>
      <c r="AB549" s="354"/>
      <c r="AC549" s="354"/>
      <c r="AD549" s="354"/>
      <c r="AE549" s="354"/>
      <c r="AF549" s="354"/>
      <c r="AG549" s="354"/>
      <c r="AH549" s="354"/>
      <c r="AI549" s="354"/>
      <c r="AJ549" s="354"/>
      <c r="AK549" s="354"/>
      <c r="AL549" s="354"/>
      <c r="AM549" s="354"/>
      <c r="AN549" s="354"/>
      <c r="AO549" s="354"/>
      <c r="AP549" s="354"/>
      <c r="AQ549" s="354"/>
      <c r="AR549" s="354"/>
      <c r="AS549" s="354"/>
      <c r="AT549" s="354"/>
      <c r="AU549" s="354"/>
      <c r="AV549" s="354"/>
      <c r="AW549" s="354"/>
      <c r="AX549" s="354"/>
      <c r="AY549" s="354"/>
      <c r="AZ549" s="354"/>
    </row>
    <row r="550" spans="3:52" x14ac:dyDescent="0.25">
      <c r="C550" s="354"/>
      <c r="D550" s="354"/>
      <c r="E550" s="354"/>
      <c r="F550" s="354"/>
      <c r="G550" s="354"/>
      <c r="H550" s="354"/>
      <c r="I550" s="354"/>
      <c r="J550" s="354"/>
      <c r="K550" s="354"/>
      <c r="L550" s="354"/>
      <c r="M550" s="354"/>
      <c r="N550" s="354"/>
      <c r="O550" s="354"/>
      <c r="P550" s="354"/>
      <c r="Q550" s="354"/>
      <c r="R550" s="370"/>
      <c r="S550" s="354"/>
      <c r="T550" s="354"/>
      <c r="U550" s="354"/>
      <c r="V550" s="354"/>
      <c r="W550" s="354"/>
      <c r="X550" s="354"/>
      <c r="Y550" s="354"/>
      <c r="Z550" s="354"/>
      <c r="AA550" s="354"/>
      <c r="AB550" s="354"/>
      <c r="AC550" s="354"/>
      <c r="AD550" s="354"/>
      <c r="AE550" s="354"/>
      <c r="AF550" s="354"/>
      <c r="AG550" s="354"/>
      <c r="AH550" s="354"/>
      <c r="AI550" s="354"/>
      <c r="AJ550" s="354"/>
      <c r="AK550" s="354"/>
      <c r="AL550" s="354"/>
      <c r="AM550" s="354"/>
      <c r="AN550" s="354"/>
      <c r="AO550" s="354"/>
      <c r="AP550" s="354"/>
      <c r="AQ550" s="354"/>
      <c r="AR550" s="354"/>
      <c r="AS550" s="354"/>
      <c r="AT550" s="354"/>
      <c r="AU550" s="354"/>
      <c r="AV550" s="354"/>
      <c r="AW550" s="354"/>
      <c r="AX550" s="354"/>
      <c r="AY550" s="354"/>
      <c r="AZ550" s="354"/>
    </row>
    <row r="551" spans="3:52" x14ac:dyDescent="0.25">
      <c r="C551" s="354"/>
      <c r="D551" s="354"/>
      <c r="E551" s="354"/>
      <c r="F551" s="354"/>
      <c r="G551" s="354"/>
      <c r="H551" s="354"/>
      <c r="I551" s="354"/>
      <c r="J551" s="354"/>
      <c r="K551" s="354"/>
      <c r="L551" s="354"/>
      <c r="M551" s="354"/>
      <c r="N551" s="354"/>
      <c r="O551" s="354"/>
      <c r="P551" s="354"/>
      <c r="Q551" s="354"/>
      <c r="R551" s="370"/>
      <c r="S551" s="354"/>
      <c r="T551" s="354"/>
      <c r="U551" s="354"/>
      <c r="V551" s="354"/>
      <c r="W551" s="354"/>
      <c r="X551" s="354"/>
      <c r="Y551" s="354"/>
      <c r="Z551" s="354"/>
      <c r="AA551" s="354"/>
      <c r="AB551" s="354"/>
      <c r="AC551" s="354"/>
      <c r="AD551" s="354"/>
      <c r="AE551" s="354"/>
      <c r="AF551" s="354"/>
      <c r="AG551" s="354"/>
      <c r="AH551" s="354"/>
      <c r="AI551" s="354"/>
      <c r="AJ551" s="354"/>
      <c r="AK551" s="354"/>
      <c r="AL551" s="354"/>
      <c r="AM551" s="354"/>
      <c r="AN551" s="354"/>
      <c r="AO551" s="354"/>
      <c r="AP551" s="354"/>
      <c r="AQ551" s="354"/>
      <c r="AR551" s="354"/>
      <c r="AS551" s="354"/>
      <c r="AT551" s="354"/>
      <c r="AU551" s="354"/>
      <c r="AV551" s="354"/>
      <c r="AW551" s="354"/>
      <c r="AX551" s="354"/>
      <c r="AY551" s="354"/>
      <c r="AZ551" s="354"/>
    </row>
    <row r="552" spans="3:52" x14ac:dyDescent="0.25">
      <c r="C552" s="354"/>
      <c r="D552" s="354"/>
      <c r="E552" s="354"/>
      <c r="F552" s="354"/>
      <c r="G552" s="354"/>
      <c r="H552" s="354"/>
      <c r="I552" s="354"/>
      <c r="J552" s="354"/>
      <c r="K552" s="354"/>
      <c r="L552" s="354"/>
      <c r="M552" s="354"/>
      <c r="N552" s="354"/>
      <c r="O552" s="354"/>
      <c r="P552" s="354"/>
      <c r="Q552" s="354"/>
      <c r="R552" s="370"/>
      <c r="S552" s="354"/>
      <c r="T552" s="354"/>
      <c r="U552" s="354"/>
      <c r="V552" s="354"/>
      <c r="W552" s="354"/>
      <c r="X552" s="354"/>
      <c r="Y552" s="354"/>
      <c r="Z552" s="354"/>
      <c r="AA552" s="354"/>
      <c r="AB552" s="354"/>
      <c r="AC552" s="354"/>
      <c r="AD552" s="354"/>
      <c r="AE552" s="354"/>
      <c r="AF552" s="354"/>
      <c r="AG552" s="354"/>
      <c r="AH552" s="354"/>
      <c r="AI552" s="354"/>
      <c r="AJ552" s="354"/>
      <c r="AK552" s="354"/>
      <c r="AL552" s="354"/>
      <c r="AM552" s="354"/>
      <c r="AN552" s="354"/>
      <c r="AO552" s="354"/>
      <c r="AP552" s="354"/>
      <c r="AQ552" s="354"/>
      <c r="AR552" s="354"/>
      <c r="AS552" s="354"/>
      <c r="AT552" s="354"/>
      <c r="AU552" s="354"/>
      <c r="AV552" s="354"/>
      <c r="AW552" s="354"/>
      <c r="AX552" s="354"/>
      <c r="AY552" s="354"/>
      <c r="AZ552" s="354"/>
    </row>
    <row r="553" spans="3:52" x14ac:dyDescent="0.25">
      <c r="C553" s="354"/>
      <c r="D553" s="354"/>
      <c r="E553" s="354"/>
      <c r="F553" s="354"/>
      <c r="G553" s="354"/>
      <c r="H553" s="354"/>
      <c r="I553" s="354"/>
      <c r="J553" s="354"/>
      <c r="K553" s="354"/>
      <c r="L553" s="354"/>
      <c r="M553" s="354"/>
      <c r="N553" s="354"/>
      <c r="O553" s="354"/>
      <c r="P553" s="354"/>
      <c r="Q553" s="354"/>
      <c r="R553" s="370"/>
      <c r="S553" s="354"/>
      <c r="T553" s="354"/>
      <c r="U553" s="354"/>
      <c r="V553" s="354"/>
      <c r="W553" s="354"/>
      <c r="X553" s="354"/>
      <c r="Y553" s="354"/>
      <c r="Z553" s="354"/>
      <c r="AA553" s="354"/>
      <c r="AB553" s="354"/>
      <c r="AC553" s="354"/>
      <c r="AD553" s="354"/>
      <c r="AE553" s="354"/>
      <c r="AF553" s="354"/>
      <c r="AG553" s="354"/>
      <c r="AH553" s="354"/>
      <c r="AI553" s="354"/>
      <c r="AJ553" s="354"/>
      <c r="AK553" s="354"/>
      <c r="AL553" s="354"/>
      <c r="AM553" s="354"/>
      <c r="AN553" s="354"/>
      <c r="AO553" s="354"/>
      <c r="AP553" s="354"/>
      <c r="AQ553" s="354"/>
      <c r="AR553" s="354"/>
      <c r="AS553" s="354"/>
      <c r="AT553" s="354"/>
      <c r="AU553" s="354"/>
      <c r="AV553" s="354"/>
      <c r="AW553" s="354"/>
      <c r="AX553" s="354"/>
      <c r="AY553" s="354"/>
      <c r="AZ553" s="354"/>
    </row>
    <row r="554" spans="3:52" x14ac:dyDescent="0.25">
      <c r="C554" s="354"/>
      <c r="D554" s="354"/>
      <c r="E554" s="354"/>
      <c r="F554" s="354"/>
      <c r="G554" s="354"/>
      <c r="H554" s="354"/>
      <c r="I554" s="354"/>
      <c r="J554" s="354"/>
      <c r="K554" s="354"/>
      <c r="L554" s="354"/>
      <c r="M554" s="354"/>
      <c r="N554" s="354"/>
      <c r="O554" s="354"/>
      <c r="P554" s="354"/>
      <c r="Q554" s="354"/>
      <c r="R554" s="370"/>
      <c r="S554" s="354"/>
      <c r="T554" s="354"/>
      <c r="U554" s="354"/>
      <c r="V554" s="354"/>
      <c r="W554" s="354"/>
      <c r="X554" s="354"/>
      <c r="Y554" s="354"/>
      <c r="Z554" s="354"/>
      <c r="AA554" s="354"/>
      <c r="AB554" s="354"/>
      <c r="AC554" s="354"/>
      <c r="AD554" s="354"/>
      <c r="AE554" s="354"/>
      <c r="AF554" s="354"/>
      <c r="AG554" s="354"/>
      <c r="AH554" s="354"/>
      <c r="AI554" s="354"/>
      <c r="AJ554" s="354"/>
      <c r="AK554" s="354"/>
      <c r="AL554" s="354"/>
      <c r="AM554" s="354"/>
      <c r="AN554" s="354"/>
      <c r="AO554" s="354"/>
      <c r="AP554" s="354"/>
      <c r="AQ554" s="354"/>
      <c r="AR554" s="354"/>
      <c r="AS554" s="354"/>
      <c r="AT554" s="354"/>
      <c r="AU554" s="354"/>
      <c r="AV554" s="354"/>
      <c r="AW554" s="354"/>
      <c r="AX554" s="354"/>
      <c r="AY554" s="354"/>
      <c r="AZ554" s="354"/>
    </row>
    <row r="555" spans="3:52" x14ac:dyDescent="0.25">
      <c r="C555" s="354"/>
      <c r="D555" s="354"/>
      <c r="E555" s="354"/>
      <c r="F555" s="354"/>
      <c r="G555" s="354"/>
      <c r="H555" s="354"/>
      <c r="I555" s="354"/>
      <c r="J555" s="354"/>
      <c r="K555" s="354"/>
      <c r="L555" s="354"/>
      <c r="M555" s="354"/>
      <c r="N555" s="354"/>
      <c r="O555" s="354"/>
      <c r="P555" s="354"/>
      <c r="Q555" s="354"/>
      <c r="R555" s="370"/>
      <c r="S555" s="354"/>
      <c r="T555" s="354"/>
      <c r="U555" s="354"/>
      <c r="V555" s="354"/>
      <c r="W555" s="354"/>
      <c r="X555" s="354"/>
      <c r="Y555" s="354"/>
      <c r="Z555" s="354"/>
      <c r="AA555" s="354"/>
      <c r="AB555" s="354"/>
      <c r="AC555" s="354"/>
      <c r="AD555" s="354"/>
      <c r="AE555" s="354"/>
      <c r="AF555" s="354"/>
      <c r="AG555" s="354"/>
      <c r="AH555" s="354"/>
      <c r="AI555" s="354"/>
      <c r="AJ555" s="354"/>
      <c r="AK555" s="354"/>
      <c r="AL555" s="354"/>
      <c r="AM555" s="354"/>
      <c r="AN555" s="354"/>
      <c r="AO555" s="354"/>
      <c r="AP555" s="354"/>
      <c r="AQ555" s="354"/>
      <c r="AR555" s="354"/>
      <c r="AS555" s="354"/>
      <c r="AT555" s="354"/>
      <c r="AU555" s="354"/>
      <c r="AV555" s="354"/>
      <c r="AW555" s="354"/>
      <c r="AX555" s="354"/>
      <c r="AY555" s="354"/>
      <c r="AZ555" s="354"/>
    </row>
    <row r="556" spans="3:52" x14ac:dyDescent="0.25">
      <c r="C556" s="354"/>
      <c r="D556" s="354"/>
      <c r="E556" s="354"/>
      <c r="F556" s="354"/>
      <c r="G556" s="354"/>
      <c r="H556" s="354"/>
      <c r="I556" s="354"/>
      <c r="J556" s="354"/>
      <c r="K556" s="354"/>
      <c r="L556" s="354"/>
      <c r="M556" s="354"/>
      <c r="N556" s="354"/>
      <c r="O556" s="354"/>
      <c r="P556" s="354"/>
      <c r="Q556" s="354"/>
      <c r="R556" s="370"/>
      <c r="S556" s="354"/>
      <c r="T556" s="354"/>
      <c r="U556" s="354"/>
      <c r="V556" s="354"/>
      <c r="W556" s="354"/>
      <c r="X556" s="354"/>
      <c r="Y556" s="354"/>
      <c r="Z556" s="354"/>
      <c r="AA556" s="354"/>
      <c r="AB556" s="354"/>
      <c r="AC556" s="354"/>
      <c r="AD556" s="354"/>
      <c r="AE556" s="354"/>
      <c r="AF556" s="354"/>
      <c r="AG556" s="354"/>
      <c r="AH556" s="354"/>
      <c r="AI556" s="354"/>
      <c r="AJ556" s="354"/>
      <c r="AK556" s="354"/>
      <c r="AL556" s="354"/>
      <c r="AM556" s="354"/>
      <c r="AN556" s="354"/>
      <c r="AO556" s="354"/>
      <c r="AP556" s="354"/>
      <c r="AQ556" s="354"/>
      <c r="AR556" s="354"/>
      <c r="AS556" s="354"/>
      <c r="AT556" s="354"/>
      <c r="AU556" s="354"/>
      <c r="AV556" s="354"/>
      <c r="AW556" s="354"/>
      <c r="AX556" s="354"/>
      <c r="AY556" s="354"/>
      <c r="AZ556" s="354"/>
    </row>
    <row r="557" spans="3:52" x14ac:dyDescent="0.25">
      <c r="C557" s="354"/>
      <c r="D557" s="354"/>
      <c r="E557" s="354"/>
      <c r="F557" s="354"/>
      <c r="G557" s="354"/>
      <c r="H557" s="354"/>
      <c r="I557" s="354"/>
      <c r="J557" s="354"/>
      <c r="K557" s="354"/>
      <c r="L557" s="354"/>
      <c r="M557" s="354"/>
      <c r="N557" s="354"/>
      <c r="O557" s="354"/>
      <c r="P557" s="354"/>
      <c r="Q557" s="354"/>
      <c r="R557" s="370"/>
      <c r="S557" s="354"/>
      <c r="T557" s="354"/>
      <c r="U557" s="354"/>
      <c r="V557" s="354"/>
      <c r="W557" s="354"/>
      <c r="X557" s="354"/>
      <c r="Y557" s="354"/>
      <c r="Z557" s="354"/>
      <c r="AA557" s="354"/>
      <c r="AB557" s="354"/>
      <c r="AC557" s="354"/>
      <c r="AD557" s="354"/>
      <c r="AE557" s="354"/>
      <c r="AF557" s="354"/>
      <c r="AG557" s="354"/>
      <c r="AH557" s="354"/>
      <c r="AI557" s="354"/>
      <c r="AJ557" s="354"/>
      <c r="AK557" s="354"/>
      <c r="AL557" s="354"/>
      <c r="AM557" s="354"/>
      <c r="AN557" s="354"/>
      <c r="AO557" s="354"/>
      <c r="AP557" s="354"/>
      <c r="AQ557" s="354"/>
      <c r="AR557" s="354"/>
      <c r="AS557" s="354"/>
      <c r="AT557" s="354"/>
      <c r="AU557" s="354"/>
      <c r="AV557" s="354"/>
      <c r="AW557" s="354"/>
      <c r="AX557" s="354"/>
      <c r="AY557" s="354"/>
      <c r="AZ557" s="354"/>
    </row>
    <row r="558" spans="3:52" x14ac:dyDescent="0.25">
      <c r="C558" s="354"/>
      <c r="D558" s="354"/>
      <c r="E558" s="354"/>
      <c r="F558" s="354"/>
      <c r="G558" s="354"/>
      <c r="H558" s="354"/>
      <c r="I558" s="354"/>
      <c r="J558" s="354"/>
      <c r="K558" s="354"/>
      <c r="L558" s="354"/>
      <c r="M558" s="354"/>
      <c r="N558" s="354"/>
      <c r="O558" s="354"/>
      <c r="P558" s="354"/>
      <c r="Q558" s="354"/>
      <c r="R558" s="370"/>
      <c r="S558" s="354"/>
      <c r="T558" s="354"/>
      <c r="U558" s="354"/>
      <c r="V558" s="354"/>
      <c r="W558" s="354"/>
      <c r="X558" s="354"/>
      <c r="Y558" s="354"/>
      <c r="Z558" s="354"/>
      <c r="AA558" s="354"/>
      <c r="AB558" s="354"/>
      <c r="AC558" s="354"/>
      <c r="AD558" s="354"/>
      <c r="AE558" s="354"/>
      <c r="AF558" s="354"/>
      <c r="AG558" s="354"/>
      <c r="AH558" s="354"/>
      <c r="AI558" s="354"/>
      <c r="AJ558" s="354"/>
      <c r="AK558" s="354"/>
      <c r="AL558" s="354"/>
      <c r="AM558" s="354"/>
      <c r="AN558" s="354"/>
      <c r="AO558" s="354"/>
      <c r="AP558" s="354"/>
      <c r="AQ558" s="354"/>
      <c r="AR558" s="354"/>
      <c r="AS558" s="354"/>
      <c r="AT558" s="354"/>
      <c r="AU558" s="354"/>
      <c r="AV558" s="354"/>
      <c r="AW558" s="354"/>
      <c r="AX558" s="354"/>
      <c r="AY558" s="354"/>
      <c r="AZ558" s="354"/>
    </row>
    <row r="559" spans="3:52" x14ac:dyDescent="0.25">
      <c r="C559" s="354"/>
      <c r="D559" s="354"/>
      <c r="E559" s="354"/>
      <c r="F559" s="354"/>
      <c r="G559" s="354"/>
      <c r="H559" s="354"/>
      <c r="I559" s="354"/>
      <c r="J559" s="354"/>
      <c r="K559" s="354"/>
      <c r="L559" s="354"/>
      <c r="M559" s="354"/>
      <c r="N559" s="354"/>
      <c r="O559" s="354"/>
      <c r="P559" s="354"/>
      <c r="Q559" s="354"/>
      <c r="R559" s="370"/>
      <c r="S559" s="354"/>
      <c r="T559" s="354"/>
      <c r="U559" s="354"/>
      <c r="V559" s="354"/>
      <c r="W559" s="354"/>
      <c r="X559" s="354"/>
      <c r="Y559" s="354"/>
      <c r="Z559" s="354"/>
      <c r="AA559" s="354"/>
      <c r="AB559" s="354"/>
      <c r="AC559" s="354"/>
      <c r="AD559" s="354"/>
      <c r="AE559" s="354"/>
      <c r="AF559" s="354"/>
      <c r="AG559" s="354"/>
      <c r="AH559" s="354"/>
      <c r="AI559" s="354"/>
      <c r="AJ559" s="354"/>
      <c r="AK559" s="354"/>
      <c r="AL559" s="354"/>
      <c r="AM559" s="354"/>
      <c r="AN559" s="354"/>
      <c r="AO559" s="354"/>
      <c r="AP559" s="354"/>
      <c r="AQ559" s="354"/>
      <c r="AR559" s="354"/>
      <c r="AS559" s="354"/>
      <c r="AT559" s="354"/>
      <c r="AU559" s="354"/>
      <c r="AV559" s="354"/>
      <c r="AW559" s="354"/>
      <c r="AX559" s="354"/>
      <c r="AY559" s="354"/>
      <c r="AZ559" s="354"/>
    </row>
    <row r="560" spans="3:52" x14ac:dyDescent="0.25">
      <c r="C560" s="354"/>
      <c r="D560" s="354"/>
      <c r="E560" s="354"/>
      <c r="F560" s="354"/>
      <c r="G560" s="354"/>
      <c r="H560" s="354"/>
      <c r="I560" s="354"/>
      <c r="J560" s="354"/>
      <c r="K560" s="354"/>
      <c r="L560" s="354"/>
      <c r="M560" s="354"/>
      <c r="N560" s="354"/>
      <c r="O560" s="354"/>
      <c r="P560" s="354"/>
      <c r="Q560" s="354"/>
      <c r="R560" s="370"/>
      <c r="S560" s="354"/>
      <c r="T560" s="354"/>
      <c r="U560" s="354"/>
      <c r="V560" s="354"/>
      <c r="W560" s="354"/>
      <c r="X560" s="354"/>
      <c r="Y560" s="354"/>
      <c r="Z560" s="354"/>
      <c r="AA560" s="354"/>
      <c r="AB560" s="354"/>
      <c r="AC560" s="354"/>
      <c r="AD560" s="354"/>
      <c r="AE560" s="354"/>
      <c r="AF560" s="354"/>
      <c r="AG560" s="354"/>
      <c r="AH560" s="354"/>
      <c r="AI560" s="354"/>
      <c r="AJ560" s="354"/>
      <c r="AK560" s="354"/>
      <c r="AL560" s="354"/>
      <c r="AM560" s="354"/>
      <c r="AN560" s="354"/>
      <c r="AO560" s="354"/>
      <c r="AP560" s="354"/>
      <c r="AQ560" s="354"/>
      <c r="AR560" s="354"/>
      <c r="AS560" s="354"/>
      <c r="AT560" s="354"/>
      <c r="AU560" s="354"/>
      <c r="AV560" s="354"/>
      <c r="AW560" s="354"/>
      <c r="AX560" s="354"/>
      <c r="AY560" s="354"/>
      <c r="AZ560" s="354"/>
    </row>
    <row r="561" spans="3:52" x14ac:dyDescent="0.25">
      <c r="C561" s="354"/>
      <c r="D561" s="354"/>
      <c r="E561" s="354"/>
      <c r="F561" s="354"/>
      <c r="G561" s="354"/>
      <c r="H561" s="354"/>
      <c r="I561" s="354"/>
      <c r="J561" s="354"/>
      <c r="K561" s="354"/>
      <c r="L561" s="354"/>
      <c r="M561" s="354"/>
      <c r="N561" s="354"/>
      <c r="O561" s="354"/>
      <c r="P561" s="354"/>
      <c r="Q561" s="354"/>
      <c r="R561" s="370"/>
      <c r="S561" s="354"/>
      <c r="T561" s="354"/>
      <c r="U561" s="354"/>
      <c r="V561" s="354"/>
      <c r="W561" s="354"/>
      <c r="X561" s="354"/>
      <c r="Y561" s="354"/>
      <c r="Z561" s="354"/>
      <c r="AA561" s="354"/>
      <c r="AB561" s="354"/>
      <c r="AC561" s="354"/>
      <c r="AD561" s="354"/>
      <c r="AE561" s="354"/>
      <c r="AF561" s="354"/>
      <c r="AG561" s="354"/>
      <c r="AH561" s="354"/>
      <c r="AI561" s="354"/>
      <c r="AJ561" s="354"/>
      <c r="AK561" s="354"/>
      <c r="AL561" s="354"/>
      <c r="AM561" s="354"/>
      <c r="AN561" s="354"/>
      <c r="AO561" s="354"/>
      <c r="AP561" s="354"/>
      <c r="AQ561" s="354"/>
      <c r="AR561" s="354"/>
      <c r="AS561" s="354"/>
      <c r="AT561" s="354"/>
      <c r="AU561" s="354"/>
      <c r="AV561" s="354"/>
      <c r="AW561" s="354"/>
      <c r="AX561" s="354"/>
      <c r="AY561" s="354"/>
      <c r="AZ561" s="354"/>
    </row>
    <row r="562" spans="3:52" x14ac:dyDescent="0.25">
      <c r="C562" s="354"/>
      <c r="D562" s="354"/>
      <c r="E562" s="354"/>
      <c r="F562" s="354"/>
      <c r="G562" s="354"/>
      <c r="H562" s="354"/>
      <c r="I562" s="354"/>
      <c r="J562" s="354"/>
      <c r="K562" s="354"/>
      <c r="L562" s="354"/>
      <c r="M562" s="354"/>
      <c r="N562" s="354"/>
      <c r="O562" s="354"/>
      <c r="P562" s="354"/>
      <c r="Q562" s="354"/>
      <c r="R562" s="370"/>
      <c r="S562" s="354"/>
      <c r="T562" s="354"/>
      <c r="U562" s="354"/>
      <c r="V562" s="354"/>
      <c r="W562" s="354"/>
      <c r="X562" s="354"/>
      <c r="Y562" s="354"/>
      <c r="Z562" s="354"/>
      <c r="AA562" s="354"/>
      <c r="AB562" s="354"/>
      <c r="AC562" s="354"/>
      <c r="AD562" s="354"/>
      <c r="AE562" s="354"/>
      <c r="AF562" s="354"/>
      <c r="AG562" s="354"/>
      <c r="AH562" s="354"/>
      <c r="AI562" s="354"/>
      <c r="AJ562" s="354"/>
      <c r="AK562" s="354"/>
      <c r="AL562" s="354"/>
      <c r="AM562" s="354"/>
      <c r="AN562" s="354"/>
      <c r="AO562" s="354"/>
      <c r="AP562" s="354"/>
      <c r="AQ562" s="354"/>
      <c r="AR562" s="354"/>
      <c r="AS562" s="354"/>
      <c r="AT562" s="354"/>
      <c r="AU562" s="354"/>
      <c r="AV562" s="354"/>
      <c r="AW562" s="354"/>
      <c r="AX562" s="354"/>
      <c r="AY562" s="354"/>
      <c r="AZ562" s="354"/>
    </row>
    <row r="563" spans="3:52" x14ac:dyDescent="0.25">
      <c r="C563" s="354"/>
      <c r="D563" s="354"/>
      <c r="E563" s="354"/>
      <c r="F563" s="354"/>
      <c r="G563" s="354"/>
      <c r="H563" s="354"/>
      <c r="I563" s="354"/>
      <c r="J563" s="354"/>
      <c r="K563" s="354"/>
      <c r="L563" s="354"/>
      <c r="M563" s="354"/>
      <c r="N563" s="354"/>
      <c r="O563" s="354"/>
      <c r="P563" s="354"/>
      <c r="Q563" s="354"/>
      <c r="R563" s="370"/>
      <c r="S563" s="354"/>
      <c r="T563" s="354"/>
      <c r="U563" s="354"/>
      <c r="V563" s="354"/>
      <c r="W563" s="354"/>
      <c r="X563" s="354"/>
      <c r="Y563" s="354"/>
      <c r="Z563" s="354"/>
      <c r="AA563" s="354"/>
      <c r="AB563" s="354"/>
      <c r="AC563" s="354"/>
      <c r="AD563" s="354"/>
      <c r="AE563" s="354"/>
      <c r="AF563" s="354"/>
      <c r="AG563" s="354"/>
      <c r="AH563" s="354"/>
      <c r="AI563" s="354"/>
      <c r="AJ563" s="354"/>
      <c r="AK563" s="354"/>
      <c r="AL563" s="354"/>
      <c r="AM563" s="354"/>
      <c r="AN563" s="354"/>
      <c r="AO563" s="354"/>
      <c r="AP563" s="354"/>
      <c r="AQ563" s="354"/>
      <c r="AR563" s="354"/>
      <c r="AS563" s="354"/>
      <c r="AT563" s="354"/>
      <c r="AU563" s="354"/>
      <c r="AV563" s="354"/>
      <c r="AW563" s="354"/>
      <c r="AX563" s="354"/>
      <c r="AY563" s="354"/>
      <c r="AZ563" s="354"/>
    </row>
    <row r="564" spans="3:52" x14ac:dyDescent="0.25">
      <c r="C564" s="354"/>
      <c r="D564" s="354"/>
      <c r="E564" s="354"/>
      <c r="F564" s="354"/>
      <c r="G564" s="354"/>
      <c r="H564" s="354"/>
      <c r="I564" s="354"/>
      <c r="J564" s="354"/>
      <c r="K564" s="354"/>
      <c r="L564" s="354"/>
      <c r="M564" s="354"/>
      <c r="N564" s="354"/>
      <c r="O564" s="354"/>
      <c r="P564" s="354"/>
      <c r="Q564" s="354"/>
      <c r="R564" s="370"/>
      <c r="S564" s="354"/>
      <c r="T564" s="354"/>
      <c r="U564" s="354"/>
      <c r="V564" s="354"/>
      <c r="W564" s="354"/>
      <c r="X564" s="354"/>
      <c r="Y564" s="354"/>
      <c r="Z564" s="354"/>
      <c r="AA564" s="354"/>
      <c r="AB564" s="354"/>
      <c r="AC564" s="354"/>
      <c r="AD564" s="354"/>
      <c r="AE564" s="354"/>
      <c r="AF564" s="354"/>
      <c r="AG564" s="354"/>
      <c r="AH564" s="354"/>
      <c r="AI564" s="354"/>
      <c r="AJ564" s="354"/>
      <c r="AK564" s="354"/>
      <c r="AL564" s="354"/>
      <c r="AM564" s="354"/>
      <c r="AN564" s="354"/>
      <c r="AO564" s="354"/>
      <c r="AP564" s="354"/>
      <c r="AQ564" s="354"/>
      <c r="AR564" s="354"/>
      <c r="AS564" s="354"/>
      <c r="AT564" s="354"/>
      <c r="AU564" s="354"/>
      <c r="AV564" s="354"/>
      <c r="AW564" s="354"/>
      <c r="AX564" s="354"/>
      <c r="AY564" s="354"/>
      <c r="AZ564" s="354"/>
    </row>
    <row r="565" spans="3:52" x14ac:dyDescent="0.25">
      <c r="C565" s="354"/>
      <c r="D565" s="354"/>
      <c r="E565" s="354"/>
      <c r="F565" s="354"/>
      <c r="G565" s="354"/>
      <c r="H565" s="354"/>
      <c r="I565" s="354"/>
      <c r="J565" s="354"/>
      <c r="K565" s="354"/>
      <c r="L565" s="354"/>
      <c r="M565" s="354"/>
      <c r="N565" s="354"/>
      <c r="O565" s="354"/>
      <c r="P565" s="354"/>
      <c r="Q565" s="354"/>
      <c r="R565" s="370"/>
      <c r="S565" s="354"/>
      <c r="T565" s="354"/>
      <c r="U565" s="354"/>
      <c r="V565" s="354"/>
      <c r="W565" s="354"/>
      <c r="X565" s="354"/>
      <c r="Y565" s="354"/>
      <c r="Z565" s="354"/>
      <c r="AA565" s="354"/>
      <c r="AB565" s="354"/>
      <c r="AC565" s="354"/>
      <c r="AD565" s="354"/>
      <c r="AE565" s="354"/>
      <c r="AF565" s="354"/>
      <c r="AG565" s="354"/>
      <c r="AH565" s="354"/>
      <c r="AI565" s="354"/>
      <c r="AJ565" s="354"/>
      <c r="AK565" s="354"/>
      <c r="AL565" s="354"/>
      <c r="AM565" s="354"/>
      <c r="AN565" s="354"/>
      <c r="AO565" s="354"/>
      <c r="AP565" s="354"/>
      <c r="AQ565" s="354"/>
      <c r="AR565" s="354"/>
      <c r="AS565" s="354"/>
      <c r="AT565" s="354"/>
      <c r="AU565" s="354"/>
      <c r="AV565" s="354"/>
      <c r="AW565" s="354"/>
      <c r="AX565" s="354"/>
      <c r="AY565" s="354"/>
      <c r="AZ565" s="354"/>
    </row>
    <row r="566" spans="3:52" x14ac:dyDescent="0.25">
      <c r="C566" s="354"/>
      <c r="D566" s="354"/>
      <c r="E566" s="354"/>
      <c r="F566" s="354"/>
      <c r="G566" s="354"/>
      <c r="H566" s="354"/>
      <c r="I566" s="354"/>
      <c r="J566" s="354"/>
      <c r="K566" s="354"/>
      <c r="L566" s="354"/>
      <c r="M566" s="354"/>
      <c r="N566" s="354"/>
      <c r="O566" s="354"/>
      <c r="P566" s="354"/>
      <c r="Q566" s="354"/>
      <c r="R566" s="370"/>
      <c r="S566" s="354"/>
      <c r="T566" s="354"/>
      <c r="U566" s="354"/>
      <c r="V566" s="354"/>
      <c r="W566" s="354"/>
      <c r="X566" s="354"/>
      <c r="Y566" s="354"/>
      <c r="Z566" s="354"/>
      <c r="AA566" s="354"/>
      <c r="AB566" s="354"/>
      <c r="AC566" s="354"/>
      <c r="AD566" s="354"/>
      <c r="AE566" s="354"/>
      <c r="AF566" s="354"/>
      <c r="AG566" s="354"/>
      <c r="AH566" s="354"/>
      <c r="AI566" s="354"/>
      <c r="AJ566" s="354"/>
      <c r="AK566" s="354"/>
      <c r="AL566" s="354"/>
      <c r="AM566" s="354"/>
      <c r="AN566" s="354"/>
      <c r="AO566" s="354"/>
      <c r="AP566" s="354"/>
      <c r="AQ566" s="354"/>
      <c r="AR566" s="354"/>
      <c r="AS566" s="354"/>
      <c r="AT566" s="354"/>
      <c r="AU566" s="354"/>
      <c r="AV566" s="354"/>
      <c r="AW566" s="354"/>
      <c r="AX566" s="354"/>
      <c r="AY566" s="354"/>
      <c r="AZ566" s="354"/>
    </row>
    <row r="567" spans="3:52" x14ac:dyDescent="0.25">
      <c r="C567" s="354"/>
      <c r="D567" s="354"/>
      <c r="E567" s="354"/>
      <c r="F567" s="354"/>
      <c r="G567" s="354"/>
      <c r="H567" s="354"/>
      <c r="I567" s="354"/>
      <c r="J567" s="354"/>
      <c r="K567" s="354"/>
      <c r="L567" s="354"/>
      <c r="M567" s="354"/>
      <c r="N567" s="354"/>
      <c r="O567" s="354"/>
      <c r="P567" s="354"/>
      <c r="Q567" s="354"/>
      <c r="R567" s="370"/>
      <c r="S567" s="354"/>
      <c r="T567" s="354"/>
      <c r="U567" s="354"/>
      <c r="V567" s="354"/>
      <c r="W567" s="354"/>
      <c r="X567" s="354"/>
      <c r="Y567" s="354"/>
      <c r="Z567" s="354"/>
      <c r="AA567" s="354"/>
      <c r="AB567" s="354"/>
      <c r="AC567" s="354"/>
      <c r="AD567" s="354"/>
      <c r="AE567" s="354"/>
      <c r="AF567" s="354"/>
      <c r="AG567" s="354"/>
      <c r="AH567" s="354"/>
      <c r="AI567" s="354"/>
      <c r="AJ567" s="354"/>
      <c r="AK567" s="354"/>
      <c r="AL567" s="354"/>
      <c r="AM567" s="354"/>
      <c r="AN567" s="354"/>
      <c r="AO567" s="354"/>
      <c r="AP567" s="354"/>
      <c r="AQ567" s="354"/>
      <c r="AR567" s="354"/>
      <c r="AS567" s="354"/>
      <c r="AT567" s="354"/>
      <c r="AU567" s="354"/>
      <c r="AV567" s="354"/>
      <c r="AW567" s="354"/>
      <c r="AX567" s="354"/>
      <c r="AY567" s="354"/>
      <c r="AZ567" s="354"/>
    </row>
    <row r="568" spans="3:52" x14ac:dyDescent="0.25">
      <c r="C568" s="354"/>
      <c r="D568" s="354"/>
      <c r="E568" s="354"/>
      <c r="F568" s="354"/>
      <c r="G568" s="354"/>
      <c r="H568" s="354"/>
      <c r="I568" s="354"/>
      <c r="J568" s="354"/>
      <c r="K568" s="354"/>
      <c r="L568" s="354"/>
      <c r="M568" s="354"/>
      <c r="N568" s="354"/>
      <c r="O568" s="354"/>
      <c r="P568" s="354"/>
      <c r="Q568" s="354"/>
      <c r="R568" s="370"/>
      <c r="S568" s="354"/>
      <c r="T568" s="354"/>
      <c r="U568" s="354"/>
      <c r="V568" s="354"/>
      <c r="W568" s="354"/>
      <c r="X568" s="354"/>
      <c r="Y568" s="354"/>
      <c r="Z568" s="354"/>
      <c r="AA568" s="354"/>
      <c r="AB568" s="354"/>
      <c r="AC568" s="354"/>
      <c r="AD568" s="354"/>
      <c r="AE568" s="354"/>
      <c r="AF568" s="354"/>
      <c r="AG568" s="354"/>
      <c r="AH568" s="354"/>
      <c r="AI568" s="354"/>
      <c r="AJ568" s="354"/>
      <c r="AK568" s="354"/>
      <c r="AL568" s="354"/>
      <c r="AM568" s="354"/>
      <c r="AN568" s="354"/>
      <c r="AO568" s="354"/>
      <c r="AP568" s="354"/>
      <c r="AQ568" s="354"/>
      <c r="AR568" s="354"/>
      <c r="AS568" s="354"/>
      <c r="AT568" s="354"/>
      <c r="AU568" s="354"/>
      <c r="AV568" s="354"/>
      <c r="AW568" s="354"/>
      <c r="AX568" s="354"/>
      <c r="AY568" s="354"/>
      <c r="AZ568" s="354"/>
    </row>
    <row r="569" spans="3:52" x14ac:dyDescent="0.25">
      <c r="C569" s="354"/>
      <c r="D569" s="354"/>
      <c r="E569" s="354"/>
      <c r="F569" s="354"/>
      <c r="G569" s="354"/>
      <c r="H569" s="354"/>
      <c r="I569" s="354"/>
      <c r="J569" s="354"/>
      <c r="K569" s="354"/>
      <c r="L569" s="354"/>
      <c r="M569" s="354"/>
      <c r="N569" s="354"/>
      <c r="O569" s="354"/>
      <c r="P569" s="354"/>
      <c r="Q569" s="354"/>
      <c r="R569" s="370"/>
      <c r="S569" s="354"/>
      <c r="T569" s="354"/>
      <c r="U569" s="354"/>
      <c r="V569" s="354"/>
      <c r="W569" s="354"/>
      <c r="X569" s="354"/>
      <c r="Y569" s="354"/>
      <c r="Z569" s="354"/>
      <c r="AA569" s="354"/>
      <c r="AB569" s="354"/>
      <c r="AC569" s="354"/>
      <c r="AD569" s="354"/>
      <c r="AE569" s="354"/>
      <c r="AF569" s="354"/>
      <c r="AG569" s="354"/>
      <c r="AH569" s="354"/>
      <c r="AI569" s="354"/>
      <c r="AJ569" s="354"/>
      <c r="AK569" s="354"/>
      <c r="AL569" s="354"/>
      <c r="AM569" s="354"/>
      <c r="AN569" s="354"/>
      <c r="AO569" s="354"/>
      <c r="AP569" s="354"/>
      <c r="AQ569" s="354"/>
      <c r="AR569" s="354"/>
      <c r="AS569" s="354"/>
      <c r="AT569" s="354"/>
      <c r="AU569" s="354"/>
      <c r="AV569" s="354"/>
      <c r="AW569" s="354"/>
      <c r="AX569" s="354"/>
      <c r="AY569" s="354"/>
      <c r="AZ569" s="354"/>
    </row>
    <row r="570" spans="3:52" x14ac:dyDescent="0.25">
      <c r="C570" s="354"/>
      <c r="D570" s="354"/>
      <c r="E570" s="354"/>
      <c r="F570" s="354"/>
      <c r="G570" s="354"/>
      <c r="H570" s="354"/>
      <c r="I570" s="354"/>
      <c r="J570" s="354"/>
      <c r="K570" s="354"/>
      <c r="L570" s="354"/>
      <c r="M570" s="354"/>
      <c r="N570" s="354"/>
      <c r="O570" s="354"/>
      <c r="P570" s="354"/>
      <c r="Q570" s="354"/>
      <c r="R570" s="370"/>
      <c r="S570" s="354"/>
      <c r="T570" s="354"/>
      <c r="U570" s="354"/>
      <c r="V570" s="354"/>
      <c r="W570" s="354"/>
      <c r="X570" s="354"/>
      <c r="Y570" s="354"/>
      <c r="Z570" s="354"/>
      <c r="AA570" s="354"/>
      <c r="AB570" s="354"/>
      <c r="AC570" s="354"/>
      <c r="AD570" s="354"/>
      <c r="AE570" s="354"/>
      <c r="AF570" s="354"/>
      <c r="AG570" s="354"/>
      <c r="AH570" s="354"/>
      <c r="AI570" s="354"/>
      <c r="AJ570" s="354"/>
      <c r="AK570" s="354"/>
      <c r="AL570" s="354"/>
      <c r="AM570" s="354"/>
      <c r="AN570" s="354"/>
      <c r="AO570" s="354"/>
      <c r="AP570" s="354"/>
      <c r="AQ570" s="354"/>
      <c r="AR570" s="354"/>
      <c r="AS570" s="354"/>
      <c r="AT570" s="354"/>
      <c r="AU570" s="354"/>
      <c r="AV570" s="354"/>
      <c r="AW570" s="354"/>
      <c r="AX570" s="354"/>
      <c r="AY570" s="354"/>
      <c r="AZ570" s="354"/>
    </row>
    <row r="571" spans="3:52" x14ac:dyDescent="0.25">
      <c r="C571" s="354"/>
      <c r="D571" s="354"/>
      <c r="E571" s="354"/>
      <c r="F571" s="354"/>
      <c r="G571" s="354"/>
      <c r="H571" s="354"/>
      <c r="I571" s="354"/>
      <c r="J571" s="354"/>
      <c r="K571" s="354"/>
      <c r="L571" s="354"/>
      <c r="M571" s="354"/>
      <c r="N571" s="354"/>
      <c r="O571" s="354"/>
      <c r="P571" s="354"/>
      <c r="Q571" s="354"/>
      <c r="R571" s="370"/>
      <c r="S571" s="354"/>
      <c r="T571" s="354"/>
      <c r="U571" s="354"/>
      <c r="V571" s="354"/>
      <c r="W571" s="354"/>
      <c r="X571" s="354"/>
      <c r="Y571" s="354"/>
      <c r="Z571" s="354"/>
      <c r="AA571" s="354"/>
      <c r="AB571" s="354"/>
      <c r="AC571" s="354"/>
      <c r="AD571" s="354"/>
      <c r="AE571" s="354"/>
      <c r="AF571" s="354"/>
      <c r="AG571" s="354"/>
      <c r="AH571" s="354"/>
      <c r="AI571" s="354"/>
      <c r="AJ571" s="354"/>
      <c r="AK571" s="354"/>
      <c r="AL571" s="354"/>
      <c r="AM571" s="354"/>
      <c r="AN571" s="354"/>
      <c r="AO571" s="354"/>
      <c r="AP571" s="354"/>
      <c r="AQ571" s="354"/>
      <c r="AR571" s="354"/>
      <c r="AS571" s="354"/>
      <c r="AT571" s="354"/>
      <c r="AU571" s="354"/>
      <c r="AV571" s="354"/>
      <c r="AW571" s="354"/>
      <c r="AX571" s="354"/>
      <c r="AY571" s="354"/>
      <c r="AZ571" s="354"/>
    </row>
    <row r="572" spans="3:52" x14ac:dyDescent="0.25">
      <c r="C572" s="354"/>
      <c r="D572" s="354"/>
      <c r="E572" s="354"/>
      <c r="F572" s="354"/>
      <c r="G572" s="354"/>
      <c r="H572" s="354"/>
      <c r="I572" s="354"/>
      <c r="J572" s="354"/>
      <c r="K572" s="354"/>
      <c r="L572" s="354"/>
      <c r="M572" s="354"/>
      <c r="N572" s="354"/>
      <c r="O572" s="354"/>
      <c r="P572" s="354"/>
      <c r="Q572" s="354"/>
      <c r="R572" s="370"/>
      <c r="S572" s="354"/>
      <c r="T572" s="354"/>
      <c r="U572" s="354"/>
      <c r="V572" s="354"/>
      <c r="W572" s="354"/>
      <c r="X572" s="354"/>
      <c r="Y572" s="354"/>
      <c r="Z572" s="354"/>
      <c r="AA572" s="354"/>
      <c r="AB572" s="354"/>
      <c r="AC572" s="354"/>
      <c r="AD572" s="354"/>
      <c r="AE572" s="354"/>
      <c r="AF572" s="354"/>
      <c r="AG572" s="354"/>
      <c r="AH572" s="354"/>
      <c r="AI572" s="354"/>
      <c r="AJ572" s="354"/>
      <c r="AK572" s="354"/>
      <c r="AL572" s="354"/>
      <c r="AM572" s="354"/>
      <c r="AN572" s="354"/>
      <c r="AO572" s="354"/>
      <c r="AP572" s="354"/>
      <c r="AQ572" s="354"/>
      <c r="AR572" s="354"/>
      <c r="AS572" s="354"/>
      <c r="AT572" s="354"/>
      <c r="AU572" s="354"/>
      <c r="AV572" s="354"/>
      <c r="AW572" s="354"/>
      <c r="AX572" s="354"/>
      <c r="AY572" s="354"/>
      <c r="AZ572" s="354"/>
    </row>
    <row r="573" spans="3:52" x14ac:dyDescent="0.25">
      <c r="C573" s="354"/>
      <c r="D573" s="354"/>
      <c r="E573" s="354"/>
      <c r="F573" s="354"/>
      <c r="G573" s="354"/>
      <c r="H573" s="354"/>
      <c r="I573" s="354"/>
      <c r="J573" s="354"/>
      <c r="K573" s="354"/>
      <c r="L573" s="354"/>
      <c r="M573" s="354"/>
      <c r="N573" s="354"/>
      <c r="O573" s="354"/>
      <c r="P573" s="354"/>
      <c r="Q573" s="354"/>
      <c r="R573" s="370"/>
      <c r="S573" s="354"/>
      <c r="T573" s="354"/>
      <c r="U573" s="354"/>
      <c r="V573" s="354"/>
      <c r="W573" s="354"/>
      <c r="X573" s="354"/>
      <c r="Y573" s="354"/>
      <c r="Z573" s="354"/>
      <c r="AA573" s="354"/>
      <c r="AB573" s="354"/>
      <c r="AC573" s="354"/>
      <c r="AD573" s="354"/>
      <c r="AE573" s="354"/>
      <c r="AF573" s="354"/>
      <c r="AG573" s="354"/>
      <c r="AH573" s="354"/>
      <c r="AI573" s="354"/>
      <c r="AJ573" s="354"/>
      <c r="AK573" s="354"/>
      <c r="AL573" s="354"/>
      <c r="AM573" s="354"/>
      <c r="AN573" s="354"/>
      <c r="AO573" s="354"/>
      <c r="AP573" s="354"/>
      <c r="AQ573" s="354"/>
      <c r="AR573" s="354"/>
      <c r="AS573" s="354"/>
      <c r="AT573" s="354"/>
      <c r="AU573" s="354"/>
      <c r="AV573" s="354"/>
      <c r="AW573" s="354"/>
      <c r="AX573" s="354"/>
      <c r="AY573" s="354"/>
      <c r="AZ573" s="354"/>
    </row>
    <row r="574" spans="3:52" x14ac:dyDescent="0.25">
      <c r="C574" s="354"/>
      <c r="D574" s="354"/>
      <c r="E574" s="354"/>
      <c r="F574" s="354"/>
      <c r="G574" s="354"/>
      <c r="H574" s="354"/>
      <c r="I574" s="354"/>
      <c r="J574" s="354"/>
      <c r="K574" s="354"/>
      <c r="L574" s="354"/>
      <c r="M574" s="354"/>
      <c r="N574" s="354"/>
      <c r="O574" s="354"/>
      <c r="P574" s="354"/>
      <c r="Q574" s="354"/>
      <c r="R574" s="370"/>
      <c r="S574" s="354"/>
      <c r="T574" s="354"/>
      <c r="U574" s="354"/>
      <c r="V574" s="354"/>
      <c r="W574" s="354"/>
      <c r="X574" s="354"/>
      <c r="Y574" s="354"/>
      <c r="Z574" s="354"/>
      <c r="AA574" s="354"/>
      <c r="AB574" s="354"/>
      <c r="AC574" s="354"/>
      <c r="AD574" s="354"/>
      <c r="AE574" s="354"/>
      <c r="AF574" s="354"/>
      <c r="AG574" s="354"/>
      <c r="AH574" s="354"/>
      <c r="AI574" s="354"/>
      <c r="AJ574" s="354"/>
      <c r="AK574" s="354"/>
      <c r="AL574" s="354"/>
      <c r="AM574" s="354"/>
      <c r="AN574" s="354"/>
      <c r="AO574" s="354"/>
      <c r="AP574" s="354"/>
      <c r="AQ574" s="354"/>
      <c r="AR574" s="354"/>
      <c r="AS574" s="354"/>
      <c r="AT574" s="354"/>
      <c r="AU574" s="354"/>
      <c r="AV574" s="354"/>
      <c r="AW574" s="354"/>
      <c r="AX574" s="354"/>
      <c r="AY574" s="354"/>
      <c r="AZ574" s="354"/>
    </row>
    <row r="575" spans="3:52" x14ac:dyDescent="0.25">
      <c r="C575" s="354"/>
      <c r="D575" s="354"/>
      <c r="E575" s="354"/>
      <c r="F575" s="354"/>
      <c r="G575" s="354"/>
      <c r="H575" s="354"/>
      <c r="I575" s="354"/>
      <c r="J575" s="354"/>
      <c r="K575" s="354"/>
      <c r="L575" s="354"/>
      <c r="M575" s="354"/>
      <c r="N575" s="354"/>
      <c r="O575" s="354"/>
      <c r="P575" s="354"/>
      <c r="Q575" s="354"/>
      <c r="R575" s="370"/>
      <c r="S575" s="354"/>
      <c r="T575" s="354"/>
      <c r="U575" s="354"/>
      <c r="V575" s="354"/>
      <c r="W575" s="354"/>
      <c r="X575" s="354"/>
      <c r="Y575" s="354"/>
      <c r="Z575" s="354"/>
      <c r="AA575" s="354"/>
      <c r="AB575" s="354"/>
      <c r="AC575" s="354"/>
      <c r="AD575" s="354"/>
      <c r="AE575" s="354"/>
      <c r="AF575" s="354"/>
      <c r="AG575" s="354"/>
      <c r="AH575" s="354"/>
      <c r="AI575" s="354"/>
      <c r="AJ575" s="354"/>
      <c r="AK575" s="354"/>
      <c r="AL575" s="354"/>
      <c r="AM575" s="354"/>
      <c r="AN575" s="354"/>
      <c r="AO575" s="354"/>
      <c r="AP575" s="354"/>
      <c r="AQ575" s="354"/>
      <c r="AR575" s="354"/>
      <c r="AS575" s="354"/>
      <c r="AT575" s="354"/>
      <c r="AU575" s="354"/>
      <c r="AV575" s="354"/>
      <c r="AW575" s="354"/>
      <c r="AX575" s="354"/>
      <c r="AY575" s="354"/>
      <c r="AZ575" s="354"/>
    </row>
    <row r="576" spans="3:52" x14ac:dyDescent="0.25">
      <c r="C576" s="354"/>
      <c r="D576" s="354"/>
      <c r="E576" s="354"/>
      <c r="F576" s="354"/>
      <c r="G576" s="354"/>
      <c r="H576" s="354"/>
      <c r="I576" s="354"/>
      <c r="J576" s="354"/>
      <c r="K576" s="354"/>
      <c r="L576" s="354"/>
      <c r="M576" s="354"/>
      <c r="N576" s="354"/>
      <c r="O576" s="354"/>
      <c r="P576" s="354"/>
      <c r="Q576" s="354"/>
      <c r="R576" s="370"/>
      <c r="S576" s="354"/>
      <c r="T576" s="354"/>
      <c r="U576" s="354"/>
      <c r="V576" s="354"/>
      <c r="W576" s="354"/>
      <c r="X576" s="354"/>
      <c r="Y576" s="354"/>
      <c r="Z576" s="354"/>
      <c r="AA576" s="354"/>
      <c r="AB576" s="354"/>
      <c r="AC576" s="354"/>
      <c r="AD576" s="354"/>
      <c r="AE576" s="354"/>
      <c r="AF576" s="354"/>
      <c r="AG576" s="354"/>
      <c r="AH576" s="354"/>
      <c r="AI576" s="354"/>
      <c r="AJ576" s="354"/>
      <c r="AK576" s="354"/>
      <c r="AL576" s="354"/>
      <c r="AM576" s="354"/>
      <c r="AN576" s="354"/>
      <c r="AO576" s="354"/>
      <c r="AP576" s="354"/>
      <c r="AQ576" s="354"/>
      <c r="AR576" s="354"/>
      <c r="AS576" s="354"/>
      <c r="AT576" s="354"/>
      <c r="AU576" s="354"/>
      <c r="AV576" s="354"/>
      <c r="AW576" s="354"/>
      <c r="AX576" s="354"/>
      <c r="AY576" s="354"/>
      <c r="AZ576" s="354"/>
    </row>
    <row r="577" spans="3:52" x14ac:dyDescent="0.25">
      <c r="C577" s="354"/>
      <c r="D577" s="354"/>
      <c r="E577" s="354"/>
      <c r="F577" s="354"/>
      <c r="G577" s="354"/>
      <c r="H577" s="354"/>
      <c r="I577" s="354"/>
      <c r="J577" s="354"/>
      <c r="K577" s="354"/>
      <c r="L577" s="354"/>
      <c r="M577" s="354"/>
      <c r="N577" s="354"/>
      <c r="O577" s="354"/>
      <c r="P577" s="354"/>
      <c r="Q577" s="354"/>
      <c r="R577" s="370"/>
      <c r="S577" s="354"/>
      <c r="T577" s="354"/>
      <c r="U577" s="354"/>
      <c r="V577" s="354"/>
      <c r="W577" s="354"/>
      <c r="X577" s="354"/>
      <c r="Y577" s="354"/>
      <c r="Z577" s="354"/>
      <c r="AA577" s="354"/>
      <c r="AB577" s="354"/>
      <c r="AC577" s="354"/>
      <c r="AD577" s="354"/>
      <c r="AE577" s="354"/>
      <c r="AF577" s="354"/>
      <c r="AG577" s="354"/>
      <c r="AH577" s="354"/>
      <c r="AI577" s="354"/>
      <c r="AJ577" s="354"/>
      <c r="AK577" s="354"/>
      <c r="AL577" s="354"/>
      <c r="AM577" s="354"/>
      <c r="AN577" s="354"/>
      <c r="AO577" s="354"/>
      <c r="AP577" s="354"/>
      <c r="AQ577" s="354"/>
      <c r="AR577" s="354"/>
      <c r="AS577" s="354"/>
      <c r="AT577" s="354"/>
      <c r="AU577" s="354"/>
      <c r="AV577" s="354"/>
      <c r="AW577" s="354"/>
      <c r="AX577" s="354"/>
      <c r="AY577" s="354"/>
      <c r="AZ577" s="354"/>
    </row>
    <row r="578" spans="3:52" x14ac:dyDescent="0.25">
      <c r="C578" s="354"/>
      <c r="D578" s="354"/>
      <c r="E578" s="354"/>
      <c r="F578" s="354"/>
      <c r="G578" s="354"/>
      <c r="H578" s="354"/>
      <c r="I578" s="354"/>
      <c r="J578" s="354"/>
      <c r="K578" s="354"/>
      <c r="L578" s="354"/>
      <c r="M578" s="354"/>
      <c r="N578" s="354"/>
      <c r="O578" s="354"/>
      <c r="P578" s="354"/>
      <c r="Q578" s="354"/>
      <c r="R578" s="370"/>
      <c r="S578" s="354"/>
      <c r="T578" s="354"/>
      <c r="U578" s="354"/>
      <c r="V578" s="354"/>
      <c r="W578" s="354"/>
      <c r="X578" s="354"/>
      <c r="Y578" s="354"/>
      <c r="Z578" s="354"/>
      <c r="AA578" s="354"/>
      <c r="AB578" s="354"/>
      <c r="AC578" s="354"/>
      <c r="AD578" s="354"/>
      <c r="AE578" s="354"/>
      <c r="AF578" s="354"/>
      <c r="AG578" s="354"/>
      <c r="AH578" s="354"/>
      <c r="AI578" s="354"/>
      <c r="AJ578" s="354"/>
      <c r="AK578" s="354"/>
      <c r="AL578" s="354"/>
      <c r="AM578" s="354"/>
      <c r="AN578" s="354"/>
      <c r="AO578" s="354"/>
      <c r="AP578" s="354"/>
      <c r="AQ578" s="354"/>
      <c r="AR578" s="354"/>
      <c r="AS578" s="354"/>
      <c r="AT578" s="354"/>
      <c r="AU578" s="354"/>
      <c r="AV578" s="354"/>
      <c r="AW578" s="354"/>
      <c r="AX578" s="354"/>
      <c r="AY578" s="354"/>
      <c r="AZ578" s="354"/>
    </row>
    <row r="579" spans="3:52" x14ac:dyDescent="0.25">
      <c r="C579" s="354"/>
      <c r="D579" s="354"/>
      <c r="E579" s="354"/>
      <c r="F579" s="354"/>
      <c r="G579" s="354"/>
      <c r="H579" s="354"/>
      <c r="I579" s="354"/>
      <c r="J579" s="354"/>
      <c r="K579" s="354"/>
      <c r="L579" s="354"/>
      <c r="M579" s="354"/>
      <c r="N579" s="354"/>
      <c r="O579" s="354"/>
      <c r="P579" s="354"/>
      <c r="Q579" s="354"/>
      <c r="R579" s="370"/>
      <c r="S579" s="354"/>
      <c r="T579" s="354"/>
      <c r="U579" s="354"/>
      <c r="V579" s="354"/>
      <c r="W579" s="354"/>
      <c r="X579" s="354"/>
      <c r="Y579" s="354"/>
      <c r="Z579" s="354"/>
      <c r="AA579" s="354"/>
      <c r="AB579" s="354"/>
      <c r="AC579" s="354"/>
      <c r="AD579" s="354"/>
      <c r="AE579" s="354"/>
      <c r="AF579" s="354"/>
      <c r="AG579" s="354"/>
      <c r="AH579" s="354"/>
      <c r="AI579" s="354"/>
      <c r="AJ579" s="354"/>
      <c r="AK579" s="354"/>
      <c r="AL579" s="354"/>
      <c r="AM579" s="354"/>
      <c r="AN579" s="354"/>
      <c r="AO579" s="354"/>
      <c r="AP579" s="354"/>
      <c r="AQ579" s="354"/>
      <c r="AR579" s="354"/>
      <c r="AS579" s="354"/>
      <c r="AT579" s="354"/>
      <c r="AU579" s="354"/>
      <c r="AV579" s="354"/>
      <c r="AW579" s="354"/>
      <c r="AX579" s="354"/>
      <c r="AY579" s="354"/>
      <c r="AZ579" s="354"/>
    </row>
    <row r="580" spans="3:52" x14ac:dyDescent="0.25">
      <c r="C580" s="354"/>
      <c r="D580" s="354"/>
      <c r="E580" s="354"/>
      <c r="F580" s="354"/>
      <c r="G580" s="354"/>
      <c r="H580" s="354"/>
      <c r="I580" s="354"/>
      <c r="J580" s="354"/>
      <c r="K580" s="354"/>
      <c r="L580" s="354"/>
      <c r="M580" s="354"/>
      <c r="N580" s="354"/>
      <c r="O580" s="354"/>
      <c r="P580" s="354"/>
      <c r="Q580" s="354"/>
      <c r="R580" s="370"/>
      <c r="S580" s="354"/>
      <c r="T580" s="354"/>
      <c r="U580" s="354"/>
      <c r="V580" s="354"/>
      <c r="W580" s="354"/>
      <c r="X580" s="354"/>
      <c r="Y580" s="354"/>
      <c r="Z580" s="354"/>
      <c r="AA580" s="354"/>
      <c r="AB580" s="354"/>
      <c r="AC580" s="354"/>
      <c r="AD580" s="354"/>
      <c r="AE580" s="354"/>
      <c r="AF580" s="354"/>
      <c r="AG580" s="354"/>
      <c r="AH580" s="354"/>
      <c r="AI580" s="354"/>
      <c r="AJ580" s="354"/>
      <c r="AK580" s="354"/>
      <c r="AL580" s="354"/>
      <c r="AM580" s="354"/>
      <c r="AN580" s="354"/>
      <c r="AO580" s="354"/>
      <c r="AP580" s="354"/>
      <c r="AQ580" s="354"/>
      <c r="AR580" s="354"/>
      <c r="AS580" s="354"/>
      <c r="AT580" s="354"/>
      <c r="AU580" s="354"/>
      <c r="AV580" s="354"/>
      <c r="AW580" s="354"/>
      <c r="AX580" s="354"/>
      <c r="AY580" s="354"/>
      <c r="AZ580" s="354"/>
    </row>
    <row r="581" spans="3:52" x14ac:dyDescent="0.25">
      <c r="C581" s="354"/>
      <c r="D581" s="354"/>
      <c r="E581" s="354"/>
      <c r="F581" s="354"/>
      <c r="G581" s="354"/>
      <c r="H581" s="354"/>
      <c r="I581" s="354"/>
      <c r="J581" s="354"/>
      <c r="K581" s="354"/>
      <c r="L581" s="354"/>
      <c r="M581" s="354"/>
      <c r="N581" s="354"/>
      <c r="O581" s="354"/>
      <c r="P581" s="354"/>
      <c r="Q581" s="354"/>
      <c r="R581" s="370"/>
      <c r="S581" s="354"/>
      <c r="T581" s="354"/>
      <c r="U581" s="354"/>
      <c r="V581" s="354"/>
      <c r="W581" s="354"/>
      <c r="X581" s="354"/>
      <c r="Y581" s="354"/>
      <c r="Z581" s="354"/>
      <c r="AA581" s="354"/>
      <c r="AB581" s="354"/>
      <c r="AC581" s="354"/>
      <c r="AD581" s="354"/>
      <c r="AE581" s="354"/>
      <c r="AF581" s="354"/>
      <c r="AG581" s="354"/>
      <c r="AH581" s="354"/>
      <c r="AI581" s="354"/>
      <c r="AJ581" s="354"/>
      <c r="AK581" s="354"/>
      <c r="AL581" s="354"/>
      <c r="AM581" s="354"/>
      <c r="AN581" s="354"/>
      <c r="AO581" s="354"/>
      <c r="AP581" s="354"/>
      <c r="AQ581" s="354"/>
      <c r="AR581" s="354"/>
      <c r="AS581" s="354"/>
      <c r="AT581" s="354"/>
      <c r="AU581" s="354"/>
      <c r="AV581" s="354"/>
      <c r="AW581" s="354"/>
      <c r="AX581" s="354"/>
      <c r="AY581" s="354"/>
      <c r="AZ581" s="354"/>
    </row>
    <row r="582" spans="3:52" x14ac:dyDescent="0.25">
      <c r="C582" s="354"/>
      <c r="D582" s="354"/>
      <c r="E582" s="354"/>
      <c r="F582" s="354"/>
      <c r="G582" s="354"/>
      <c r="H582" s="354"/>
      <c r="I582" s="354"/>
      <c r="J582" s="354"/>
      <c r="K582" s="354"/>
      <c r="L582" s="354"/>
      <c r="M582" s="354"/>
      <c r="N582" s="354"/>
      <c r="O582" s="354"/>
      <c r="P582" s="354"/>
      <c r="Q582" s="354"/>
      <c r="R582" s="370"/>
      <c r="S582" s="354"/>
      <c r="T582" s="354"/>
      <c r="U582" s="354"/>
      <c r="V582" s="354"/>
      <c r="W582" s="354"/>
      <c r="X582" s="354"/>
      <c r="Y582" s="354"/>
      <c r="Z582" s="354"/>
      <c r="AA582" s="354"/>
      <c r="AB582" s="354"/>
      <c r="AC582" s="354"/>
      <c r="AD582" s="354"/>
      <c r="AE582" s="354"/>
      <c r="AF582" s="354"/>
      <c r="AG582" s="354"/>
      <c r="AH582" s="354"/>
      <c r="AI582" s="354"/>
      <c r="AJ582" s="354"/>
      <c r="AK582" s="354"/>
      <c r="AL582" s="354"/>
      <c r="AM582" s="354"/>
      <c r="AN582" s="354"/>
      <c r="AO582" s="354"/>
      <c r="AP582" s="354"/>
      <c r="AQ582" s="354"/>
      <c r="AR582" s="354"/>
      <c r="AS582" s="354"/>
      <c r="AT582" s="354"/>
      <c r="AU582" s="354"/>
      <c r="AV582" s="354"/>
      <c r="AW582" s="354"/>
      <c r="AX582" s="354"/>
      <c r="AY582" s="354"/>
      <c r="AZ582" s="354"/>
    </row>
    <row r="583" spans="3:52" x14ac:dyDescent="0.25">
      <c r="C583" s="354"/>
      <c r="D583" s="354"/>
      <c r="E583" s="354"/>
      <c r="F583" s="354"/>
      <c r="G583" s="354"/>
      <c r="H583" s="354"/>
      <c r="I583" s="354"/>
      <c r="J583" s="354"/>
      <c r="K583" s="354"/>
      <c r="L583" s="354"/>
      <c r="M583" s="354"/>
      <c r="N583" s="354"/>
      <c r="O583" s="354"/>
      <c r="P583" s="354"/>
      <c r="Q583" s="354"/>
      <c r="R583" s="370"/>
      <c r="S583" s="354"/>
      <c r="T583" s="354"/>
      <c r="U583" s="354"/>
      <c r="V583" s="354"/>
      <c r="W583" s="354"/>
      <c r="X583" s="354"/>
      <c r="Y583" s="354"/>
      <c r="Z583" s="354"/>
      <c r="AA583" s="354"/>
      <c r="AB583" s="354"/>
      <c r="AC583" s="354"/>
      <c r="AD583" s="354"/>
      <c r="AE583" s="354"/>
      <c r="AF583" s="354"/>
      <c r="AG583" s="354"/>
      <c r="AH583" s="354"/>
      <c r="AI583" s="354"/>
      <c r="AJ583" s="354"/>
      <c r="AK583" s="354"/>
      <c r="AL583" s="354"/>
      <c r="AM583" s="354"/>
      <c r="AN583" s="354"/>
      <c r="AO583" s="354"/>
      <c r="AP583" s="354"/>
      <c r="AQ583" s="354"/>
      <c r="AR583" s="354"/>
      <c r="AS583" s="354"/>
      <c r="AT583" s="354"/>
      <c r="AU583" s="354"/>
      <c r="AV583" s="354"/>
      <c r="AW583" s="354"/>
      <c r="AX583" s="354"/>
      <c r="AY583" s="354"/>
      <c r="AZ583" s="354"/>
    </row>
    <row r="584" spans="3:52" x14ac:dyDescent="0.25">
      <c r="C584" s="354"/>
      <c r="D584" s="354"/>
      <c r="E584" s="354"/>
      <c r="F584" s="354"/>
      <c r="G584" s="354"/>
      <c r="H584" s="354"/>
      <c r="I584" s="354"/>
      <c r="J584" s="354"/>
      <c r="K584" s="354"/>
      <c r="L584" s="354"/>
      <c r="M584" s="354"/>
      <c r="N584" s="354"/>
      <c r="O584" s="354"/>
      <c r="P584" s="354"/>
      <c r="Q584" s="354"/>
      <c r="R584" s="370"/>
      <c r="S584" s="354"/>
      <c r="T584" s="354"/>
      <c r="U584" s="354"/>
      <c r="V584" s="354"/>
      <c r="W584" s="354"/>
      <c r="X584" s="354"/>
      <c r="Y584" s="354"/>
      <c r="Z584" s="354"/>
      <c r="AA584" s="354"/>
      <c r="AB584" s="354"/>
      <c r="AC584" s="354"/>
      <c r="AD584" s="354"/>
      <c r="AE584" s="354"/>
      <c r="AF584" s="354"/>
      <c r="AG584" s="354"/>
      <c r="AH584" s="354"/>
      <c r="AI584" s="354"/>
      <c r="AJ584" s="354"/>
      <c r="AK584" s="354"/>
      <c r="AL584" s="354"/>
      <c r="AM584" s="354"/>
      <c r="AN584" s="354"/>
      <c r="AO584" s="354"/>
      <c r="AP584" s="354"/>
      <c r="AQ584" s="354"/>
      <c r="AR584" s="354"/>
      <c r="AS584" s="354"/>
      <c r="AT584" s="354"/>
      <c r="AU584" s="354"/>
      <c r="AV584" s="354"/>
      <c r="AW584" s="354"/>
      <c r="AX584" s="354"/>
      <c r="AY584" s="354"/>
      <c r="AZ584" s="354"/>
    </row>
    <row r="585" spans="3:52" x14ac:dyDescent="0.25">
      <c r="C585" s="354"/>
      <c r="D585" s="354"/>
      <c r="E585" s="354"/>
      <c r="F585" s="354"/>
      <c r="G585" s="354"/>
      <c r="H585" s="354"/>
      <c r="I585" s="354"/>
      <c r="J585" s="354"/>
      <c r="K585" s="354"/>
      <c r="L585" s="354"/>
      <c r="M585" s="354"/>
      <c r="N585" s="354"/>
      <c r="O585" s="354"/>
      <c r="P585" s="354"/>
      <c r="Q585" s="354"/>
      <c r="R585" s="370"/>
      <c r="S585" s="354"/>
      <c r="T585" s="354"/>
      <c r="U585" s="354"/>
      <c r="V585" s="354"/>
      <c r="W585" s="354"/>
      <c r="X585" s="354"/>
      <c r="Y585" s="354"/>
      <c r="Z585" s="354"/>
      <c r="AA585" s="354"/>
      <c r="AB585" s="354"/>
      <c r="AC585" s="354"/>
      <c r="AD585" s="354"/>
      <c r="AE585" s="354"/>
      <c r="AF585" s="354"/>
      <c r="AG585" s="354"/>
      <c r="AH585" s="354"/>
      <c r="AI585" s="354"/>
      <c r="AJ585" s="354"/>
      <c r="AK585" s="354"/>
      <c r="AL585" s="354"/>
      <c r="AM585" s="354"/>
      <c r="AN585" s="354"/>
      <c r="AO585" s="354"/>
      <c r="AP585" s="354"/>
      <c r="AQ585" s="354"/>
      <c r="AR585" s="354"/>
      <c r="AS585" s="354"/>
      <c r="AT585" s="354"/>
      <c r="AU585" s="354"/>
      <c r="AV585" s="354"/>
      <c r="AW585" s="354"/>
      <c r="AX585" s="354"/>
      <c r="AY585" s="354"/>
      <c r="AZ585" s="354"/>
    </row>
    <row r="586" spans="3:52" x14ac:dyDescent="0.25">
      <c r="C586" s="354"/>
      <c r="D586" s="354"/>
      <c r="E586" s="354"/>
      <c r="F586" s="354"/>
      <c r="G586" s="354"/>
      <c r="H586" s="354"/>
      <c r="I586" s="354"/>
      <c r="J586" s="354"/>
      <c r="K586" s="354"/>
      <c r="L586" s="354"/>
      <c r="M586" s="354"/>
      <c r="N586" s="354"/>
      <c r="O586" s="354"/>
      <c r="P586" s="354"/>
      <c r="Q586" s="354"/>
      <c r="R586" s="370"/>
      <c r="S586" s="354"/>
      <c r="T586" s="354"/>
      <c r="U586" s="354"/>
      <c r="V586" s="354"/>
      <c r="W586" s="354"/>
      <c r="X586" s="354"/>
      <c r="Y586" s="354"/>
      <c r="Z586" s="354"/>
      <c r="AA586" s="354"/>
      <c r="AB586" s="354"/>
      <c r="AC586" s="354"/>
      <c r="AD586" s="354"/>
      <c r="AE586" s="354"/>
      <c r="AF586" s="354"/>
      <c r="AG586" s="354"/>
      <c r="AH586" s="354"/>
      <c r="AI586" s="354"/>
      <c r="AJ586" s="354"/>
      <c r="AK586" s="354"/>
      <c r="AL586" s="354"/>
      <c r="AM586" s="354"/>
      <c r="AN586" s="354"/>
      <c r="AO586" s="354"/>
      <c r="AP586" s="354"/>
      <c r="AQ586" s="354"/>
      <c r="AR586" s="354"/>
      <c r="AS586" s="354"/>
      <c r="AT586" s="354"/>
      <c r="AU586" s="354"/>
      <c r="AV586" s="354"/>
      <c r="AW586" s="354"/>
      <c r="AX586" s="354"/>
      <c r="AY586" s="354"/>
      <c r="AZ586" s="354"/>
    </row>
    <row r="587" spans="3:52" x14ac:dyDescent="0.25">
      <c r="C587" s="354"/>
      <c r="D587" s="354"/>
      <c r="E587" s="354"/>
      <c r="F587" s="354"/>
      <c r="G587" s="354"/>
      <c r="H587" s="354"/>
      <c r="I587" s="354"/>
      <c r="J587" s="354"/>
      <c r="K587" s="354"/>
      <c r="L587" s="354"/>
      <c r="M587" s="354"/>
      <c r="N587" s="354"/>
      <c r="O587" s="354"/>
      <c r="P587" s="354"/>
      <c r="Q587" s="354"/>
      <c r="R587" s="370"/>
      <c r="S587" s="354"/>
      <c r="T587" s="354"/>
      <c r="U587" s="354"/>
      <c r="V587" s="354"/>
      <c r="W587" s="354"/>
      <c r="X587" s="354"/>
      <c r="Y587" s="354"/>
      <c r="Z587" s="354"/>
      <c r="AA587" s="354"/>
      <c r="AB587" s="354"/>
      <c r="AC587" s="354"/>
      <c r="AD587" s="354"/>
      <c r="AE587" s="354"/>
      <c r="AF587" s="354"/>
      <c r="AG587" s="354"/>
      <c r="AH587" s="354"/>
      <c r="AI587" s="354"/>
      <c r="AJ587" s="354"/>
      <c r="AK587" s="354"/>
      <c r="AL587" s="354"/>
      <c r="AM587" s="354"/>
      <c r="AN587" s="354"/>
      <c r="AO587" s="354"/>
      <c r="AP587" s="354"/>
      <c r="AQ587" s="354"/>
      <c r="AR587" s="354"/>
      <c r="AS587" s="354"/>
      <c r="AT587" s="354"/>
      <c r="AU587" s="354"/>
      <c r="AV587" s="354"/>
      <c r="AW587" s="354"/>
      <c r="AX587" s="354"/>
      <c r="AY587" s="354"/>
      <c r="AZ587" s="354"/>
    </row>
    <row r="588" spans="3:52" x14ac:dyDescent="0.25">
      <c r="C588" s="354"/>
      <c r="D588" s="354"/>
      <c r="E588" s="354"/>
      <c r="F588" s="354"/>
      <c r="G588" s="354"/>
      <c r="H588" s="354"/>
      <c r="I588" s="354"/>
      <c r="J588" s="354"/>
      <c r="K588" s="354"/>
      <c r="L588" s="354"/>
      <c r="M588" s="354"/>
      <c r="N588" s="354"/>
      <c r="O588" s="354"/>
      <c r="P588" s="354"/>
      <c r="Q588" s="354"/>
      <c r="R588" s="370"/>
      <c r="S588" s="354"/>
      <c r="T588" s="354"/>
      <c r="U588" s="354"/>
      <c r="V588" s="354"/>
      <c r="W588" s="354"/>
      <c r="X588" s="354"/>
      <c r="Y588" s="354"/>
      <c r="Z588" s="354"/>
      <c r="AA588" s="354"/>
      <c r="AB588" s="354"/>
      <c r="AC588" s="354"/>
      <c r="AD588" s="354"/>
      <c r="AE588" s="354"/>
      <c r="AF588" s="354"/>
      <c r="AG588" s="354"/>
      <c r="AH588" s="354"/>
      <c r="AI588" s="354"/>
      <c r="AJ588" s="354"/>
      <c r="AK588" s="354"/>
      <c r="AL588" s="354"/>
      <c r="AM588" s="354"/>
      <c r="AN588" s="354"/>
      <c r="AO588" s="354"/>
      <c r="AP588" s="354"/>
      <c r="AQ588" s="354"/>
      <c r="AR588" s="354"/>
      <c r="AS588" s="354"/>
      <c r="AT588" s="354"/>
      <c r="AU588" s="354"/>
      <c r="AV588" s="354"/>
      <c r="AW588" s="354"/>
      <c r="AX588" s="354"/>
      <c r="AY588" s="354"/>
      <c r="AZ588" s="354"/>
    </row>
    <row r="589" spans="3:52" x14ac:dyDescent="0.25">
      <c r="C589" s="354"/>
      <c r="D589" s="354"/>
      <c r="E589" s="354"/>
      <c r="F589" s="354"/>
      <c r="G589" s="354"/>
      <c r="H589" s="354"/>
      <c r="I589" s="354"/>
      <c r="J589" s="354"/>
      <c r="K589" s="354"/>
      <c r="L589" s="354"/>
      <c r="M589" s="354"/>
      <c r="N589" s="354"/>
      <c r="O589" s="354"/>
      <c r="P589" s="354"/>
      <c r="Q589" s="354"/>
      <c r="R589" s="370"/>
      <c r="S589" s="354"/>
      <c r="T589" s="354"/>
      <c r="U589" s="354"/>
      <c r="V589" s="354"/>
      <c r="W589" s="354"/>
      <c r="X589" s="354"/>
      <c r="Y589" s="354"/>
      <c r="Z589" s="354"/>
      <c r="AA589" s="354"/>
      <c r="AB589" s="354"/>
      <c r="AC589" s="354"/>
      <c r="AD589" s="354"/>
      <c r="AE589" s="354"/>
      <c r="AF589" s="354"/>
      <c r="AG589" s="354"/>
      <c r="AH589" s="354"/>
      <c r="AI589" s="354"/>
      <c r="AJ589" s="354"/>
      <c r="AK589" s="354"/>
      <c r="AL589" s="354"/>
      <c r="AM589" s="354"/>
      <c r="AN589" s="354"/>
      <c r="AO589" s="354"/>
      <c r="AP589" s="354"/>
      <c r="AQ589" s="354"/>
      <c r="AR589" s="354"/>
      <c r="AS589" s="354"/>
      <c r="AT589" s="354"/>
      <c r="AU589" s="354"/>
      <c r="AV589" s="354"/>
      <c r="AW589" s="354"/>
      <c r="AX589" s="354"/>
      <c r="AY589" s="354"/>
      <c r="AZ589" s="354"/>
    </row>
    <row r="590" spans="3:52" x14ac:dyDescent="0.25">
      <c r="C590" s="354"/>
      <c r="D590" s="354"/>
      <c r="E590" s="354"/>
      <c r="F590" s="354"/>
      <c r="G590" s="354"/>
      <c r="H590" s="354"/>
      <c r="I590" s="354"/>
      <c r="J590" s="354"/>
      <c r="K590" s="354"/>
      <c r="L590" s="354"/>
      <c r="M590" s="354"/>
      <c r="N590" s="354"/>
      <c r="O590" s="354"/>
      <c r="P590" s="354"/>
      <c r="Q590" s="354"/>
      <c r="R590" s="370"/>
      <c r="S590" s="354"/>
      <c r="T590" s="354"/>
      <c r="U590" s="354"/>
      <c r="V590" s="354"/>
      <c r="W590" s="354"/>
      <c r="X590" s="354"/>
      <c r="Y590" s="354"/>
      <c r="Z590" s="354"/>
      <c r="AA590" s="354"/>
      <c r="AB590" s="354"/>
      <c r="AC590" s="354"/>
      <c r="AD590" s="354"/>
      <c r="AE590" s="354"/>
      <c r="AF590" s="354"/>
      <c r="AG590" s="354"/>
      <c r="AH590" s="354"/>
      <c r="AI590" s="354"/>
      <c r="AJ590" s="354"/>
      <c r="AK590" s="354"/>
      <c r="AL590" s="354"/>
      <c r="AM590" s="354"/>
      <c r="AN590" s="354"/>
      <c r="AO590" s="354"/>
      <c r="AP590" s="354"/>
      <c r="AQ590" s="354"/>
      <c r="AR590" s="354"/>
      <c r="AS590" s="354"/>
      <c r="AT590" s="354"/>
      <c r="AU590" s="354"/>
      <c r="AV590" s="354"/>
      <c r="AW590" s="354"/>
      <c r="AX590" s="354"/>
      <c r="AY590" s="354"/>
      <c r="AZ590" s="354"/>
    </row>
    <row r="591" spans="3:52" x14ac:dyDescent="0.25">
      <c r="C591" s="354"/>
      <c r="D591" s="354"/>
      <c r="E591" s="354"/>
      <c r="F591" s="354"/>
      <c r="G591" s="354"/>
      <c r="H591" s="354"/>
      <c r="I591" s="354"/>
      <c r="J591" s="354"/>
      <c r="K591" s="354"/>
      <c r="L591" s="354"/>
      <c r="M591" s="354"/>
      <c r="N591" s="354"/>
      <c r="O591" s="354"/>
      <c r="P591" s="354"/>
      <c r="Q591" s="354"/>
      <c r="R591" s="370"/>
      <c r="S591" s="354"/>
      <c r="T591" s="354"/>
      <c r="U591" s="354"/>
      <c r="V591" s="354"/>
      <c r="W591" s="354"/>
      <c r="X591" s="354"/>
      <c r="Y591" s="354"/>
      <c r="Z591" s="354"/>
      <c r="AA591" s="354"/>
      <c r="AB591" s="354"/>
      <c r="AC591" s="354"/>
      <c r="AD591" s="354"/>
      <c r="AE591" s="354"/>
      <c r="AF591" s="354"/>
      <c r="AG591" s="354"/>
      <c r="AH591" s="354"/>
      <c r="AI591" s="354"/>
      <c r="AJ591" s="354"/>
      <c r="AK591" s="354"/>
      <c r="AL591" s="354"/>
      <c r="AM591" s="354"/>
      <c r="AN591" s="354"/>
      <c r="AO591" s="354"/>
      <c r="AP591" s="354"/>
      <c r="AQ591" s="354"/>
      <c r="AR591" s="354"/>
      <c r="AS591" s="354"/>
      <c r="AT591" s="354"/>
      <c r="AU591" s="354"/>
      <c r="AV591" s="354"/>
      <c r="AW591" s="354"/>
      <c r="AX591" s="354"/>
      <c r="AY591" s="354"/>
      <c r="AZ591" s="354"/>
    </row>
    <row r="592" spans="3:52" x14ac:dyDescent="0.25">
      <c r="C592" s="354"/>
      <c r="D592" s="354"/>
      <c r="E592" s="354"/>
      <c r="F592" s="354"/>
      <c r="G592" s="354"/>
      <c r="H592" s="354"/>
      <c r="I592" s="354"/>
      <c r="J592" s="354"/>
      <c r="K592" s="354"/>
      <c r="L592" s="354"/>
      <c r="M592" s="354"/>
      <c r="N592" s="354"/>
      <c r="O592" s="354"/>
      <c r="P592" s="354"/>
      <c r="Q592" s="354"/>
      <c r="R592" s="370"/>
      <c r="S592" s="354"/>
      <c r="T592" s="354"/>
      <c r="U592" s="354"/>
      <c r="V592" s="354"/>
      <c r="W592" s="354"/>
      <c r="X592" s="354"/>
      <c r="Y592" s="354"/>
      <c r="Z592" s="354"/>
      <c r="AA592" s="354"/>
      <c r="AB592" s="354"/>
      <c r="AC592" s="354"/>
      <c r="AD592" s="354"/>
      <c r="AE592" s="354"/>
      <c r="AF592" s="354"/>
      <c r="AG592" s="354"/>
      <c r="AH592" s="354"/>
      <c r="AI592" s="354"/>
      <c r="AJ592" s="354"/>
      <c r="AK592" s="354"/>
      <c r="AL592" s="354"/>
      <c r="AM592" s="354"/>
      <c r="AN592" s="354"/>
      <c r="AO592" s="354"/>
      <c r="AP592" s="354"/>
      <c r="AQ592" s="354"/>
      <c r="AR592" s="354"/>
      <c r="AS592" s="354"/>
      <c r="AT592" s="354"/>
      <c r="AU592" s="354"/>
      <c r="AV592" s="354"/>
      <c r="AW592" s="354"/>
      <c r="AX592" s="354"/>
      <c r="AY592" s="354"/>
      <c r="AZ592" s="354"/>
    </row>
    <row r="593" spans="3:52" x14ac:dyDescent="0.25">
      <c r="C593" s="354"/>
      <c r="D593" s="354"/>
      <c r="E593" s="354"/>
      <c r="F593" s="354"/>
      <c r="G593" s="354"/>
      <c r="H593" s="354"/>
      <c r="I593" s="354"/>
      <c r="J593" s="354"/>
      <c r="K593" s="354"/>
      <c r="L593" s="354"/>
      <c r="M593" s="354"/>
      <c r="N593" s="354"/>
      <c r="O593" s="354"/>
      <c r="P593" s="354"/>
      <c r="Q593" s="354"/>
      <c r="R593" s="370"/>
      <c r="S593" s="354"/>
      <c r="T593" s="354"/>
      <c r="U593" s="354"/>
      <c r="V593" s="354"/>
      <c r="W593" s="354"/>
      <c r="X593" s="354"/>
      <c r="Y593" s="354"/>
      <c r="Z593" s="354"/>
      <c r="AA593" s="354"/>
      <c r="AB593" s="354"/>
      <c r="AC593" s="354"/>
      <c r="AD593" s="354"/>
      <c r="AE593" s="354"/>
      <c r="AF593" s="354"/>
      <c r="AG593" s="354"/>
      <c r="AH593" s="354"/>
      <c r="AI593" s="354"/>
      <c r="AJ593" s="354"/>
      <c r="AK593" s="354"/>
      <c r="AL593" s="354"/>
      <c r="AM593" s="354"/>
      <c r="AN593" s="354"/>
      <c r="AO593" s="354"/>
      <c r="AP593" s="354"/>
      <c r="AQ593" s="354"/>
      <c r="AR593" s="354"/>
      <c r="AS593" s="354"/>
      <c r="AT593" s="354"/>
      <c r="AU593" s="354"/>
      <c r="AV593" s="354"/>
      <c r="AW593" s="354"/>
      <c r="AX593" s="354"/>
      <c r="AY593" s="354"/>
      <c r="AZ593" s="354"/>
    </row>
    <row r="594" spans="3:52" x14ac:dyDescent="0.25">
      <c r="C594" s="354"/>
      <c r="D594" s="354"/>
      <c r="E594" s="354"/>
      <c r="F594" s="354"/>
      <c r="G594" s="354"/>
      <c r="H594" s="354"/>
      <c r="I594" s="354"/>
      <c r="J594" s="354"/>
      <c r="K594" s="354"/>
      <c r="L594" s="354"/>
      <c r="M594" s="354"/>
      <c r="N594" s="354"/>
      <c r="O594" s="354"/>
      <c r="P594" s="354"/>
      <c r="Q594" s="354"/>
      <c r="R594" s="370"/>
      <c r="S594" s="354"/>
      <c r="T594" s="354"/>
      <c r="U594" s="354"/>
      <c r="V594" s="354"/>
      <c r="W594" s="354"/>
      <c r="X594" s="354"/>
      <c r="Y594" s="354"/>
      <c r="Z594" s="354"/>
      <c r="AA594" s="354"/>
      <c r="AB594" s="354"/>
      <c r="AC594" s="354"/>
      <c r="AD594" s="354"/>
      <c r="AE594" s="354"/>
      <c r="AF594" s="354"/>
      <c r="AG594" s="354"/>
      <c r="AH594" s="354"/>
      <c r="AI594" s="354"/>
      <c r="AJ594" s="354"/>
      <c r="AK594" s="354"/>
      <c r="AL594" s="354"/>
      <c r="AM594" s="354"/>
      <c r="AN594" s="354"/>
      <c r="AO594" s="354"/>
      <c r="AP594" s="354"/>
      <c r="AQ594" s="354"/>
      <c r="AR594" s="354"/>
      <c r="AS594" s="354"/>
      <c r="AT594" s="354"/>
      <c r="AU594" s="354"/>
      <c r="AV594" s="354"/>
      <c r="AW594" s="354"/>
      <c r="AX594" s="354"/>
      <c r="AY594" s="354"/>
      <c r="AZ594" s="354"/>
    </row>
    <row r="595" spans="3:52" x14ac:dyDescent="0.25">
      <c r="C595" s="354"/>
      <c r="D595" s="354"/>
      <c r="E595" s="354"/>
      <c r="F595" s="354"/>
      <c r="G595" s="354"/>
      <c r="H595" s="354"/>
      <c r="I595" s="354"/>
      <c r="J595" s="354"/>
      <c r="K595" s="354"/>
      <c r="L595" s="354"/>
      <c r="M595" s="354"/>
      <c r="N595" s="354"/>
      <c r="O595" s="354"/>
      <c r="P595" s="354"/>
      <c r="Q595" s="354"/>
      <c r="R595" s="370"/>
      <c r="S595" s="354"/>
      <c r="T595" s="354"/>
      <c r="U595" s="354"/>
      <c r="V595" s="354"/>
      <c r="W595" s="354"/>
      <c r="X595" s="354"/>
      <c r="Y595" s="354"/>
      <c r="Z595" s="354"/>
      <c r="AA595" s="354"/>
      <c r="AB595" s="354"/>
      <c r="AC595" s="354"/>
      <c r="AD595" s="354"/>
      <c r="AE595" s="354"/>
      <c r="AF595" s="354"/>
      <c r="AG595" s="354"/>
      <c r="AH595" s="354"/>
      <c r="AI595" s="354"/>
      <c r="AJ595" s="354"/>
      <c r="AK595" s="354"/>
      <c r="AL595" s="354"/>
      <c r="AM595" s="354"/>
      <c r="AN595" s="354"/>
      <c r="AO595" s="354"/>
      <c r="AP595" s="354"/>
      <c r="AQ595" s="354"/>
      <c r="AR595" s="354"/>
      <c r="AS595" s="354"/>
      <c r="AT595" s="354"/>
      <c r="AU595" s="354"/>
      <c r="AV595" s="354"/>
      <c r="AW595" s="354"/>
      <c r="AX595" s="354"/>
      <c r="AY595" s="354"/>
      <c r="AZ595" s="354"/>
    </row>
    <row r="596" spans="3:52" x14ac:dyDescent="0.25">
      <c r="C596" s="354"/>
      <c r="D596" s="354"/>
      <c r="E596" s="354"/>
      <c r="F596" s="354"/>
      <c r="G596" s="354"/>
      <c r="H596" s="354"/>
      <c r="I596" s="354"/>
      <c r="J596" s="354"/>
      <c r="K596" s="354"/>
      <c r="L596" s="354"/>
      <c r="M596" s="354"/>
      <c r="N596" s="354"/>
      <c r="O596" s="354"/>
      <c r="P596" s="354"/>
      <c r="Q596" s="354"/>
      <c r="R596" s="370"/>
      <c r="S596" s="354"/>
      <c r="T596" s="354"/>
      <c r="U596" s="354"/>
      <c r="V596" s="354"/>
      <c r="W596" s="354"/>
      <c r="X596" s="354"/>
      <c r="Y596" s="354"/>
      <c r="Z596" s="354"/>
      <c r="AA596" s="354"/>
      <c r="AB596" s="354"/>
      <c r="AC596" s="354"/>
      <c r="AD596" s="354"/>
      <c r="AE596" s="354"/>
      <c r="AF596" s="354"/>
      <c r="AG596" s="354"/>
      <c r="AH596" s="354"/>
      <c r="AI596" s="354"/>
      <c r="AJ596" s="354"/>
      <c r="AK596" s="354"/>
      <c r="AL596" s="354"/>
      <c r="AM596" s="354"/>
      <c r="AN596" s="354"/>
      <c r="AO596" s="354"/>
      <c r="AP596" s="354"/>
      <c r="AQ596" s="354"/>
      <c r="AR596" s="354"/>
      <c r="AS596" s="354"/>
      <c r="AT596" s="354"/>
      <c r="AU596" s="354"/>
      <c r="AV596" s="354"/>
      <c r="AW596" s="354"/>
      <c r="AX596" s="354"/>
      <c r="AY596" s="354"/>
      <c r="AZ596" s="354"/>
    </row>
    <row r="597" spans="3:52" x14ac:dyDescent="0.25">
      <c r="C597" s="354"/>
      <c r="D597" s="354"/>
      <c r="E597" s="354"/>
      <c r="F597" s="354"/>
      <c r="G597" s="354"/>
      <c r="H597" s="354"/>
      <c r="I597" s="354"/>
      <c r="J597" s="354"/>
      <c r="K597" s="354"/>
      <c r="L597" s="354"/>
      <c r="M597" s="354"/>
      <c r="N597" s="354"/>
      <c r="O597" s="354"/>
      <c r="P597" s="354"/>
      <c r="Q597" s="354"/>
      <c r="R597" s="370"/>
      <c r="S597" s="354"/>
      <c r="T597" s="354"/>
      <c r="U597" s="354"/>
      <c r="V597" s="354"/>
      <c r="W597" s="354"/>
      <c r="X597" s="354"/>
      <c r="Y597" s="354"/>
      <c r="Z597" s="354"/>
      <c r="AA597" s="354"/>
      <c r="AB597" s="354"/>
      <c r="AC597" s="354"/>
      <c r="AD597" s="354"/>
      <c r="AE597" s="354"/>
      <c r="AF597" s="354"/>
      <c r="AG597" s="354"/>
      <c r="AH597" s="354"/>
      <c r="AI597" s="354"/>
      <c r="AJ597" s="354"/>
      <c r="AK597" s="354"/>
      <c r="AL597" s="354"/>
      <c r="AM597" s="354"/>
      <c r="AN597" s="354"/>
      <c r="AO597" s="354"/>
      <c r="AP597" s="354"/>
      <c r="AQ597" s="354"/>
      <c r="AR597" s="354"/>
      <c r="AS597" s="354"/>
      <c r="AT597" s="354"/>
      <c r="AU597" s="354"/>
      <c r="AV597" s="354"/>
      <c r="AW597" s="354"/>
      <c r="AX597" s="354"/>
      <c r="AY597" s="354"/>
      <c r="AZ597" s="354"/>
    </row>
    <row r="598" spans="3:52" x14ac:dyDescent="0.25">
      <c r="C598" s="354"/>
      <c r="D598" s="354"/>
      <c r="E598" s="354"/>
      <c r="F598" s="354"/>
      <c r="G598" s="354"/>
      <c r="H598" s="354"/>
      <c r="I598" s="354"/>
      <c r="J598" s="354"/>
      <c r="K598" s="354"/>
      <c r="L598" s="354"/>
      <c r="M598" s="354"/>
      <c r="N598" s="354"/>
      <c r="O598" s="354"/>
      <c r="P598" s="354"/>
      <c r="Q598" s="354"/>
      <c r="R598" s="370"/>
      <c r="S598" s="354"/>
      <c r="T598" s="354"/>
      <c r="U598" s="354"/>
      <c r="V598" s="354"/>
      <c r="W598" s="354"/>
      <c r="X598" s="354"/>
      <c r="Y598" s="354"/>
      <c r="Z598" s="354"/>
      <c r="AA598" s="354"/>
      <c r="AB598" s="354"/>
      <c r="AC598" s="354"/>
      <c r="AD598" s="354"/>
      <c r="AE598" s="354"/>
      <c r="AF598" s="354"/>
      <c r="AG598" s="354"/>
      <c r="AH598" s="354"/>
      <c r="AI598" s="354"/>
      <c r="AJ598" s="354"/>
      <c r="AK598" s="354"/>
      <c r="AL598" s="354"/>
      <c r="AM598" s="354"/>
      <c r="AN598" s="354"/>
      <c r="AO598" s="354"/>
      <c r="AP598" s="354"/>
      <c r="AQ598" s="354"/>
      <c r="AR598" s="354"/>
      <c r="AS598" s="354"/>
      <c r="AT598" s="354"/>
      <c r="AU598" s="354"/>
      <c r="AV598" s="354"/>
      <c r="AW598" s="354"/>
      <c r="AX598" s="354"/>
      <c r="AY598" s="354"/>
      <c r="AZ598" s="354"/>
    </row>
    <row r="599" spans="3:52" x14ac:dyDescent="0.25">
      <c r="C599" s="354"/>
      <c r="D599" s="354"/>
      <c r="E599" s="354"/>
      <c r="F599" s="354"/>
      <c r="G599" s="354"/>
      <c r="H599" s="354"/>
      <c r="I599" s="354"/>
      <c r="J599" s="354"/>
      <c r="K599" s="354"/>
      <c r="L599" s="354"/>
      <c r="M599" s="354"/>
      <c r="N599" s="354"/>
      <c r="O599" s="354"/>
      <c r="P599" s="354"/>
      <c r="Q599" s="354"/>
      <c r="R599" s="370"/>
      <c r="S599" s="354"/>
      <c r="T599" s="354"/>
      <c r="U599" s="354"/>
      <c r="V599" s="354"/>
      <c r="W599" s="354"/>
      <c r="X599" s="354"/>
      <c r="Y599" s="354"/>
      <c r="Z599" s="354"/>
      <c r="AA599" s="354"/>
      <c r="AB599" s="354"/>
      <c r="AC599" s="354"/>
      <c r="AD599" s="354"/>
      <c r="AE599" s="354"/>
      <c r="AF599" s="354"/>
      <c r="AG599" s="354"/>
      <c r="AH599" s="354"/>
      <c r="AI599" s="354"/>
      <c r="AJ599" s="354"/>
      <c r="AK599" s="354"/>
      <c r="AL599" s="354"/>
      <c r="AM599" s="354"/>
      <c r="AN599" s="354"/>
      <c r="AO599" s="354"/>
      <c r="AP599" s="354"/>
      <c r="AQ599" s="354"/>
      <c r="AR599" s="354"/>
      <c r="AS599" s="354"/>
      <c r="AT599" s="354"/>
      <c r="AU599" s="354"/>
      <c r="AV599" s="354"/>
      <c r="AW599" s="354"/>
      <c r="AX599" s="354"/>
      <c r="AY599" s="354"/>
      <c r="AZ599" s="354"/>
    </row>
    <row r="600" spans="3:52" x14ac:dyDescent="0.25">
      <c r="C600" s="354"/>
      <c r="D600" s="354"/>
      <c r="E600" s="354"/>
      <c r="F600" s="354"/>
      <c r="G600" s="354"/>
      <c r="H600" s="354"/>
      <c r="I600" s="354"/>
      <c r="J600" s="354"/>
      <c r="K600" s="354"/>
      <c r="L600" s="354"/>
      <c r="M600" s="354"/>
      <c r="N600" s="354"/>
      <c r="O600" s="354"/>
      <c r="P600" s="354"/>
      <c r="Q600" s="354"/>
      <c r="R600" s="370"/>
      <c r="S600" s="354"/>
      <c r="T600" s="354"/>
      <c r="U600" s="354"/>
      <c r="V600" s="354"/>
      <c r="W600" s="354"/>
      <c r="X600" s="354"/>
      <c r="Y600" s="354"/>
      <c r="Z600" s="354"/>
      <c r="AA600" s="354"/>
      <c r="AB600" s="354"/>
      <c r="AC600" s="354"/>
      <c r="AD600" s="354"/>
      <c r="AE600" s="354"/>
      <c r="AF600" s="354"/>
      <c r="AG600" s="354"/>
      <c r="AH600" s="354"/>
      <c r="AI600" s="354"/>
      <c r="AJ600" s="354"/>
      <c r="AK600" s="354"/>
      <c r="AL600" s="354"/>
      <c r="AM600" s="354"/>
      <c r="AN600" s="354"/>
      <c r="AO600" s="354"/>
      <c r="AP600" s="354"/>
      <c r="AQ600" s="354"/>
      <c r="AR600" s="354"/>
      <c r="AS600" s="354"/>
      <c r="AT600" s="354"/>
      <c r="AU600" s="354"/>
      <c r="AV600" s="354"/>
      <c r="AW600" s="354"/>
      <c r="AX600" s="354"/>
      <c r="AY600" s="354"/>
      <c r="AZ600" s="354"/>
    </row>
    <row r="601" spans="3:52" x14ac:dyDescent="0.25">
      <c r="C601" s="354"/>
      <c r="D601" s="354"/>
      <c r="E601" s="354"/>
      <c r="F601" s="354"/>
      <c r="G601" s="354"/>
      <c r="H601" s="354"/>
      <c r="I601" s="354"/>
      <c r="J601" s="354"/>
      <c r="K601" s="354"/>
      <c r="L601" s="354"/>
      <c r="M601" s="354"/>
      <c r="N601" s="354"/>
      <c r="O601" s="354"/>
      <c r="P601" s="354"/>
      <c r="Q601" s="354"/>
      <c r="R601" s="370"/>
      <c r="S601" s="354"/>
      <c r="T601" s="354"/>
      <c r="U601" s="354"/>
      <c r="V601" s="354"/>
      <c r="W601" s="354"/>
      <c r="X601" s="354"/>
      <c r="Y601" s="354"/>
      <c r="Z601" s="354"/>
      <c r="AA601" s="354"/>
      <c r="AB601" s="354"/>
      <c r="AC601" s="354"/>
      <c r="AD601" s="354"/>
      <c r="AE601" s="354"/>
      <c r="AF601" s="354"/>
      <c r="AG601" s="354"/>
      <c r="AH601" s="354"/>
      <c r="AI601" s="354"/>
      <c r="AJ601" s="354"/>
      <c r="AK601" s="354"/>
      <c r="AL601" s="354"/>
      <c r="AM601" s="354"/>
      <c r="AN601" s="354"/>
      <c r="AO601" s="354"/>
      <c r="AP601" s="354"/>
      <c r="AQ601" s="354"/>
      <c r="AR601" s="354"/>
      <c r="AS601" s="354"/>
      <c r="AT601" s="354"/>
      <c r="AU601" s="354"/>
      <c r="AV601" s="354"/>
      <c r="AW601" s="354"/>
      <c r="AX601" s="354"/>
      <c r="AY601" s="354"/>
      <c r="AZ601" s="354"/>
    </row>
    <row r="602" spans="3:52" x14ac:dyDescent="0.25">
      <c r="C602" s="354"/>
      <c r="D602" s="354"/>
      <c r="E602" s="354"/>
      <c r="F602" s="354"/>
      <c r="G602" s="354"/>
      <c r="H602" s="354"/>
      <c r="I602" s="354"/>
      <c r="J602" s="354"/>
      <c r="K602" s="354"/>
      <c r="L602" s="354"/>
      <c r="M602" s="354"/>
      <c r="N602" s="354"/>
      <c r="O602" s="354"/>
      <c r="P602" s="354"/>
      <c r="Q602" s="354"/>
      <c r="R602" s="370"/>
      <c r="S602" s="354"/>
      <c r="T602" s="354"/>
      <c r="U602" s="354"/>
      <c r="V602" s="354"/>
      <c r="W602" s="354"/>
      <c r="X602" s="354"/>
      <c r="Y602" s="354"/>
      <c r="Z602" s="354"/>
      <c r="AA602" s="354"/>
      <c r="AB602" s="354"/>
      <c r="AC602" s="354"/>
      <c r="AD602" s="354"/>
      <c r="AE602" s="354"/>
      <c r="AF602" s="354"/>
      <c r="AG602" s="354"/>
      <c r="AH602" s="354"/>
      <c r="AI602" s="354"/>
      <c r="AJ602" s="354"/>
      <c r="AK602" s="354"/>
      <c r="AL602" s="354"/>
      <c r="AM602" s="354"/>
      <c r="AN602" s="354"/>
      <c r="AO602" s="354"/>
      <c r="AP602" s="354"/>
      <c r="AQ602" s="354"/>
      <c r="AR602" s="354"/>
      <c r="AS602" s="354"/>
      <c r="AT602" s="354"/>
      <c r="AU602" s="354"/>
      <c r="AV602" s="354"/>
      <c r="AW602" s="354"/>
      <c r="AX602" s="354"/>
      <c r="AY602" s="354"/>
      <c r="AZ602" s="354"/>
    </row>
    <row r="603" spans="3:52" x14ac:dyDescent="0.25">
      <c r="C603" s="354"/>
      <c r="D603" s="354"/>
      <c r="E603" s="354"/>
      <c r="F603" s="354"/>
      <c r="G603" s="354"/>
      <c r="H603" s="354"/>
      <c r="I603" s="354"/>
      <c r="J603" s="354"/>
      <c r="K603" s="354"/>
      <c r="L603" s="354"/>
      <c r="M603" s="354"/>
      <c r="N603" s="354"/>
      <c r="O603" s="354"/>
      <c r="P603" s="354"/>
      <c r="Q603" s="354"/>
      <c r="R603" s="370"/>
      <c r="S603" s="354"/>
      <c r="T603" s="354"/>
      <c r="U603" s="354"/>
      <c r="V603" s="354"/>
      <c r="W603" s="354"/>
      <c r="X603" s="354"/>
      <c r="Y603" s="354"/>
      <c r="Z603" s="354"/>
      <c r="AA603" s="354"/>
      <c r="AB603" s="354"/>
      <c r="AC603" s="354"/>
      <c r="AD603" s="354"/>
      <c r="AE603" s="354"/>
      <c r="AF603" s="354"/>
      <c r="AG603" s="354"/>
      <c r="AH603" s="354"/>
      <c r="AI603" s="354"/>
      <c r="AJ603" s="354"/>
      <c r="AK603" s="354"/>
      <c r="AL603" s="354"/>
      <c r="AM603" s="354"/>
      <c r="AN603" s="354"/>
      <c r="AO603" s="354"/>
      <c r="AP603" s="354"/>
      <c r="AQ603" s="354"/>
      <c r="AR603" s="354"/>
      <c r="AS603" s="354"/>
      <c r="AT603" s="354"/>
      <c r="AU603" s="354"/>
      <c r="AV603" s="354"/>
      <c r="AW603" s="354"/>
      <c r="AX603" s="354"/>
      <c r="AY603" s="354"/>
      <c r="AZ603" s="354"/>
    </row>
    <row r="604" spans="3:52" x14ac:dyDescent="0.25">
      <c r="C604" s="354"/>
      <c r="D604" s="354"/>
      <c r="E604" s="354"/>
      <c r="F604" s="354"/>
      <c r="G604" s="354"/>
      <c r="H604" s="354"/>
      <c r="I604" s="354"/>
      <c r="J604" s="354"/>
      <c r="K604" s="354"/>
      <c r="L604" s="354"/>
      <c r="M604" s="354"/>
      <c r="N604" s="354"/>
      <c r="O604" s="354"/>
      <c r="P604" s="354"/>
      <c r="Q604" s="354"/>
      <c r="R604" s="370"/>
      <c r="S604" s="354"/>
      <c r="T604" s="354"/>
      <c r="U604" s="354"/>
      <c r="V604" s="354"/>
      <c r="W604" s="354"/>
      <c r="X604" s="354"/>
      <c r="Y604" s="354"/>
      <c r="Z604" s="354"/>
      <c r="AA604" s="354"/>
      <c r="AB604" s="354"/>
      <c r="AC604" s="354"/>
      <c r="AD604" s="354"/>
      <c r="AE604" s="354"/>
      <c r="AF604" s="354"/>
      <c r="AG604" s="354"/>
      <c r="AH604" s="354"/>
      <c r="AI604" s="354"/>
      <c r="AJ604" s="354"/>
      <c r="AK604" s="354"/>
      <c r="AL604" s="354"/>
      <c r="AM604" s="354"/>
      <c r="AN604" s="354"/>
      <c r="AO604" s="354"/>
      <c r="AP604" s="354"/>
      <c r="AQ604" s="354"/>
      <c r="AR604" s="354"/>
      <c r="AS604" s="354"/>
      <c r="AT604" s="354"/>
      <c r="AU604" s="354"/>
      <c r="AV604" s="354"/>
      <c r="AW604" s="354"/>
      <c r="AX604" s="354"/>
      <c r="AY604" s="354"/>
      <c r="AZ604" s="354"/>
    </row>
    <row r="605" spans="3:52" x14ac:dyDescent="0.25">
      <c r="C605" s="354"/>
      <c r="D605" s="354"/>
      <c r="E605" s="354"/>
      <c r="F605" s="354"/>
      <c r="G605" s="354"/>
      <c r="H605" s="354"/>
      <c r="I605" s="354"/>
      <c r="J605" s="354"/>
      <c r="K605" s="354"/>
      <c r="L605" s="354"/>
      <c r="M605" s="354"/>
      <c r="N605" s="354"/>
      <c r="O605" s="354"/>
      <c r="P605" s="354"/>
      <c r="Q605" s="354"/>
      <c r="R605" s="370"/>
      <c r="S605" s="354"/>
      <c r="T605" s="354"/>
      <c r="U605" s="354"/>
      <c r="V605" s="354"/>
      <c r="W605" s="354"/>
      <c r="X605" s="354"/>
      <c r="Y605" s="354"/>
      <c r="Z605" s="354"/>
      <c r="AA605" s="354"/>
      <c r="AB605" s="354"/>
      <c r="AC605" s="354"/>
      <c r="AD605" s="354"/>
      <c r="AE605" s="354"/>
      <c r="AF605" s="354"/>
      <c r="AG605" s="354"/>
      <c r="AH605" s="354"/>
      <c r="AI605" s="354"/>
      <c r="AJ605" s="354"/>
      <c r="AK605" s="354"/>
      <c r="AL605" s="354"/>
      <c r="AM605" s="354"/>
      <c r="AN605" s="354"/>
      <c r="AO605" s="354"/>
      <c r="AP605" s="354"/>
      <c r="AQ605" s="354"/>
      <c r="AR605" s="354"/>
      <c r="AS605" s="354"/>
      <c r="AT605" s="354"/>
      <c r="AU605" s="354"/>
      <c r="AV605" s="354"/>
      <c r="AW605" s="354"/>
      <c r="AX605" s="354"/>
      <c r="AY605" s="354"/>
      <c r="AZ605" s="354"/>
    </row>
    <row r="606" spans="3:52" x14ac:dyDescent="0.25">
      <c r="C606" s="354"/>
      <c r="D606" s="354"/>
      <c r="E606" s="354"/>
      <c r="F606" s="354"/>
      <c r="G606" s="354"/>
      <c r="H606" s="354"/>
      <c r="I606" s="354"/>
      <c r="J606" s="354"/>
      <c r="K606" s="354"/>
      <c r="L606" s="354"/>
      <c r="M606" s="354"/>
      <c r="N606" s="354"/>
      <c r="O606" s="354"/>
      <c r="P606" s="354"/>
      <c r="Q606" s="354"/>
      <c r="R606" s="370"/>
      <c r="S606" s="354"/>
      <c r="T606" s="354"/>
      <c r="U606" s="354"/>
      <c r="V606" s="354"/>
      <c r="W606" s="354"/>
      <c r="X606" s="354"/>
      <c r="Y606" s="354"/>
      <c r="Z606" s="354"/>
      <c r="AA606" s="354"/>
      <c r="AB606" s="354"/>
      <c r="AC606" s="354"/>
      <c r="AD606" s="354"/>
      <c r="AE606" s="354"/>
      <c r="AF606" s="354"/>
      <c r="AG606" s="354"/>
      <c r="AH606" s="354"/>
      <c r="AI606" s="354"/>
      <c r="AJ606" s="354"/>
      <c r="AK606" s="354"/>
      <c r="AL606" s="354"/>
      <c r="AM606" s="354"/>
      <c r="AN606" s="354"/>
      <c r="AO606" s="354"/>
      <c r="AP606" s="354"/>
      <c r="AQ606" s="354"/>
      <c r="AR606" s="354"/>
      <c r="AS606" s="354"/>
      <c r="AT606" s="354"/>
      <c r="AU606" s="354"/>
      <c r="AV606" s="354"/>
      <c r="AW606" s="354"/>
      <c r="AX606" s="354"/>
      <c r="AY606" s="354"/>
      <c r="AZ606" s="354"/>
    </row>
    <row r="607" spans="3:52" x14ac:dyDescent="0.25">
      <c r="C607" s="354"/>
      <c r="D607" s="354"/>
      <c r="E607" s="354"/>
      <c r="F607" s="354"/>
      <c r="G607" s="354"/>
      <c r="H607" s="354"/>
      <c r="I607" s="354"/>
      <c r="J607" s="354"/>
      <c r="K607" s="354"/>
      <c r="L607" s="354"/>
      <c r="M607" s="354"/>
      <c r="N607" s="354"/>
      <c r="O607" s="354"/>
      <c r="P607" s="354"/>
      <c r="Q607" s="354"/>
      <c r="R607" s="370"/>
      <c r="S607" s="354"/>
      <c r="T607" s="354"/>
      <c r="U607" s="354"/>
      <c r="V607" s="354"/>
      <c r="W607" s="354"/>
      <c r="X607" s="354"/>
      <c r="Y607" s="354"/>
      <c r="Z607" s="354"/>
      <c r="AA607" s="354"/>
      <c r="AB607" s="354"/>
      <c r="AC607" s="354"/>
      <c r="AD607" s="354"/>
      <c r="AE607" s="354"/>
      <c r="AF607" s="354"/>
      <c r="AG607" s="354"/>
      <c r="AH607" s="354"/>
      <c r="AI607" s="354"/>
      <c r="AJ607" s="354"/>
      <c r="AK607" s="354"/>
      <c r="AL607" s="354"/>
      <c r="AM607" s="354"/>
      <c r="AN607" s="354"/>
      <c r="AO607" s="354"/>
      <c r="AP607" s="354"/>
      <c r="AQ607" s="354"/>
      <c r="AR607" s="354"/>
      <c r="AS607" s="354"/>
      <c r="AT607" s="354"/>
      <c r="AU607" s="354"/>
      <c r="AV607" s="354"/>
      <c r="AW607" s="354"/>
      <c r="AX607" s="354"/>
      <c r="AY607" s="354"/>
      <c r="AZ607" s="354"/>
    </row>
    <row r="608" spans="3:52" x14ac:dyDescent="0.25">
      <c r="C608" s="354"/>
      <c r="D608" s="354"/>
      <c r="E608" s="354"/>
      <c r="F608" s="354"/>
      <c r="G608" s="354"/>
      <c r="H608" s="354"/>
      <c r="I608" s="354"/>
      <c r="J608" s="354"/>
      <c r="K608" s="354"/>
      <c r="L608" s="354"/>
      <c r="M608" s="354"/>
      <c r="N608" s="354"/>
      <c r="O608" s="354"/>
      <c r="P608" s="354"/>
      <c r="Q608" s="354"/>
      <c r="R608" s="370"/>
      <c r="S608" s="354"/>
      <c r="T608" s="354"/>
      <c r="U608" s="354"/>
      <c r="V608" s="354"/>
      <c r="W608" s="354"/>
      <c r="X608" s="354"/>
      <c r="Y608" s="354"/>
      <c r="Z608" s="354"/>
      <c r="AA608" s="354"/>
      <c r="AB608" s="354"/>
      <c r="AC608" s="354"/>
      <c r="AD608" s="354"/>
      <c r="AE608" s="354"/>
      <c r="AF608" s="354"/>
      <c r="AG608" s="354"/>
      <c r="AH608" s="354"/>
      <c r="AI608" s="354"/>
      <c r="AJ608" s="354"/>
      <c r="AK608" s="354"/>
      <c r="AL608" s="354"/>
      <c r="AM608" s="354"/>
      <c r="AN608" s="354"/>
      <c r="AO608" s="354"/>
      <c r="AP608" s="354"/>
      <c r="AQ608" s="354"/>
      <c r="AR608" s="354"/>
      <c r="AS608" s="354"/>
      <c r="AT608" s="354"/>
      <c r="AU608" s="354"/>
      <c r="AV608" s="354"/>
      <c r="AW608" s="354"/>
      <c r="AX608" s="354"/>
      <c r="AY608" s="354"/>
      <c r="AZ608" s="354"/>
    </row>
    <row r="609" spans="3:52" x14ac:dyDescent="0.25">
      <c r="C609" s="354"/>
      <c r="D609" s="354"/>
      <c r="E609" s="354"/>
      <c r="F609" s="354"/>
      <c r="G609" s="354"/>
      <c r="H609" s="354"/>
      <c r="I609" s="354"/>
      <c r="J609" s="354"/>
      <c r="K609" s="354"/>
      <c r="L609" s="354"/>
      <c r="M609" s="354"/>
      <c r="N609" s="354"/>
      <c r="O609" s="354"/>
      <c r="P609" s="354"/>
      <c r="Q609" s="354"/>
      <c r="R609" s="370"/>
      <c r="S609" s="354"/>
      <c r="T609" s="354"/>
      <c r="U609" s="354"/>
      <c r="V609" s="354"/>
      <c r="W609" s="354"/>
      <c r="X609" s="354"/>
      <c r="Y609" s="354"/>
      <c r="Z609" s="354"/>
      <c r="AA609" s="354"/>
      <c r="AB609" s="354"/>
      <c r="AC609" s="354"/>
      <c r="AD609" s="354"/>
      <c r="AE609" s="354"/>
      <c r="AF609" s="354"/>
      <c r="AG609" s="354"/>
      <c r="AH609" s="354"/>
      <c r="AI609" s="354"/>
      <c r="AJ609" s="354"/>
      <c r="AK609" s="354"/>
      <c r="AL609" s="354"/>
      <c r="AM609" s="354"/>
      <c r="AN609" s="354"/>
      <c r="AO609" s="354"/>
      <c r="AP609" s="354"/>
      <c r="AQ609" s="354"/>
      <c r="AR609" s="354"/>
      <c r="AS609" s="354"/>
      <c r="AT609" s="354"/>
      <c r="AU609" s="354"/>
      <c r="AV609" s="354"/>
      <c r="AW609" s="354"/>
      <c r="AX609" s="354"/>
      <c r="AY609" s="354"/>
      <c r="AZ609" s="354"/>
    </row>
    <row r="610" spans="3:52" x14ac:dyDescent="0.25">
      <c r="C610" s="354"/>
      <c r="D610" s="354"/>
      <c r="E610" s="354"/>
      <c r="F610" s="354"/>
      <c r="G610" s="354"/>
      <c r="H610" s="354"/>
      <c r="I610" s="354"/>
      <c r="J610" s="354"/>
      <c r="K610" s="354"/>
      <c r="L610" s="354"/>
      <c r="M610" s="354"/>
      <c r="N610" s="354"/>
      <c r="O610" s="354"/>
      <c r="P610" s="354"/>
      <c r="Q610" s="354"/>
      <c r="R610" s="370"/>
      <c r="S610" s="354"/>
      <c r="T610" s="354"/>
      <c r="U610" s="354"/>
      <c r="V610" s="354"/>
      <c r="W610" s="354"/>
      <c r="X610" s="354"/>
      <c r="Y610" s="354"/>
      <c r="Z610" s="354"/>
      <c r="AA610" s="354"/>
      <c r="AB610" s="354"/>
      <c r="AC610" s="354"/>
      <c r="AD610" s="354"/>
      <c r="AE610" s="354"/>
      <c r="AF610" s="354"/>
      <c r="AG610" s="354"/>
      <c r="AH610" s="354"/>
      <c r="AI610" s="354"/>
      <c r="AJ610" s="354"/>
      <c r="AK610" s="354"/>
      <c r="AL610" s="354"/>
      <c r="AM610" s="354"/>
      <c r="AN610" s="354"/>
      <c r="AO610" s="354"/>
      <c r="AP610" s="354"/>
      <c r="AQ610" s="354"/>
      <c r="AR610" s="354"/>
      <c r="AS610" s="354"/>
      <c r="AT610" s="354"/>
      <c r="AU610" s="354"/>
      <c r="AV610" s="354"/>
      <c r="AW610" s="354"/>
      <c r="AX610" s="354"/>
      <c r="AY610" s="354"/>
      <c r="AZ610" s="354"/>
    </row>
    <row r="611" spans="3:52" x14ac:dyDescent="0.25">
      <c r="C611" s="354"/>
      <c r="D611" s="354"/>
      <c r="E611" s="354"/>
      <c r="F611" s="354"/>
      <c r="G611" s="354"/>
      <c r="H611" s="354"/>
      <c r="I611" s="354"/>
      <c r="J611" s="354"/>
      <c r="K611" s="354"/>
      <c r="L611" s="354"/>
      <c r="M611" s="354"/>
      <c r="N611" s="354"/>
      <c r="O611" s="354"/>
      <c r="P611" s="354"/>
      <c r="Q611" s="354"/>
      <c r="R611" s="370"/>
      <c r="S611" s="354"/>
      <c r="T611" s="354"/>
      <c r="U611" s="354"/>
      <c r="V611" s="354"/>
      <c r="W611" s="354"/>
      <c r="X611" s="354"/>
      <c r="Y611" s="354"/>
      <c r="Z611" s="354"/>
      <c r="AA611" s="354"/>
      <c r="AB611" s="354"/>
      <c r="AC611" s="354"/>
      <c r="AD611" s="354"/>
      <c r="AE611" s="354"/>
      <c r="AF611" s="354"/>
      <c r="AG611" s="354"/>
      <c r="AH611" s="354"/>
      <c r="AI611" s="354"/>
      <c r="AJ611" s="354"/>
      <c r="AK611" s="354"/>
      <c r="AL611" s="354"/>
      <c r="AM611" s="354"/>
      <c r="AN611" s="354"/>
      <c r="AO611" s="354"/>
      <c r="AP611" s="354"/>
      <c r="AQ611" s="354"/>
      <c r="AR611" s="354"/>
      <c r="AS611" s="354"/>
      <c r="AT611" s="354"/>
      <c r="AU611" s="354"/>
      <c r="AV611" s="354"/>
      <c r="AW611" s="354"/>
      <c r="AX611" s="354"/>
      <c r="AY611" s="354"/>
      <c r="AZ611" s="354"/>
    </row>
    <row r="612" spans="3:52" x14ac:dyDescent="0.25">
      <c r="C612" s="354"/>
      <c r="D612" s="354"/>
      <c r="E612" s="354"/>
      <c r="F612" s="354"/>
      <c r="G612" s="354"/>
      <c r="H612" s="354"/>
      <c r="I612" s="354"/>
      <c r="J612" s="354"/>
      <c r="K612" s="354"/>
      <c r="L612" s="354"/>
      <c r="M612" s="354"/>
      <c r="N612" s="354"/>
      <c r="O612" s="354"/>
      <c r="P612" s="354"/>
      <c r="Q612" s="354"/>
      <c r="R612" s="370"/>
      <c r="S612" s="354"/>
      <c r="T612" s="354"/>
      <c r="U612" s="354"/>
      <c r="V612" s="354"/>
      <c r="W612" s="354"/>
      <c r="X612" s="354"/>
      <c r="Y612" s="354"/>
      <c r="Z612" s="354"/>
      <c r="AA612" s="354"/>
      <c r="AB612" s="354"/>
      <c r="AC612" s="354"/>
      <c r="AD612" s="354"/>
      <c r="AE612" s="354"/>
      <c r="AF612" s="354"/>
      <c r="AG612" s="354"/>
      <c r="AH612" s="354"/>
      <c r="AI612" s="354"/>
      <c r="AJ612" s="354"/>
      <c r="AK612" s="354"/>
      <c r="AL612" s="354"/>
      <c r="AM612" s="354"/>
      <c r="AN612" s="354"/>
      <c r="AO612" s="354"/>
      <c r="AP612" s="354"/>
      <c r="AQ612" s="354"/>
      <c r="AR612" s="354"/>
      <c r="AS612" s="354"/>
      <c r="AT612" s="354"/>
      <c r="AU612" s="354"/>
      <c r="AV612" s="354"/>
      <c r="AW612" s="354"/>
      <c r="AX612" s="354"/>
      <c r="AY612" s="354"/>
      <c r="AZ612" s="354"/>
    </row>
    <row r="613" spans="3:52" x14ac:dyDescent="0.25">
      <c r="C613" s="354"/>
      <c r="D613" s="354"/>
      <c r="E613" s="354"/>
      <c r="F613" s="354"/>
      <c r="G613" s="354"/>
      <c r="H613" s="354"/>
      <c r="I613" s="354"/>
      <c r="J613" s="354"/>
      <c r="K613" s="354"/>
      <c r="L613" s="354"/>
      <c r="M613" s="354"/>
      <c r="N613" s="354"/>
      <c r="O613" s="354"/>
      <c r="P613" s="354"/>
      <c r="Q613" s="354"/>
      <c r="R613" s="370"/>
      <c r="S613" s="354"/>
      <c r="T613" s="354"/>
      <c r="U613" s="354"/>
      <c r="V613" s="354"/>
      <c r="W613" s="354"/>
      <c r="X613" s="354"/>
      <c r="Y613" s="354"/>
      <c r="Z613" s="354"/>
      <c r="AA613" s="354"/>
      <c r="AB613" s="354"/>
      <c r="AC613" s="354"/>
      <c r="AD613" s="354"/>
      <c r="AE613" s="354"/>
      <c r="AF613" s="354"/>
      <c r="AG613" s="354"/>
      <c r="AH613" s="354"/>
      <c r="AI613" s="354"/>
      <c r="AJ613" s="354"/>
      <c r="AK613" s="354"/>
      <c r="AL613" s="354"/>
      <c r="AM613" s="354"/>
      <c r="AN613" s="354"/>
      <c r="AO613" s="354"/>
      <c r="AP613" s="354"/>
      <c r="AQ613" s="354"/>
      <c r="AR613" s="354"/>
      <c r="AS613" s="354"/>
      <c r="AT613" s="354"/>
      <c r="AU613" s="354"/>
      <c r="AV613" s="354"/>
      <c r="AW613" s="354"/>
      <c r="AX613" s="354"/>
      <c r="AY613" s="354"/>
      <c r="AZ613" s="354"/>
    </row>
    <row r="614" spans="3:52" x14ac:dyDescent="0.25">
      <c r="C614" s="354"/>
      <c r="D614" s="354"/>
      <c r="E614" s="354"/>
      <c r="F614" s="354"/>
      <c r="G614" s="354"/>
      <c r="H614" s="354"/>
      <c r="I614" s="354"/>
      <c r="J614" s="354"/>
      <c r="K614" s="354"/>
      <c r="L614" s="354"/>
      <c r="M614" s="354"/>
      <c r="N614" s="354"/>
      <c r="O614" s="354"/>
      <c r="P614" s="354"/>
      <c r="Q614" s="354"/>
      <c r="R614" s="370"/>
      <c r="S614" s="354"/>
      <c r="T614" s="354"/>
      <c r="U614" s="354"/>
      <c r="V614" s="354"/>
      <c r="W614" s="354"/>
      <c r="X614" s="354"/>
      <c r="Y614" s="354"/>
      <c r="Z614" s="354"/>
      <c r="AA614" s="354"/>
      <c r="AB614" s="354"/>
      <c r="AC614" s="354"/>
      <c r="AD614" s="354"/>
      <c r="AE614" s="354"/>
      <c r="AF614" s="354"/>
      <c r="AG614" s="354"/>
      <c r="AH614" s="354"/>
      <c r="AI614" s="354"/>
      <c r="AJ614" s="354"/>
      <c r="AK614" s="354"/>
      <c r="AL614" s="354"/>
      <c r="AM614" s="354"/>
      <c r="AN614" s="354"/>
      <c r="AO614" s="354"/>
      <c r="AP614" s="354"/>
      <c r="AQ614" s="354"/>
      <c r="AR614" s="354"/>
      <c r="AS614" s="354"/>
      <c r="AT614" s="354"/>
      <c r="AU614" s="354"/>
      <c r="AV614" s="354"/>
      <c r="AW614" s="354"/>
      <c r="AX614" s="354"/>
      <c r="AY614" s="354"/>
      <c r="AZ614" s="354"/>
    </row>
    <row r="615" spans="3:52" x14ac:dyDescent="0.25">
      <c r="C615" s="354"/>
      <c r="D615" s="354"/>
      <c r="E615" s="354"/>
      <c r="F615" s="354"/>
      <c r="G615" s="354"/>
      <c r="H615" s="354"/>
      <c r="I615" s="354"/>
      <c r="J615" s="354"/>
      <c r="K615" s="354"/>
      <c r="L615" s="354"/>
      <c r="M615" s="354"/>
      <c r="N615" s="354"/>
      <c r="O615" s="354"/>
      <c r="P615" s="354"/>
      <c r="Q615" s="354"/>
      <c r="R615" s="370"/>
      <c r="S615" s="354"/>
      <c r="T615" s="354"/>
      <c r="U615" s="354"/>
      <c r="V615" s="354"/>
      <c r="W615" s="354"/>
      <c r="X615" s="354"/>
      <c r="Y615" s="354"/>
      <c r="Z615" s="354"/>
      <c r="AA615" s="354"/>
      <c r="AB615" s="354"/>
      <c r="AC615" s="354"/>
      <c r="AD615" s="354"/>
      <c r="AE615" s="354"/>
      <c r="AF615" s="354"/>
      <c r="AG615" s="354"/>
      <c r="AH615" s="354"/>
      <c r="AI615" s="354"/>
      <c r="AJ615" s="354"/>
      <c r="AK615" s="354"/>
      <c r="AL615" s="354"/>
      <c r="AM615" s="354"/>
      <c r="AN615" s="354"/>
      <c r="AO615" s="354"/>
      <c r="AP615" s="354"/>
      <c r="AQ615" s="354"/>
      <c r="AR615" s="354"/>
      <c r="AS615" s="354"/>
      <c r="AT615" s="354"/>
      <c r="AU615" s="354"/>
      <c r="AV615" s="354"/>
      <c r="AW615" s="354"/>
      <c r="AX615" s="354"/>
      <c r="AY615" s="354"/>
      <c r="AZ615" s="354"/>
    </row>
    <row r="616" spans="3:52" x14ac:dyDescent="0.25">
      <c r="C616" s="354"/>
      <c r="D616" s="354"/>
      <c r="E616" s="354"/>
      <c r="F616" s="354"/>
      <c r="G616" s="354"/>
      <c r="H616" s="354"/>
      <c r="I616" s="354"/>
      <c r="J616" s="354"/>
      <c r="K616" s="354"/>
      <c r="L616" s="354"/>
      <c r="M616" s="354"/>
      <c r="N616" s="354"/>
      <c r="O616" s="354"/>
      <c r="P616" s="354"/>
      <c r="Q616" s="354"/>
      <c r="R616" s="370"/>
      <c r="S616" s="354"/>
      <c r="T616" s="354"/>
      <c r="U616" s="354"/>
      <c r="V616" s="354"/>
      <c r="W616" s="354"/>
      <c r="X616" s="354"/>
      <c r="Y616" s="354"/>
      <c r="Z616" s="354"/>
      <c r="AA616" s="354"/>
      <c r="AB616" s="354"/>
      <c r="AC616" s="354"/>
      <c r="AD616" s="354"/>
      <c r="AE616" s="354"/>
      <c r="AF616" s="354"/>
      <c r="AG616" s="354"/>
      <c r="AH616" s="354"/>
      <c r="AI616" s="354"/>
      <c r="AJ616" s="354"/>
      <c r="AK616" s="354"/>
      <c r="AL616" s="354"/>
      <c r="AM616" s="354"/>
      <c r="AN616" s="354"/>
      <c r="AO616" s="354"/>
      <c r="AP616" s="354"/>
      <c r="AQ616" s="354"/>
      <c r="AR616" s="354"/>
      <c r="AS616" s="354"/>
      <c r="AT616" s="354"/>
      <c r="AU616" s="354"/>
      <c r="AV616" s="354"/>
      <c r="AW616" s="354"/>
      <c r="AX616" s="354"/>
      <c r="AY616" s="354"/>
      <c r="AZ616" s="354"/>
    </row>
    <row r="617" spans="3:52" x14ac:dyDescent="0.25">
      <c r="C617" s="354"/>
      <c r="D617" s="354"/>
      <c r="E617" s="354"/>
      <c r="F617" s="354"/>
      <c r="G617" s="354"/>
      <c r="H617" s="354"/>
      <c r="I617" s="354"/>
      <c r="J617" s="354"/>
      <c r="K617" s="354"/>
      <c r="L617" s="354"/>
      <c r="M617" s="354"/>
      <c r="N617" s="354"/>
      <c r="O617" s="354"/>
      <c r="P617" s="354"/>
      <c r="Q617" s="354"/>
      <c r="R617" s="370"/>
      <c r="S617" s="354"/>
      <c r="T617" s="354"/>
      <c r="U617" s="354"/>
      <c r="V617" s="354"/>
      <c r="W617" s="354"/>
      <c r="X617" s="354"/>
      <c r="Y617" s="354"/>
      <c r="Z617" s="354"/>
      <c r="AA617" s="354"/>
      <c r="AB617" s="354"/>
      <c r="AC617" s="354"/>
      <c r="AD617" s="354"/>
      <c r="AE617" s="354"/>
      <c r="AF617" s="354"/>
      <c r="AG617" s="354"/>
      <c r="AH617" s="354"/>
      <c r="AI617" s="354"/>
      <c r="AJ617" s="354"/>
      <c r="AK617" s="354"/>
      <c r="AL617" s="354"/>
      <c r="AM617" s="354"/>
      <c r="AN617" s="354"/>
      <c r="AO617" s="354"/>
      <c r="AP617" s="354"/>
      <c r="AQ617" s="354"/>
      <c r="AR617" s="354"/>
      <c r="AS617" s="354"/>
      <c r="AT617" s="354"/>
      <c r="AU617" s="354"/>
      <c r="AV617" s="354"/>
      <c r="AW617" s="354"/>
      <c r="AX617" s="354"/>
      <c r="AY617" s="354"/>
      <c r="AZ617" s="354"/>
    </row>
    <row r="618" spans="3:52" x14ac:dyDescent="0.25">
      <c r="C618" s="354"/>
      <c r="D618" s="354"/>
      <c r="E618" s="354"/>
      <c r="F618" s="354"/>
      <c r="G618" s="354"/>
      <c r="H618" s="354"/>
      <c r="I618" s="354"/>
      <c r="J618" s="354"/>
      <c r="K618" s="354"/>
      <c r="L618" s="354"/>
      <c r="M618" s="354"/>
      <c r="N618" s="354"/>
      <c r="O618" s="354"/>
      <c r="P618" s="354"/>
      <c r="Q618" s="354"/>
      <c r="R618" s="370"/>
      <c r="S618" s="354"/>
      <c r="T618" s="354"/>
      <c r="U618" s="354"/>
      <c r="V618" s="354"/>
      <c r="W618" s="354"/>
      <c r="X618" s="354"/>
      <c r="Y618" s="354"/>
      <c r="Z618" s="354"/>
      <c r="AA618" s="354"/>
      <c r="AB618" s="354"/>
      <c r="AC618" s="354"/>
      <c r="AD618" s="354"/>
      <c r="AE618" s="354"/>
      <c r="AF618" s="354"/>
      <c r="AG618" s="354"/>
      <c r="AH618" s="354"/>
      <c r="AI618" s="354"/>
      <c r="AJ618" s="354"/>
      <c r="AK618" s="354"/>
      <c r="AL618" s="354"/>
      <c r="AM618" s="354"/>
      <c r="AN618" s="354"/>
      <c r="AO618" s="354"/>
      <c r="AP618" s="354"/>
      <c r="AQ618" s="354"/>
      <c r="AR618" s="354"/>
      <c r="AS618" s="354"/>
      <c r="AT618" s="354"/>
      <c r="AU618" s="354"/>
      <c r="AV618" s="354"/>
      <c r="AW618" s="354"/>
      <c r="AX618" s="354"/>
      <c r="AY618" s="354"/>
      <c r="AZ618" s="354"/>
    </row>
    <row r="619" spans="3:52" x14ac:dyDescent="0.25">
      <c r="C619" s="354"/>
      <c r="D619" s="354"/>
      <c r="E619" s="354"/>
      <c r="F619" s="354"/>
      <c r="G619" s="354"/>
      <c r="H619" s="354"/>
      <c r="I619" s="354"/>
      <c r="J619" s="354"/>
      <c r="K619" s="354"/>
      <c r="L619" s="354"/>
      <c r="M619" s="354"/>
      <c r="N619" s="354"/>
      <c r="O619" s="354"/>
      <c r="P619" s="354"/>
      <c r="Q619" s="354"/>
      <c r="R619" s="370"/>
      <c r="S619" s="354"/>
      <c r="T619" s="354"/>
      <c r="U619" s="354"/>
      <c r="V619" s="354"/>
      <c r="W619" s="354"/>
      <c r="X619" s="354"/>
      <c r="Y619" s="354"/>
      <c r="Z619" s="354"/>
      <c r="AA619" s="354"/>
      <c r="AB619" s="354"/>
      <c r="AC619" s="354"/>
      <c r="AD619" s="354"/>
      <c r="AE619" s="354"/>
      <c r="AF619" s="354"/>
      <c r="AG619" s="354"/>
      <c r="AH619" s="354"/>
      <c r="AI619" s="354"/>
      <c r="AJ619" s="354"/>
      <c r="AK619" s="354"/>
      <c r="AL619" s="354"/>
      <c r="AM619" s="354"/>
      <c r="AN619" s="354"/>
      <c r="AO619" s="354"/>
      <c r="AP619" s="354"/>
      <c r="AQ619" s="354"/>
      <c r="AR619" s="354"/>
      <c r="AS619" s="354"/>
      <c r="AT619" s="354"/>
      <c r="AU619" s="354"/>
      <c r="AV619" s="354"/>
      <c r="AW619" s="354"/>
      <c r="AX619" s="354"/>
      <c r="AY619" s="354"/>
      <c r="AZ619" s="354"/>
    </row>
    <row r="620" spans="3:52" x14ac:dyDescent="0.25">
      <c r="C620" s="354"/>
      <c r="D620" s="354"/>
      <c r="E620" s="354"/>
      <c r="F620" s="354"/>
      <c r="G620" s="354"/>
      <c r="H620" s="354"/>
      <c r="I620" s="354"/>
      <c r="J620" s="354"/>
      <c r="K620" s="354"/>
      <c r="L620" s="354"/>
      <c r="M620" s="354"/>
      <c r="N620" s="354"/>
      <c r="O620" s="354"/>
      <c r="P620" s="354"/>
      <c r="Q620" s="354"/>
      <c r="R620" s="370"/>
      <c r="S620" s="354"/>
      <c r="T620" s="354"/>
      <c r="U620" s="354"/>
      <c r="V620" s="354"/>
      <c r="W620" s="354"/>
      <c r="X620" s="354"/>
      <c r="Y620" s="354"/>
      <c r="Z620" s="354"/>
      <c r="AA620" s="354"/>
      <c r="AB620" s="354"/>
      <c r="AC620" s="354"/>
      <c r="AD620" s="354"/>
      <c r="AE620" s="354"/>
      <c r="AF620" s="354"/>
      <c r="AG620" s="354"/>
      <c r="AH620" s="354"/>
      <c r="AI620" s="354"/>
      <c r="AJ620" s="354"/>
      <c r="AK620" s="354"/>
      <c r="AL620" s="354"/>
      <c r="AM620" s="354"/>
      <c r="AN620" s="354"/>
      <c r="AO620" s="354"/>
      <c r="AP620" s="354"/>
      <c r="AQ620" s="354"/>
      <c r="AR620" s="354"/>
      <c r="AS620" s="354"/>
      <c r="AT620" s="354"/>
      <c r="AU620" s="354"/>
      <c r="AV620" s="354"/>
      <c r="AW620" s="354"/>
      <c r="AX620" s="354"/>
      <c r="AY620" s="354"/>
      <c r="AZ620" s="354"/>
    </row>
    <row r="621" spans="3:52" x14ac:dyDescent="0.25">
      <c r="C621" s="354"/>
      <c r="D621" s="354"/>
      <c r="E621" s="354"/>
      <c r="F621" s="354"/>
      <c r="G621" s="354"/>
      <c r="H621" s="354"/>
      <c r="I621" s="354"/>
      <c r="J621" s="354"/>
      <c r="K621" s="354"/>
      <c r="L621" s="354"/>
      <c r="M621" s="354"/>
      <c r="N621" s="354"/>
      <c r="O621" s="354"/>
      <c r="P621" s="354"/>
      <c r="Q621" s="354"/>
      <c r="R621" s="370"/>
      <c r="S621" s="354"/>
      <c r="T621" s="354"/>
      <c r="U621" s="354"/>
      <c r="V621" s="354"/>
      <c r="W621" s="354"/>
      <c r="X621" s="354"/>
      <c r="Y621" s="354"/>
      <c r="Z621" s="354"/>
      <c r="AA621" s="354"/>
      <c r="AB621" s="354"/>
      <c r="AC621" s="354"/>
      <c r="AD621" s="354"/>
      <c r="AE621" s="354"/>
      <c r="AF621" s="354"/>
      <c r="AG621" s="354"/>
      <c r="AH621" s="354"/>
      <c r="AI621" s="354"/>
      <c r="AJ621" s="354"/>
      <c r="AK621" s="354"/>
      <c r="AL621" s="354"/>
      <c r="AM621" s="354"/>
      <c r="AN621" s="354"/>
      <c r="AO621" s="354"/>
      <c r="AP621" s="354"/>
      <c r="AQ621" s="354"/>
      <c r="AR621" s="354"/>
      <c r="AS621" s="354"/>
      <c r="AT621" s="354"/>
      <c r="AU621" s="354"/>
      <c r="AV621" s="354"/>
      <c r="AW621" s="354"/>
      <c r="AX621" s="354"/>
      <c r="AY621" s="354"/>
      <c r="AZ621" s="354"/>
    </row>
    <row r="622" spans="3:52" x14ac:dyDescent="0.25">
      <c r="C622" s="354"/>
      <c r="D622" s="354"/>
      <c r="E622" s="354"/>
      <c r="F622" s="354"/>
      <c r="G622" s="354"/>
      <c r="H622" s="354"/>
      <c r="I622" s="354"/>
      <c r="J622" s="354"/>
      <c r="K622" s="354"/>
      <c r="L622" s="354"/>
      <c r="M622" s="354"/>
      <c r="N622" s="354"/>
      <c r="O622" s="354"/>
      <c r="P622" s="354"/>
      <c r="Q622" s="354"/>
      <c r="R622" s="370"/>
      <c r="S622" s="354"/>
      <c r="T622" s="354"/>
      <c r="U622" s="354"/>
      <c r="V622" s="354"/>
      <c r="W622" s="354"/>
      <c r="X622" s="354"/>
      <c r="Y622" s="354"/>
      <c r="Z622" s="354"/>
      <c r="AA622" s="354"/>
      <c r="AB622" s="354"/>
      <c r="AC622" s="354"/>
      <c r="AD622" s="354"/>
      <c r="AE622" s="354"/>
      <c r="AF622" s="354"/>
      <c r="AG622" s="354"/>
      <c r="AH622" s="354"/>
      <c r="AI622" s="354"/>
      <c r="AJ622" s="354"/>
      <c r="AK622" s="354"/>
      <c r="AL622" s="354"/>
      <c r="AM622" s="354"/>
      <c r="AN622" s="354"/>
      <c r="AO622" s="354"/>
      <c r="AP622" s="354"/>
      <c r="AQ622" s="354"/>
      <c r="AR622" s="354"/>
      <c r="AS622" s="354"/>
      <c r="AT622" s="354"/>
      <c r="AU622" s="354"/>
      <c r="AV622" s="354"/>
      <c r="AW622" s="354"/>
      <c r="AX622" s="354"/>
      <c r="AY622" s="354"/>
      <c r="AZ622" s="354"/>
    </row>
    <row r="623" spans="3:52" x14ac:dyDescent="0.25">
      <c r="C623" s="354"/>
      <c r="D623" s="354"/>
      <c r="E623" s="354"/>
      <c r="F623" s="354"/>
      <c r="G623" s="354"/>
      <c r="H623" s="354"/>
      <c r="I623" s="354"/>
      <c r="J623" s="354"/>
      <c r="K623" s="354"/>
      <c r="L623" s="354"/>
      <c r="M623" s="354"/>
      <c r="N623" s="354"/>
      <c r="O623" s="354"/>
      <c r="P623" s="354"/>
      <c r="Q623" s="354"/>
      <c r="R623" s="370"/>
      <c r="S623" s="354"/>
      <c r="T623" s="354"/>
      <c r="U623" s="354"/>
      <c r="V623" s="354"/>
      <c r="W623" s="354"/>
      <c r="X623" s="354"/>
      <c r="Y623" s="354"/>
      <c r="Z623" s="354"/>
      <c r="AA623" s="354"/>
      <c r="AB623" s="354"/>
      <c r="AC623" s="354"/>
      <c r="AD623" s="354"/>
      <c r="AE623" s="354"/>
      <c r="AF623" s="354"/>
      <c r="AG623" s="354"/>
      <c r="AH623" s="354"/>
      <c r="AI623" s="354"/>
      <c r="AJ623" s="354"/>
      <c r="AK623" s="354"/>
      <c r="AL623" s="354"/>
      <c r="AM623" s="354"/>
      <c r="AN623" s="354"/>
      <c r="AO623" s="354"/>
      <c r="AP623" s="354"/>
      <c r="AQ623" s="354"/>
      <c r="AR623" s="354"/>
      <c r="AS623" s="354"/>
      <c r="AT623" s="354"/>
      <c r="AU623" s="354"/>
      <c r="AV623" s="354"/>
      <c r="AW623" s="354"/>
      <c r="AX623" s="354"/>
      <c r="AY623" s="354"/>
      <c r="AZ623" s="354"/>
    </row>
    <row r="624" spans="3:52" x14ac:dyDescent="0.25">
      <c r="C624" s="354"/>
      <c r="D624" s="354"/>
      <c r="E624" s="354"/>
      <c r="F624" s="354"/>
      <c r="G624" s="354"/>
      <c r="H624" s="354"/>
      <c r="I624" s="354"/>
      <c r="J624" s="354"/>
      <c r="K624" s="354"/>
      <c r="L624" s="354"/>
      <c r="M624" s="354"/>
      <c r="N624" s="354"/>
      <c r="O624" s="354"/>
      <c r="P624" s="354"/>
      <c r="Q624" s="354"/>
      <c r="R624" s="370"/>
      <c r="S624" s="354"/>
      <c r="T624" s="354"/>
      <c r="U624" s="354"/>
      <c r="V624" s="354"/>
      <c r="W624" s="354"/>
      <c r="X624" s="354"/>
      <c r="Y624" s="354"/>
      <c r="Z624" s="354"/>
      <c r="AA624" s="354"/>
      <c r="AB624" s="354"/>
      <c r="AC624" s="354"/>
      <c r="AD624" s="354"/>
      <c r="AE624" s="354"/>
      <c r="AF624" s="354"/>
      <c r="AG624" s="354"/>
      <c r="AH624" s="354"/>
      <c r="AI624" s="354"/>
      <c r="AJ624" s="354"/>
      <c r="AK624" s="354"/>
      <c r="AL624" s="354"/>
      <c r="AM624" s="354"/>
      <c r="AN624" s="354"/>
      <c r="AO624" s="354"/>
      <c r="AP624" s="354"/>
      <c r="AQ624" s="354"/>
      <c r="AR624" s="354"/>
      <c r="AS624" s="354"/>
      <c r="AT624" s="354"/>
      <c r="AU624" s="354"/>
      <c r="AV624" s="354"/>
      <c r="AW624" s="354"/>
      <c r="AX624" s="354"/>
      <c r="AY624" s="354"/>
      <c r="AZ624" s="354"/>
    </row>
    <row r="625" spans="3:52" x14ac:dyDescent="0.25">
      <c r="C625" s="354"/>
      <c r="D625" s="354"/>
      <c r="E625" s="354"/>
      <c r="F625" s="354"/>
      <c r="G625" s="354"/>
      <c r="H625" s="354"/>
      <c r="I625" s="354"/>
      <c r="J625" s="354"/>
      <c r="K625" s="354"/>
      <c r="L625" s="354"/>
      <c r="M625" s="354"/>
      <c r="N625" s="354"/>
      <c r="O625" s="354"/>
      <c r="P625" s="354"/>
      <c r="Q625" s="354"/>
      <c r="R625" s="370"/>
      <c r="S625" s="354"/>
      <c r="T625" s="354"/>
      <c r="U625" s="354"/>
      <c r="V625" s="354"/>
      <c r="W625" s="354"/>
      <c r="X625" s="354"/>
      <c r="Y625" s="354"/>
      <c r="Z625" s="354"/>
      <c r="AA625" s="354"/>
      <c r="AB625" s="354"/>
      <c r="AC625" s="354"/>
      <c r="AD625" s="354"/>
      <c r="AE625" s="354"/>
      <c r="AF625" s="354"/>
      <c r="AG625" s="354"/>
      <c r="AH625" s="354"/>
      <c r="AI625" s="354"/>
      <c r="AJ625" s="354"/>
      <c r="AK625" s="354"/>
      <c r="AL625" s="354"/>
      <c r="AM625" s="354"/>
      <c r="AN625" s="354"/>
      <c r="AO625" s="354"/>
      <c r="AP625" s="354"/>
      <c r="AQ625" s="354"/>
      <c r="AR625" s="354"/>
      <c r="AS625" s="354"/>
      <c r="AT625" s="354"/>
      <c r="AU625" s="354"/>
      <c r="AV625" s="354"/>
      <c r="AW625" s="354"/>
      <c r="AX625" s="354"/>
      <c r="AY625" s="354"/>
      <c r="AZ625" s="354"/>
    </row>
    <row r="626" spans="3:52" x14ac:dyDescent="0.25">
      <c r="C626" s="354"/>
      <c r="D626" s="354"/>
      <c r="E626" s="354"/>
      <c r="F626" s="354"/>
      <c r="G626" s="354"/>
      <c r="H626" s="354"/>
      <c r="I626" s="354"/>
      <c r="J626" s="354"/>
      <c r="K626" s="354"/>
      <c r="L626" s="354"/>
      <c r="M626" s="354"/>
      <c r="N626" s="354"/>
      <c r="O626" s="354"/>
      <c r="P626" s="354"/>
      <c r="Q626" s="354"/>
      <c r="R626" s="370"/>
      <c r="S626" s="354"/>
      <c r="T626" s="354"/>
      <c r="U626" s="354"/>
      <c r="V626" s="354"/>
      <c r="W626" s="354"/>
      <c r="X626" s="354"/>
      <c r="Y626" s="354"/>
      <c r="Z626" s="354"/>
      <c r="AA626" s="354"/>
      <c r="AB626" s="354"/>
      <c r="AC626" s="354"/>
      <c r="AD626" s="354"/>
      <c r="AE626" s="354"/>
      <c r="AF626" s="354"/>
      <c r="AG626" s="354"/>
      <c r="AH626" s="354"/>
      <c r="AI626" s="354"/>
      <c r="AJ626" s="354"/>
      <c r="AK626" s="354"/>
      <c r="AL626" s="354"/>
      <c r="AM626" s="354"/>
      <c r="AN626" s="354"/>
      <c r="AO626" s="354"/>
      <c r="AP626" s="354"/>
      <c r="AQ626" s="354"/>
      <c r="AR626" s="354"/>
      <c r="AS626" s="354"/>
      <c r="AT626" s="354"/>
      <c r="AU626" s="354"/>
      <c r="AV626" s="354"/>
      <c r="AW626" s="354"/>
      <c r="AX626" s="354"/>
      <c r="AY626" s="354"/>
      <c r="AZ626" s="354"/>
    </row>
    <row r="627" spans="3:52" x14ac:dyDescent="0.25">
      <c r="C627" s="354"/>
      <c r="D627" s="354"/>
      <c r="E627" s="354"/>
      <c r="F627" s="354"/>
      <c r="G627" s="354"/>
      <c r="H627" s="354"/>
      <c r="I627" s="354"/>
      <c r="J627" s="354"/>
      <c r="K627" s="354"/>
      <c r="L627" s="354"/>
      <c r="M627" s="354"/>
      <c r="N627" s="354"/>
      <c r="O627" s="354"/>
      <c r="P627" s="354"/>
      <c r="Q627" s="354"/>
      <c r="R627" s="370"/>
      <c r="S627" s="354"/>
      <c r="T627" s="354"/>
      <c r="U627" s="354"/>
      <c r="V627" s="354"/>
      <c r="W627" s="354"/>
      <c r="X627" s="354"/>
      <c r="Y627" s="354"/>
      <c r="Z627" s="354"/>
      <c r="AA627" s="354"/>
      <c r="AB627" s="354"/>
      <c r="AC627" s="354"/>
      <c r="AD627" s="354"/>
      <c r="AE627" s="354"/>
      <c r="AF627" s="354"/>
      <c r="AG627" s="354"/>
      <c r="AH627" s="354"/>
      <c r="AI627" s="354"/>
      <c r="AJ627" s="354"/>
      <c r="AK627" s="354"/>
      <c r="AL627" s="354"/>
      <c r="AM627" s="354"/>
      <c r="AN627" s="354"/>
      <c r="AO627" s="354"/>
      <c r="AP627" s="354"/>
      <c r="AQ627" s="354"/>
      <c r="AR627" s="354"/>
      <c r="AS627" s="354"/>
      <c r="AT627" s="354"/>
      <c r="AU627" s="354"/>
      <c r="AV627" s="354"/>
      <c r="AW627" s="354"/>
      <c r="AX627" s="354"/>
      <c r="AY627" s="354"/>
      <c r="AZ627" s="354"/>
    </row>
    <row r="628" spans="3:52" x14ac:dyDescent="0.25">
      <c r="C628" s="354"/>
      <c r="D628" s="354"/>
      <c r="E628" s="354"/>
      <c r="F628" s="354"/>
      <c r="G628" s="354"/>
      <c r="H628" s="354"/>
      <c r="I628" s="354"/>
      <c r="J628" s="354"/>
      <c r="K628" s="354"/>
      <c r="L628" s="354"/>
      <c r="M628" s="354"/>
      <c r="N628" s="354"/>
      <c r="O628" s="354"/>
      <c r="P628" s="354"/>
      <c r="Q628" s="354"/>
      <c r="R628" s="370"/>
      <c r="S628" s="354"/>
      <c r="T628" s="354"/>
      <c r="U628" s="354"/>
      <c r="V628" s="354"/>
      <c r="W628" s="354"/>
      <c r="X628" s="354"/>
      <c r="Y628" s="354"/>
      <c r="Z628" s="354"/>
      <c r="AA628" s="354"/>
      <c r="AB628" s="354"/>
      <c r="AC628" s="354"/>
      <c r="AD628" s="354"/>
      <c r="AE628" s="354"/>
      <c r="AF628" s="354"/>
      <c r="AG628" s="354"/>
      <c r="AH628" s="354"/>
      <c r="AI628" s="354"/>
      <c r="AJ628" s="354"/>
      <c r="AK628" s="354"/>
      <c r="AL628" s="354"/>
      <c r="AM628" s="354"/>
      <c r="AN628" s="354"/>
      <c r="AO628" s="354"/>
      <c r="AP628" s="354"/>
      <c r="AQ628" s="354"/>
      <c r="AR628" s="354"/>
      <c r="AS628" s="354"/>
      <c r="AT628" s="354"/>
      <c r="AU628" s="354"/>
      <c r="AV628" s="354"/>
      <c r="AW628" s="354"/>
      <c r="AX628" s="354"/>
      <c r="AY628" s="354"/>
      <c r="AZ628" s="354"/>
    </row>
    <row r="629" spans="3:52" x14ac:dyDescent="0.25">
      <c r="C629" s="354"/>
      <c r="D629" s="354"/>
      <c r="E629" s="354"/>
      <c r="F629" s="354"/>
      <c r="G629" s="354"/>
      <c r="H629" s="354"/>
      <c r="I629" s="354"/>
      <c r="J629" s="354"/>
      <c r="K629" s="354"/>
      <c r="L629" s="354"/>
      <c r="M629" s="354"/>
      <c r="N629" s="354"/>
      <c r="O629" s="354"/>
      <c r="P629" s="354"/>
      <c r="Q629" s="354"/>
      <c r="R629" s="370"/>
      <c r="S629" s="354"/>
      <c r="T629" s="354"/>
      <c r="U629" s="354"/>
      <c r="V629" s="354"/>
      <c r="W629" s="354"/>
      <c r="X629" s="354"/>
      <c r="Y629" s="354"/>
      <c r="Z629" s="354"/>
      <c r="AA629" s="354"/>
      <c r="AB629" s="354"/>
      <c r="AC629" s="354"/>
      <c r="AD629" s="354"/>
      <c r="AE629" s="354"/>
      <c r="AF629" s="354"/>
      <c r="AG629" s="354"/>
      <c r="AH629" s="354"/>
      <c r="AI629" s="354"/>
      <c r="AJ629" s="354"/>
      <c r="AK629" s="354"/>
      <c r="AL629" s="354"/>
      <c r="AM629" s="354"/>
      <c r="AN629" s="354"/>
      <c r="AO629" s="354"/>
      <c r="AP629" s="354"/>
      <c r="AQ629" s="354"/>
      <c r="AR629" s="354"/>
      <c r="AS629" s="354"/>
      <c r="AT629" s="354"/>
      <c r="AU629" s="354"/>
      <c r="AV629" s="354"/>
      <c r="AW629" s="354"/>
      <c r="AX629" s="354"/>
      <c r="AY629" s="354"/>
      <c r="AZ629" s="354"/>
    </row>
    <row r="630" spans="3:52" x14ac:dyDescent="0.25">
      <c r="C630" s="354"/>
      <c r="D630" s="354"/>
      <c r="E630" s="354"/>
      <c r="F630" s="354"/>
      <c r="G630" s="354"/>
      <c r="H630" s="354"/>
      <c r="I630" s="354"/>
      <c r="J630" s="354"/>
      <c r="K630" s="354"/>
      <c r="L630" s="354"/>
      <c r="M630" s="354"/>
      <c r="N630" s="354"/>
      <c r="O630" s="354"/>
      <c r="P630" s="354"/>
      <c r="Q630" s="354"/>
      <c r="R630" s="370"/>
      <c r="S630" s="354"/>
      <c r="T630" s="354"/>
      <c r="U630" s="354"/>
      <c r="V630" s="354"/>
      <c r="W630" s="354"/>
      <c r="X630" s="354"/>
      <c r="Y630" s="354"/>
      <c r="Z630" s="354"/>
      <c r="AA630" s="354"/>
      <c r="AB630" s="354"/>
      <c r="AC630" s="354"/>
      <c r="AD630" s="354"/>
      <c r="AE630" s="354"/>
      <c r="AF630" s="354"/>
      <c r="AG630" s="354"/>
      <c r="AH630" s="354"/>
      <c r="AI630" s="354"/>
      <c r="AJ630" s="354"/>
      <c r="AK630" s="354"/>
      <c r="AL630" s="354"/>
      <c r="AM630" s="354"/>
      <c r="AN630" s="354"/>
      <c r="AO630" s="354"/>
      <c r="AP630" s="354"/>
      <c r="AQ630" s="354"/>
      <c r="AR630" s="354"/>
      <c r="AS630" s="354"/>
      <c r="AT630" s="354"/>
      <c r="AU630" s="354"/>
      <c r="AV630" s="354"/>
      <c r="AW630" s="354"/>
      <c r="AX630" s="354"/>
      <c r="AY630" s="354"/>
      <c r="AZ630" s="354"/>
    </row>
    <row r="631" spans="3:52" x14ac:dyDescent="0.25">
      <c r="C631" s="354"/>
      <c r="D631" s="354"/>
      <c r="E631" s="354"/>
      <c r="F631" s="354"/>
      <c r="G631" s="354"/>
      <c r="H631" s="354"/>
      <c r="I631" s="354"/>
      <c r="J631" s="354"/>
      <c r="K631" s="354"/>
      <c r="L631" s="354"/>
      <c r="M631" s="354"/>
      <c r="N631" s="354"/>
      <c r="O631" s="354"/>
      <c r="P631" s="354"/>
      <c r="Q631" s="354"/>
      <c r="R631" s="370"/>
      <c r="S631" s="354"/>
      <c r="T631" s="354"/>
      <c r="U631" s="354"/>
      <c r="V631" s="354"/>
      <c r="W631" s="354"/>
      <c r="X631" s="354"/>
      <c r="Y631" s="354"/>
      <c r="Z631" s="354"/>
      <c r="AA631" s="354"/>
      <c r="AB631" s="354"/>
      <c r="AC631" s="354"/>
      <c r="AD631" s="354"/>
      <c r="AE631" s="354"/>
      <c r="AF631" s="354"/>
      <c r="AG631" s="354"/>
      <c r="AH631" s="354"/>
      <c r="AI631" s="354"/>
      <c r="AJ631" s="354"/>
      <c r="AK631" s="354"/>
      <c r="AL631" s="354"/>
      <c r="AM631" s="354"/>
      <c r="AN631" s="354"/>
      <c r="AO631" s="354"/>
      <c r="AP631" s="354"/>
      <c r="AQ631" s="354"/>
      <c r="AR631" s="354"/>
      <c r="AS631" s="354"/>
      <c r="AT631" s="354"/>
      <c r="AU631" s="354"/>
      <c r="AV631" s="354"/>
      <c r="AW631" s="354"/>
      <c r="AX631" s="354"/>
      <c r="AY631" s="354"/>
      <c r="AZ631" s="354"/>
    </row>
    <row r="632" spans="3:52" x14ac:dyDescent="0.25">
      <c r="C632" s="354"/>
      <c r="D632" s="354"/>
      <c r="E632" s="354"/>
      <c r="F632" s="354"/>
      <c r="G632" s="354"/>
      <c r="H632" s="354"/>
      <c r="I632" s="354"/>
      <c r="J632" s="354"/>
      <c r="K632" s="354"/>
      <c r="L632" s="354"/>
      <c r="M632" s="354"/>
      <c r="N632" s="354"/>
      <c r="O632" s="354"/>
      <c r="P632" s="354"/>
      <c r="Q632" s="354"/>
      <c r="R632" s="370"/>
      <c r="S632" s="354"/>
      <c r="T632" s="354"/>
      <c r="U632" s="354"/>
      <c r="V632" s="354"/>
      <c r="W632" s="354"/>
      <c r="X632" s="354"/>
      <c r="Y632" s="354"/>
      <c r="Z632" s="354"/>
      <c r="AA632" s="354"/>
      <c r="AB632" s="354"/>
      <c r="AC632" s="354"/>
      <c r="AD632" s="354"/>
      <c r="AE632" s="354"/>
      <c r="AF632" s="354"/>
      <c r="AG632" s="354"/>
      <c r="AH632" s="354"/>
      <c r="AI632" s="354"/>
      <c r="AJ632" s="354"/>
      <c r="AK632" s="354"/>
      <c r="AL632" s="354"/>
      <c r="AM632" s="354"/>
      <c r="AN632" s="354"/>
      <c r="AO632" s="354"/>
      <c r="AP632" s="354"/>
      <c r="AQ632" s="354"/>
      <c r="AR632" s="354"/>
      <c r="AS632" s="354"/>
      <c r="AT632" s="354"/>
      <c r="AU632" s="354"/>
      <c r="AV632" s="354"/>
      <c r="AW632" s="354"/>
      <c r="AX632" s="354"/>
      <c r="AY632" s="354"/>
      <c r="AZ632" s="354"/>
    </row>
    <row r="633" spans="3:52" x14ac:dyDescent="0.25">
      <c r="C633" s="354"/>
      <c r="D633" s="354"/>
      <c r="E633" s="354"/>
      <c r="F633" s="354"/>
      <c r="G633" s="354"/>
      <c r="H633" s="354"/>
      <c r="I633" s="354"/>
      <c r="J633" s="354"/>
      <c r="K633" s="354"/>
      <c r="L633" s="354"/>
      <c r="M633" s="354"/>
      <c r="N633" s="354"/>
      <c r="O633" s="354"/>
      <c r="P633" s="354"/>
      <c r="Q633" s="354"/>
      <c r="R633" s="370"/>
      <c r="S633" s="354"/>
      <c r="T633" s="354"/>
      <c r="U633" s="354"/>
      <c r="V633" s="354"/>
      <c r="W633" s="354"/>
      <c r="X633" s="354"/>
      <c r="Y633" s="354"/>
      <c r="Z633" s="354"/>
      <c r="AA633" s="354"/>
      <c r="AB633" s="354"/>
      <c r="AC633" s="354"/>
      <c r="AD633" s="354"/>
      <c r="AE633" s="354"/>
      <c r="AF633" s="354"/>
      <c r="AG633" s="354"/>
      <c r="AH633" s="354"/>
      <c r="AI633" s="354"/>
      <c r="AJ633" s="354"/>
      <c r="AK633" s="354"/>
      <c r="AL633" s="354"/>
      <c r="AM633" s="354"/>
      <c r="AN633" s="354"/>
      <c r="AO633" s="354"/>
      <c r="AP633" s="354"/>
      <c r="AQ633" s="354"/>
      <c r="AR633" s="354"/>
      <c r="AS633" s="354"/>
      <c r="AT633" s="354"/>
      <c r="AU633" s="354"/>
      <c r="AV633" s="354"/>
      <c r="AW633" s="354"/>
      <c r="AX633" s="354"/>
      <c r="AY633" s="354"/>
      <c r="AZ633" s="354"/>
    </row>
    <row r="634" spans="3:52" x14ac:dyDescent="0.25">
      <c r="C634" s="354"/>
      <c r="D634" s="354"/>
      <c r="E634" s="354"/>
      <c r="F634" s="354"/>
      <c r="G634" s="354"/>
      <c r="H634" s="354"/>
      <c r="I634" s="354"/>
      <c r="J634" s="354"/>
      <c r="K634" s="354"/>
      <c r="L634" s="354"/>
      <c r="M634" s="354"/>
      <c r="N634" s="354"/>
      <c r="O634" s="354"/>
      <c r="P634" s="354"/>
      <c r="Q634" s="354"/>
      <c r="R634" s="370"/>
      <c r="S634" s="354"/>
      <c r="T634" s="354"/>
      <c r="U634" s="354"/>
      <c r="V634" s="354"/>
      <c r="W634" s="354"/>
      <c r="X634" s="354"/>
      <c r="Y634" s="354"/>
      <c r="Z634" s="354"/>
      <c r="AA634" s="354"/>
      <c r="AB634" s="354"/>
      <c r="AC634" s="354"/>
      <c r="AD634" s="354"/>
      <c r="AE634" s="354"/>
      <c r="AF634" s="354"/>
      <c r="AG634" s="354"/>
      <c r="AH634" s="354"/>
      <c r="AI634" s="354"/>
      <c r="AJ634" s="354"/>
      <c r="AK634" s="354"/>
      <c r="AL634" s="354"/>
      <c r="AM634" s="354"/>
      <c r="AN634" s="354"/>
      <c r="AO634" s="354"/>
      <c r="AP634" s="354"/>
      <c r="AQ634" s="354"/>
      <c r="AR634" s="354"/>
      <c r="AS634" s="354"/>
      <c r="AT634" s="354"/>
      <c r="AU634" s="354"/>
      <c r="AV634" s="354"/>
      <c r="AW634" s="354"/>
      <c r="AX634" s="354"/>
      <c r="AY634" s="354"/>
      <c r="AZ634" s="354"/>
    </row>
    <row r="635" spans="3:52" x14ac:dyDescent="0.25">
      <c r="C635" s="354"/>
      <c r="D635" s="354"/>
      <c r="E635" s="354"/>
      <c r="F635" s="354"/>
      <c r="G635" s="354"/>
      <c r="H635" s="354"/>
      <c r="I635" s="354"/>
      <c r="J635" s="354"/>
      <c r="K635" s="354"/>
      <c r="L635" s="354"/>
      <c r="M635" s="354"/>
      <c r="N635" s="354"/>
      <c r="O635" s="354"/>
      <c r="P635" s="354"/>
      <c r="Q635" s="354"/>
      <c r="R635" s="370"/>
      <c r="S635" s="354"/>
      <c r="T635" s="354"/>
      <c r="U635" s="354"/>
      <c r="V635" s="354"/>
      <c r="W635" s="354"/>
      <c r="X635" s="354"/>
      <c r="Y635" s="354"/>
      <c r="Z635" s="354"/>
      <c r="AA635" s="354"/>
      <c r="AB635" s="354"/>
      <c r="AC635" s="354"/>
      <c r="AD635" s="354"/>
      <c r="AE635" s="354"/>
      <c r="AF635" s="354"/>
      <c r="AG635" s="354"/>
      <c r="AH635" s="354"/>
      <c r="AI635" s="354"/>
      <c r="AJ635" s="354"/>
      <c r="AK635" s="354"/>
      <c r="AL635" s="354"/>
      <c r="AM635" s="354"/>
      <c r="AN635" s="354"/>
      <c r="AO635" s="354"/>
      <c r="AP635" s="354"/>
      <c r="AQ635" s="354"/>
      <c r="AR635" s="354"/>
      <c r="AS635" s="354"/>
      <c r="AT635" s="354"/>
      <c r="AU635" s="354"/>
      <c r="AV635" s="354"/>
      <c r="AW635" s="354"/>
      <c r="AX635" s="354"/>
      <c r="AY635" s="354"/>
      <c r="AZ635" s="354"/>
    </row>
    <row r="636" spans="3:52" x14ac:dyDescent="0.25">
      <c r="C636" s="354"/>
      <c r="D636" s="354"/>
      <c r="E636" s="354"/>
      <c r="F636" s="354"/>
      <c r="G636" s="354"/>
      <c r="H636" s="354"/>
      <c r="I636" s="354"/>
      <c r="J636" s="354"/>
      <c r="K636" s="354"/>
      <c r="L636" s="354"/>
      <c r="M636" s="354"/>
      <c r="N636" s="354"/>
      <c r="O636" s="354"/>
      <c r="P636" s="354"/>
      <c r="Q636" s="354"/>
      <c r="R636" s="370"/>
      <c r="S636" s="354"/>
      <c r="T636" s="354"/>
      <c r="U636" s="354"/>
      <c r="V636" s="354"/>
      <c r="W636" s="354"/>
      <c r="X636" s="354"/>
      <c r="Y636" s="354"/>
      <c r="Z636" s="354"/>
      <c r="AA636" s="354"/>
      <c r="AB636" s="354"/>
      <c r="AC636" s="354"/>
      <c r="AD636" s="354"/>
      <c r="AE636" s="354"/>
      <c r="AF636" s="354"/>
      <c r="AG636" s="354"/>
      <c r="AH636" s="354"/>
      <c r="AI636" s="354"/>
      <c r="AJ636" s="354"/>
      <c r="AK636" s="354"/>
      <c r="AL636" s="354"/>
      <c r="AM636" s="354"/>
      <c r="AN636" s="354"/>
      <c r="AO636" s="354"/>
      <c r="AP636" s="354"/>
      <c r="AQ636" s="354"/>
      <c r="AR636" s="354"/>
      <c r="AS636" s="354"/>
      <c r="AT636" s="354"/>
      <c r="AU636" s="354"/>
      <c r="AV636" s="354"/>
      <c r="AW636" s="354"/>
      <c r="AX636" s="354"/>
      <c r="AY636" s="354"/>
      <c r="AZ636" s="354"/>
    </row>
    <row r="637" spans="3:52" x14ac:dyDescent="0.25">
      <c r="C637" s="354"/>
      <c r="D637" s="354"/>
      <c r="E637" s="354"/>
      <c r="F637" s="354"/>
      <c r="G637" s="354"/>
      <c r="H637" s="354"/>
      <c r="I637" s="354"/>
      <c r="J637" s="354"/>
      <c r="K637" s="354"/>
      <c r="L637" s="354"/>
      <c r="M637" s="354"/>
      <c r="N637" s="354"/>
      <c r="O637" s="354"/>
      <c r="P637" s="354"/>
      <c r="Q637" s="354"/>
      <c r="R637" s="370"/>
      <c r="S637" s="354"/>
      <c r="T637" s="354"/>
      <c r="U637" s="354"/>
      <c r="V637" s="354"/>
      <c r="W637" s="354"/>
      <c r="X637" s="354"/>
      <c r="Y637" s="354"/>
      <c r="Z637" s="354"/>
      <c r="AA637" s="354"/>
      <c r="AB637" s="354"/>
      <c r="AC637" s="354"/>
      <c r="AD637" s="354"/>
      <c r="AE637" s="354"/>
      <c r="AF637" s="354"/>
      <c r="AG637" s="354"/>
      <c r="AH637" s="354"/>
      <c r="AI637" s="354"/>
      <c r="AJ637" s="354"/>
      <c r="AK637" s="354"/>
      <c r="AL637" s="354"/>
      <c r="AM637" s="354"/>
      <c r="AN637" s="354"/>
      <c r="AO637" s="354"/>
      <c r="AP637" s="354"/>
      <c r="AQ637" s="354"/>
      <c r="AR637" s="354"/>
      <c r="AS637" s="354"/>
      <c r="AT637" s="354"/>
      <c r="AU637" s="354"/>
      <c r="AV637" s="354"/>
      <c r="AW637" s="354"/>
      <c r="AX637" s="354"/>
      <c r="AY637" s="354"/>
      <c r="AZ637" s="354"/>
    </row>
    <row r="638" spans="3:52" x14ac:dyDescent="0.25">
      <c r="C638" s="354"/>
      <c r="D638" s="354"/>
      <c r="E638" s="354"/>
      <c r="F638" s="354"/>
      <c r="G638" s="354"/>
      <c r="H638" s="354"/>
      <c r="I638" s="354"/>
      <c r="J638" s="354"/>
      <c r="K638" s="354"/>
      <c r="L638" s="354"/>
      <c r="M638" s="354"/>
      <c r="N638" s="354"/>
      <c r="O638" s="354"/>
      <c r="P638" s="354"/>
      <c r="Q638" s="354"/>
      <c r="R638" s="370"/>
      <c r="S638" s="354"/>
      <c r="T638" s="354"/>
      <c r="U638" s="354"/>
      <c r="V638" s="354"/>
      <c r="W638" s="354"/>
      <c r="X638" s="354"/>
      <c r="Y638" s="354"/>
      <c r="Z638" s="354"/>
      <c r="AA638" s="354"/>
      <c r="AB638" s="354"/>
      <c r="AC638" s="354"/>
      <c r="AD638" s="354"/>
      <c r="AE638" s="354"/>
      <c r="AF638" s="354"/>
      <c r="AG638" s="354"/>
      <c r="AH638" s="354"/>
      <c r="AI638" s="354"/>
      <c r="AJ638" s="354"/>
      <c r="AK638" s="354"/>
      <c r="AL638" s="354"/>
      <c r="AM638" s="354"/>
      <c r="AN638" s="354"/>
      <c r="AO638" s="354"/>
      <c r="AP638" s="354"/>
      <c r="AQ638" s="354"/>
      <c r="AR638" s="354"/>
      <c r="AS638" s="354"/>
      <c r="AT638" s="354"/>
      <c r="AU638" s="354"/>
      <c r="AV638" s="354"/>
      <c r="AW638" s="354"/>
      <c r="AX638" s="354"/>
      <c r="AY638" s="354"/>
      <c r="AZ638" s="354"/>
    </row>
    <row r="639" spans="3:52" x14ac:dyDescent="0.25">
      <c r="C639" s="354"/>
      <c r="D639" s="354"/>
      <c r="E639" s="354"/>
      <c r="F639" s="354"/>
      <c r="G639" s="354"/>
      <c r="H639" s="354"/>
      <c r="I639" s="354"/>
      <c r="J639" s="354"/>
      <c r="K639" s="354"/>
      <c r="L639" s="354"/>
      <c r="M639" s="354"/>
      <c r="N639" s="354"/>
      <c r="O639" s="354"/>
      <c r="P639" s="354"/>
      <c r="Q639" s="354"/>
      <c r="R639" s="370"/>
      <c r="S639" s="354"/>
      <c r="T639" s="354"/>
      <c r="U639" s="354"/>
      <c r="V639" s="354"/>
      <c r="W639" s="354"/>
      <c r="X639" s="354"/>
      <c r="Y639" s="354"/>
      <c r="Z639" s="354"/>
      <c r="AA639" s="354"/>
      <c r="AB639" s="354"/>
      <c r="AC639" s="354"/>
      <c r="AD639" s="354"/>
      <c r="AE639" s="354"/>
      <c r="AF639" s="354"/>
      <c r="AG639" s="354"/>
      <c r="AH639" s="354"/>
      <c r="AI639" s="354"/>
      <c r="AJ639" s="354"/>
      <c r="AK639" s="354"/>
      <c r="AL639" s="354"/>
      <c r="AM639" s="354"/>
      <c r="AN639" s="354"/>
      <c r="AO639" s="354"/>
      <c r="AP639" s="354"/>
      <c r="AQ639" s="354"/>
      <c r="AR639" s="354"/>
      <c r="AS639" s="354"/>
      <c r="AT639" s="354"/>
      <c r="AU639" s="354"/>
      <c r="AV639" s="354"/>
      <c r="AW639" s="354"/>
      <c r="AX639" s="354"/>
      <c r="AY639" s="354"/>
      <c r="AZ639" s="354"/>
    </row>
    <row r="640" spans="3:52" x14ac:dyDescent="0.25">
      <c r="C640" s="354"/>
      <c r="D640" s="354"/>
      <c r="E640" s="354"/>
      <c r="F640" s="354"/>
      <c r="G640" s="354"/>
      <c r="H640" s="354"/>
      <c r="I640" s="354"/>
      <c r="J640" s="354"/>
      <c r="K640" s="354"/>
      <c r="L640" s="354"/>
      <c r="M640" s="354"/>
      <c r="N640" s="354"/>
      <c r="O640" s="354"/>
      <c r="P640" s="354"/>
      <c r="Q640" s="354"/>
      <c r="R640" s="370"/>
      <c r="S640" s="354"/>
      <c r="T640" s="354"/>
      <c r="U640" s="354"/>
      <c r="V640" s="354"/>
      <c r="W640" s="354"/>
      <c r="X640" s="354"/>
      <c r="Y640" s="354"/>
      <c r="Z640" s="354"/>
      <c r="AA640" s="354"/>
      <c r="AB640" s="354"/>
      <c r="AC640" s="354"/>
      <c r="AD640" s="354"/>
      <c r="AE640" s="354"/>
      <c r="AF640" s="354"/>
      <c r="AG640" s="354"/>
      <c r="AH640" s="354"/>
      <c r="AI640" s="354"/>
      <c r="AJ640" s="354"/>
      <c r="AK640" s="354"/>
      <c r="AL640" s="354"/>
      <c r="AM640" s="354"/>
      <c r="AN640" s="354"/>
      <c r="AO640" s="354"/>
      <c r="AP640" s="354"/>
      <c r="AQ640" s="354"/>
      <c r="AR640" s="354"/>
      <c r="AS640" s="354"/>
      <c r="AT640" s="354"/>
      <c r="AU640" s="354"/>
      <c r="AV640" s="354"/>
      <c r="AW640" s="354"/>
      <c r="AX640" s="354"/>
      <c r="AY640" s="354"/>
      <c r="AZ640" s="354"/>
    </row>
    <row r="641" spans="3:52" x14ac:dyDescent="0.25">
      <c r="C641" s="354"/>
      <c r="D641" s="354"/>
      <c r="E641" s="354"/>
      <c r="F641" s="354"/>
      <c r="G641" s="354"/>
      <c r="H641" s="354"/>
      <c r="I641" s="354"/>
      <c r="J641" s="354"/>
      <c r="K641" s="354"/>
      <c r="L641" s="354"/>
      <c r="M641" s="354"/>
      <c r="N641" s="354"/>
      <c r="O641" s="354"/>
      <c r="P641" s="354"/>
      <c r="Q641" s="354"/>
      <c r="R641" s="370"/>
      <c r="S641" s="354"/>
      <c r="T641" s="354"/>
      <c r="U641" s="354"/>
      <c r="V641" s="354"/>
      <c r="W641" s="354"/>
      <c r="X641" s="354"/>
      <c r="Y641" s="354"/>
      <c r="Z641" s="354"/>
      <c r="AA641" s="354"/>
      <c r="AB641" s="354"/>
      <c r="AC641" s="354"/>
      <c r="AD641" s="354"/>
      <c r="AE641" s="354"/>
      <c r="AF641" s="354"/>
      <c r="AG641" s="354"/>
      <c r="AH641" s="354"/>
      <c r="AI641" s="354"/>
      <c r="AJ641" s="354"/>
      <c r="AK641" s="354"/>
      <c r="AL641" s="354"/>
      <c r="AM641" s="354"/>
      <c r="AN641" s="354"/>
      <c r="AO641" s="354"/>
      <c r="AP641" s="354"/>
      <c r="AQ641" s="354"/>
      <c r="AR641" s="354"/>
      <c r="AS641" s="354"/>
      <c r="AT641" s="354"/>
      <c r="AU641" s="354"/>
      <c r="AV641" s="354"/>
      <c r="AW641" s="354"/>
      <c r="AX641" s="354"/>
      <c r="AY641" s="354"/>
      <c r="AZ641" s="354"/>
    </row>
    <row r="642" spans="3:52" x14ac:dyDescent="0.25">
      <c r="C642" s="354"/>
      <c r="D642" s="354"/>
      <c r="E642" s="354"/>
      <c r="F642" s="354"/>
      <c r="G642" s="354"/>
      <c r="H642" s="354"/>
      <c r="I642" s="354"/>
      <c r="J642" s="354"/>
      <c r="K642" s="354"/>
      <c r="L642" s="354"/>
      <c r="M642" s="354"/>
      <c r="N642" s="354"/>
      <c r="O642" s="354"/>
      <c r="P642" s="354"/>
      <c r="Q642" s="354"/>
      <c r="R642" s="370"/>
      <c r="S642" s="354"/>
      <c r="T642" s="354"/>
      <c r="U642" s="354"/>
      <c r="V642" s="354"/>
      <c r="W642" s="354"/>
      <c r="X642" s="354"/>
      <c r="Y642" s="354"/>
      <c r="Z642" s="354"/>
      <c r="AA642" s="354"/>
      <c r="AB642" s="354"/>
      <c r="AC642" s="354"/>
      <c r="AD642" s="354"/>
      <c r="AE642" s="354"/>
      <c r="AF642" s="354"/>
      <c r="AG642" s="354"/>
      <c r="AH642" s="354"/>
      <c r="AI642" s="354"/>
      <c r="AJ642" s="354"/>
      <c r="AK642" s="354"/>
      <c r="AL642" s="354"/>
      <c r="AM642" s="354"/>
      <c r="AN642" s="354"/>
      <c r="AO642" s="354"/>
      <c r="AP642" s="354"/>
      <c r="AQ642" s="354"/>
      <c r="AR642" s="354"/>
      <c r="AS642" s="354"/>
      <c r="AT642" s="354"/>
      <c r="AU642" s="354"/>
      <c r="AV642" s="354"/>
      <c r="AW642" s="354"/>
      <c r="AX642" s="354"/>
      <c r="AY642" s="354"/>
      <c r="AZ642" s="354"/>
    </row>
    <row r="643" spans="3:52" x14ac:dyDescent="0.25">
      <c r="C643" s="354"/>
      <c r="D643" s="354"/>
      <c r="E643" s="354"/>
      <c r="F643" s="354"/>
      <c r="G643" s="354"/>
      <c r="H643" s="354"/>
      <c r="I643" s="354"/>
      <c r="J643" s="354"/>
      <c r="K643" s="354"/>
      <c r="L643" s="354"/>
      <c r="M643" s="354"/>
      <c r="N643" s="354"/>
      <c r="O643" s="354"/>
      <c r="P643" s="354"/>
      <c r="Q643" s="354"/>
      <c r="R643" s="370"/>
      <c r="S643" s="354"/>
      <c r="T643" s="354"/>
      <c r="U643" s="354"/>
      <c r="V643" s="354"/>
      <c r="W643" s="354"/>
      <c r="X643" s="354"/>
      <c r="Y643" s="354"/>
      <c r="Z643" s="354"/>
      <c r="AA643" s="354"/>
      <c r="AB643" s="354"/>
      <c r="AC643" s="354"/>
      <c r="AD643" s="354"/>
      <c r="AE643" s="354"/>
      <c r="AF643" s="354"/>
      <c r="AG643" s="354"/>
      <c r="AH643" s="354"/>
      <c r="AI643" s="354"/>
      <c r="AJ643" s="354"/>
      <c r="AK643" s="354"/>
      <c r="AL643" s="354"/>
      <c r="AM643" s="354"/>
      <c r="AN643" s="354"/>
      <c r="AO643" s="354"/>
      <c r="AP643" s="354"/>
      <c r="AQ643" s="354"/>
      <c r="AR643" s="354"/>
      <c r="AS643" s="354"/>
      <c r="AT643" s="354"/>
      <c r="AU643" s="354"/>
      <c r="AV643" s="354"/>
      <c r="AW643" s="354"/>
      <c r="AX643" s="354"/>
      <c r="AY643" s="354"/>
      <c r="AZ643" s="354"/>
    </row>
    <row r="644" spans="3:52" x14ac:dyDescent="0.25">
      <c r="C644" s="354"/>
      <c r="D644" s="354"/>
      <c r="E644" s="354"/>
      <c r="F644" s="354"/>
      <c r="G644" s="354"/>
      <c r="H644" s="354"/>
      <c r="I644" s="354"/>
      <c r="J644" s="354"/>
      <c r="K644" s="354"/>
      <c r="L644" s="354"/>
      <c r="M644" s="354"/>
      <c r="N644" s="354"/>
      <c r="O644" s="354"/>
      <c r="P644" s="354"/>
      <c r="Q644" s="354"/>
      <c r="R644" s="370"/>
      <c r="S644" s="354"/>
      <c r="T644" s="354"/>
      <c r="U644" s="354"/>
      <c r="V644" s="354"/>
      <c r="W644" s="354"/>
      <c r="X644" s="354"/>
      <c r="Y644" s="354"/>
      <c r="Z644" s="354"/>
      <c r="AA644" s="354"/>
      <c r="AB644" s="354"/>
      <c r="AC644" s="354"/>
      <c r="AD644" s="354"/>
      <c r="AE644" s="354"/>
      <c r="AF644" s="354"/>
      <c r="AG644" s="354"/>
      <c r="AH644" s="354"/>
      <c r="AI644" s="354"/>
      <c r="AJ644" s="354"/>
      <c r="AK644" s="354"/>
      <c r="AL644" s="354"/>
      <c r="AM644" s="354"/>
      <c r="AN644" s="354"/>
      <c r="AO644" s="354"/>
      <c r="AP644" s="354"/>
      <c r="AQ644" s="354"/>
      <c r="AR644" s="354"/>
      <c r="AS644" s="354"/>
      <c r="AT644" s="354"/>
      <c r="AU644" s="354"/>
      <c r="AV644" s="354"/>
      <c r="AW644" s="354"/>
      <c r="AX644" s="354"/>
      <c r="AY644" s="354"/>
      <c r="AZ644" s="354"/>
    </row>
    <row r="645" spans="3:52" x14ac:dyDescent="0.25">
      <c r="C645" s="354"/>
      <c r="D645" s="354"/>
      <c r="E645" s="354"/>
      <c r="F645" s="354"/>
      <c r="G645" s="354"/>
      <c r="H645" s="354"/>
      <c r="I645" s="354"/>
      <c r="J645" s="354"/>
      <c r="K645" s="354"/>
      <c r="L645" s="354"/>
      <c r="M645" s="354"/>
      <c r="N645" s="354"/>
      <c r="O645" s="354"/>
      <c r="P645" s="354"/>
      <c r="Q645" s="354"/>
      <c r="R645" s="370"/>
      <c r="S645" s="354"/>
      <c r="T645" s="354"/>
      <c r="U645" s="354"/>
      <c r="V645" s="354"/>
      <c r="W645" s="354"/>
      <c r="X645" s="354"/>
      <c r="Y645" s="354"/>
      <c r="Z645" s="354"/>
      <c r="AA645" s="354"/>
      <c r="AB645" s="354"/>
      <c r="AC645" s="354"/>
      <c r="AD645" s="354"/>
      <c r="AE645" s="354"/>
      <c r="AF645" s="354"/>
      <c r="AG645" s="354"/>
      <c r="AH645" s="354"/>
      <c r="AI645" s="354"/>
      <c r="AJ645" s="354"/>
      <c r="AK645" s="354"/>
      <c r="AL645" s="354"/>
      <c r="AM645" s="354"/>
      <c r="AN645" s="354"/>
      <c r="AO645" s="354"/>
      <c r="AP645" s="354"/>
      <c r="AQ645" s="354"/>
      <c r="AR645" s="354"/>
      <c r="AS645" s="354"/>
      <c r="AT645" s="354"/>
      <c r="AU645" s="354"/>
      <c r="AV645" s="354"/>
      <c r="AW645" s="354"/>
      <c r="AX645" s="354"/>
      <c r="AY645" s="354"/>
      <c r="AZ645" s="354"/>
    </row>
    <row r="646" spans="3:52" x14ac:dyDescent="0.25">
      <c r="C646" s="354"/>
      <c r="D646" s="354"/>
      <c r="E646" s="354"/>
      <c r="F646" s="354"/>
      <c r="G646" s="354"/>
      <c r="H646" s="354"/>
      <c r="I646" s="354"/>
      <c r="J646" s="354"/>
      <c r="K646" s="354"/>
      <c r="L646" s="354"/>
      <c r="M646" s="354"/>
      <c r="N646" s="354"/>
      <c r="O646" s="354"/>
      <c r="P646" s="354"/>
      <c r="Q646" s="354"/>
      <c r="R646" s="370"/>
      <c r="S646" s="354"/>
      <c r="T646" s="354"/>
      <c r="U646" s="354"/>
      <c r="V646" s="354"/>
      <c r="W646" s="354"/>
      <c r="X646" s="354"/>
      <c r="Y646" s="354"/>
      <c r="Z646" s="354"/>
      <c r="AA646" s="354"/>
      <c r="AB646" s="354"/>
      <c r="AC646" s="354"/>
      <c r="AD646" s="354"/>
      <c r="AE646" s="354"/>
      <c r="AF646" s="354"/>
      <c r="AG646" s="354"/>
      <c r="AH646" s="354"/>
      <c r="AI646" s="354"/>
      <c r="AJ646" s="354"/>
      <c r="AK646" s="354"/>
      <c r="AL646" s="354"/>
      <c r="AM646" s="354"/>
      <c r="AN646" s="354"/>
      <c r="AO646" s="354"/>
      <c r="AP646" s="354"/>
      <c r="AQ646" s="354"/>
      <c r="AR646" s="354"/>
      <c r="AS646" s="354"/>
      <c r="AT646" s="354"/>
      <c r="AU646" s="354"/>
      <c r="AV646" s="354"/>
      <c r="AW646" s="354"/>
      <c r="AX646" s="354"/>
      <c r="AY646" s="354"/>
      <c r="AZ646" s="354"/>
    </row>
    <row r="647" spans="3:52" x14ac:dyDescent="0.25">
      <c r="C647" s="354"/>
      <c r="D647" s="354"/>
      <c r="E647" s="354"/>
      <c r="F647" s="354"/>
      <c r="G647" s="354"/>
      <c r="H647" s="354"/>
      <c r="I647" s="354"/>
      <c r="J647" s="354"/>
      <c r="K647" s="354"/>
      <c r="L647" s="354"/>
      <c r="M647" s="354"/>
      <c r="N647" s="354"/>
      <c r="O647" s="354"/>
      <c r="P647" s="354"/>
      <c r="Q647" s="354"/>
      <c r="R647" s="370"/>
      <c r="S647" s="354"/>
      <c r="T647" s="354"/>
      <c r="U647" s="354"/>
      <c r="V647" s="354"/>
      <c r="W647" s="354"/>
      <c r="X647" s="354"/>
      <c r="Y647" s="354"/>
      <c r="Z647" s="354"/>
      <c r="AA647" s="354"/>
      <c r="AB647" s="354"/>
      <c r="AC647" s="354"/>
      <c r="AD647" s="354"/>
      <c r="AE647" s="354"/>
      <c r="AF647" s="354"/>
      <c r="AG647" s="354"/>
      <c r="AH647" s="354"/>
      <c r="AI647" s="354"/>
      <c r="AJ647" s="354"/>
      <c r="AK647" s="354"/>
      <c r="AL647" s="354"/>
      <c r="AM647" s="354"/>
      <c r="AN647" s="354"/>
      <c r="AO647" s="354"/>
      <c r="AP647" s="354"/>
      <c r="AQ647" s="354"/>
      <c r="AR647" s="354"/>
      <c r="AS647" s="354"/>
      <c r="AT647" s="354"/>
      <c r="AU647" s="354"/>
      <c r="AV647" s="354"/>
      <c r="AW647" s="354"/>
      <c r="AX647" s="354"/>
      <c r="AY647" s="354"/>
      <c r="AZ647" s="354"/>
    </row>
    <row r="648" spans="3:52" x14ac:dyDescent="0.25">
      <c r="C648" s="354"/>
      <c r="D648" s="354"/>
      <c r="E648" s="354"/>
      <c r="F648" s="354"/>
      <c r="G648" s="354"/>
      <c r="H648" s="354"/>
      <c r="I648" s="354"/>
      <c r="J648" s="354"/>
      <c r="K648" s="354"/>
      <c r="L648" s="354"/>
      <c r="M648" s="354"/>
      <c r="N648" s="354"/>
      <c r="O648" s="354"/>
      <c r="P648" s="354"/>
      <c r="Q648" s="354"/>
      <c r="R648" s="370"/>
      <c r="S648" s="354"/>
      <c r="T648" s="354"/>
      <c r="U648" s="354"/>
      <c r="V648" s="354"/>
      <c r="W648" s="354"/>
      <c r="X648" s="354"/>
      <c r="Y648" s="354"/>
      <c r="Z648" s="354"/>
      <c r="AA648" s="354"/>
      <c r="AB648" s="354"/>
      <c r="AC648" s="354"/>
      <c r="AD648" s="354"/>
      <c r="AE648" s="354"/>
      <c r="AF648" s="354"/>
      <c r="AG648" s="354"/>
      <c r="AH648" s="354"/>
      <c r="AI648" s="354"/>
      <c r="AJ648" s="354"/>
      <c r="AK648" s="354"/>
      <c r="AL648" s="354"/>
      <c r="AM648" s="354"/>
      <c r="AN648" s="354"/>
      <c r="AO648" s="354"/>
      <c r="AP648" s="354"/>
      <c r="AQ648" s="354"/>
      <c r="AR648" s="354"/>
      <c r="AS648" s="354"/>
      <c r="AT648" s="354"/>
      <c r="AU648" s="354"/>
      <c r="AV648" s="354"/>
      <c r="AW648" s="354"/>
      <c r="AX648" s="354"/>
      <c r="AY648" s="354"/>
      <c r="AZ648" s="354"/>
    </row>
    <row r="649" spans="3:52" x14ac:dyDescent="0.25">
      <c r="C649" s="354"/>
      <c r="D649" s="354"/>
      <c r="E649" s="354"/>
      <c r="F649" s="354"/>
      <c r="G649" s="354"/>
      <c r="H649" s="354"/>
      <c r="I649" s="354"/>
      <c r="J649" s="354"/>
      <c r="K649" s="354"/>
      <c r="L649" s="354"/>
      <c r="M649" s="354"/>
      <c r="N649" s="354"/>
      <c r="O649" s="354"/>
      <c r="P649" s="354"/>
      <c r="Q649" s="354"/>
      <c r="R649" s="370"/>
      <c r="S649" s="354"/>
      <c r="T649" s="354"/>
      <c r="U649" s="354"/>
      <c r="V649" s="354"/>
      <c r="W649" s="354"/>
      <c r="X649" s="354"/>
      <c r="Y649" s="354"/>
      <c r="Z649" s="354"/>
      <c r="AA649" s="354"/>
      <c r="AB649" s="354"/>
      <c r="AC649" s="354"/>
      <c r="AD649" s="354"/>
      <c r="AE649" s="354"/>
      <c r="AF649" s="354"/>
      <c r="AG649" s="354"/>
      <c r="AH649" s="354"/>
      <c r="AI649" s="354"/>
      <c r="AJ649" s="354"/>
      <c r="AK649" s="354"/>
      <c r="AL649" s="354"/>
      <c r="AM649" s="354"/>
      <c r="AN649" s="354"/>
      <c r="AO649" s="354"/>
      <c r="AP649" s="354"/>
      <c r="AQ649" s="354"/>
      <c r="AR649" s="354"/>
      <c r="AS649" s="354"/>
      <c r="AT649" s="354"/>
      <c r="AU649" s="354"/>
      <c r="AV649" s="354"/>
      <c r="AW649" s="354"/>
      <c r="AX649" s="354"/>
      <c r="AY649" s="354"/>
      <c r="AZ649" s="354"/>
    </row>
    <row r="650" spans="3:52" x14ac:dyDescent="0.25">
      <c r="C650" s="354"/>
      <c r="D650" s="354"/>
      <c r="E650" s="354"/>
      <c r="F650" s="354"/>
      <c r="G650" s="354"/>
      <c r="H650" s="354"/>
      <c r="I650" s="354"/>
      <c r="J650" s="354"/>
      <c r="K650" s="354"/>
      <c r="L650" s="354"/>
      <c r="M650" s="354"/>
      <c r="N650" s="354"/>
      <c r="O650" s="354"/>
      <c r="P650" s="354"/>
      <c r="Q650" s="354"/>
      <c r="R650" s="370"/>
      <c r="S650" s="354"/>
      <c r="T650" s="354"/>
      <c r="U650" s="354"/>
      <c r="V650" s="354"/>
      <c r="W650" s="354"/>
      <c r="X650" s="354"/>
      <c r="Y650" s="354"/>
      <c r="Z650" s="354"/>
      <c r="AA650" s="354"/>
      <c r="AB650" s="354"/>
      <c r="AC650" s="354"/>
      <c r="AD650" s="354"/>
      <c r="AE650" s="354"/>
      <c r="AF650" s="354"/>
      <c r="AG650" s="354"/>
      <c r="AH650" s="354"/>
      <c r="AI650" s="354"/>
      <c r="AJ650" s="354"/>
      <c r="AK650" s="354"/>
      <c r="AL650" s="354"/>
      <c r="AM650" s="354"/>
      <c r="AN650" s="354"/>
      <c r="AO650" s="354"/>
      <c r="AP650" s="354"/>
      <c r="AQ650" s="354"/>
      <c r="AR650" s="354"/>
      <c r="AS650" s="354"/>
      <c r="AT650" s="354"/>
      <c r="AU650" s="354"/>
      <c r="AV650" s="354"/>
      <c r="AW650" s="354"/>
      <c r="AX650" s="354"/>
      <c r="AY650" s="354"/>
      <c r="AZ650" s="354"/>
    </row>
    <row r="651" spans="3:52" x14ac:dyDescent="0.25">
      <c r="C651" s="354"/>
      <c r="D651" s="354"/>
      <c r="E651" s="354"/>
      <c r="F651" s="354"/>
      <c r="G651" s="354"/>
      <c r="H651" s="354"/>
      <c r="I651" s="354"/>
      <c r="J651" s="354"/>
      <c r="K651" s="354"/>
      <c r="L651" s="354"/>
      <c r="M651" s="354"/>
      <c r="N651" s="354"/>
      <c r="O651" s="354"/>
      <c r="P651" s="354"/>
      <c r="Q651" s="354"/>
      <c r="R651" s="370"/>
      <c r="S651" s="354"/>
      <c r="T651" s="354"/>
      <c r="U651" s="354"/>
      <c r="V651" s="354"/>
      <c r="W651" s="354"/>
      <c r="X651" s="354"/>
      <c r="Y651" s="354"/>
      <c r="Z651" s="354"/>
      <c r="AA651" s="354"/>
      <c r="AB651" s="354"/>
      <c r="AC651" s="354"/>
      <c r="AD651" s="354"/>
      <c r="AE651" s="354"/>
      <c r="AF651" s="354"/>
      <c r="AG651" s="354"/>
      <c r="AH651" s="354"/>
      <c r="AI651" s="354"/>
      <c r="AJ651" s="354"/>
      <c r="AK651" s="354"/>
      <c r="AL651" s="354"/>
      <c r="AM651" s="354"/>
      <c r="AN651" s="354"/>
      <c r="AO651" s="354"/>
      <c r="AP651" s="354"/>
      <c r="AQ651" s="354"/>
      <c r="AR651" s="354"/>
      <c r="AS651" s="354"/>
      <c r="AT651" s="354"/>
      <c r="AU651" s="354"/>
      <c r="AV651" s="354"/>
      <c r="AW651" s="354"/>
      <c r="AX651" s="354"/>
      <c r="AY651" s="354"/>
      <c r="AZ651" s="354"/>
    </row>
    <row r="652" spans="3:52" x14ac:dyDescent="0.25">
      <c r="C652" s="354"/>
      <c r="D652" s="354"/>
      <c r="E652" s="354"/>
      <c r="F652" s="354"/>
      <c r="G652" s="354"/>
      <c r="H652" s="354"/>
      <c r="I652" s="354"/>
      <c r="J652" s="354"/>
      <c r="K652" s="354"/>
      <c r="L652" s="354"/>
      <c r="M652" s="354"/>
      <c r="N652" s="354"/>
      <c r="O652" s="354"/>
      <c r="P652" s="354"/>
      <c r="Q652" s="354"/>
      <c r="R652" s="370"/>
      <c r="S652" s="354"/>
      <c r="T652" s="354"/>
      <c r="U652" s="354"/>
      <c r="V652" s="354"/>
      <c r="W652" s="354"/>
      <c r="X652" s="354"/>
      <c r="Y652" s="354"/>
      <c r="Z652" s="354"/>
      <c r="AA652" s="354"/>
      <c r="AB652" s="354"/>
      <c r="AC652" s="354"/>
      <c r="AD652" s="354"/>
      <c r="AE652" s="354"/>
      <c r="AF652" s="354"/>
      <c r="AG652" s="354"/>
      <c r="AH652" s="354"/>
      <c r="AI652" s="354"/>
      <c r="AJ652" s="354"/>
      <c r="AK652" s="354"/>
      <c r="AL652" s="354"/>
      <c r="AM652" s="354"/>
      <c r="AN652" s="354"/>
      <c r="AO652" s="354"/>
      <c r="AP652" s="354"/>
      <c r="AQ652" s="354"/>
      <c r="AR652" s="354"/>
      <c r="AS652" s="354"/>
      <c r="AT652" s="354"/>
      <c r="AU652" s="354"/>
      <c r="AV652" s="354"/>
      <c r="AW652" s="354"/>
      <c r="AX652" s="354"/>
      <c r="AY652" s="354"/>
      <c r="AZ652" s="354"/>
    </row>
    <row r="653" spans="3:52" x14ac:dyDescent="0.25">
      <c r="C653" s="354"/>
      <c r="D653" s="354"/>
      <c r="E653" s="354"/>
      <c r="F653" s="354"/>
      <c r="G653" s="354"/>
      <c r="H653" s="354"/>
      <c r="I653" s="354"/>
      <c r="J653" s="354"/>
      <c r="K653" s="354"/>
      <c r="L653" s="354"/>
      <c r="M653" s="354"/>
      <c r="N653" s="354"/>
      <c r="O653" s="354"/>
      <c r="P653" s="354"/>
      <c r="Q653" s="354"/>
      <c r="R653" s="370"/>
      <c r="S653" s="354"/>
      <c r="T653" s="354"/>
      <c r="U653" s="354"/>
      <c r="V653" s="354"/>
      <c r="W653" s="354"/>
      <c r="X653" s="354"/>
      <c r="Y653" s="354"/>
      <c r="Z653" s="354"/>
      <c r="AA653" s="354"/>
      <c r="AB653" s="354"/>
      <c r="AC653" s="354"/>
      <c r="AD653" s="354"/>
      <c r="AE653" s="354"/>
      <c r="AF653" s="354"/>
      <c r="AG653" s="354"/>
      <c r="AH653" s="354"/>
      <c r="AI653" s="354"/>
      <c r="AJ653" s="354"/>
      <c r="AK653" s="354"/>
      <c r="AL653" s="354"/>
      <c r="AM653" s="354"/>
      <c r="AN653" s="354"/>
      <c r="AO653" s="354"/>
      <c r="AP653" s="354"/>
      <c r="AQ653" s="354"/>
      <c r="AR653" s="354"/>
      <c r="AS653" s="354"/>
      <c r="AT653" s="354"/>
      <c r="AU653" s="354"/>
      <c r="AV653" s="354"/>
      <c r="AW653" s="354"/>
      <c r="AX653" s="354"/>
      <c r="AY653" s="354"/>
      <c r="AZ653" s="354"/>
    </row>
    <row r="654" spans="3:52" x14ac:dyDescent="0.25">
      <c r="C654" s="354"/>
      <c r="D654" s="354"/>
      <c r="E654" s="354"/>
      <c r="F654" s="354"/>
      <c r="G654" s="354"/>
      <c r="H654" s="354"/>
      <c r="I654" s="354"/>
      <c r="J654" s="354"/>
      <c r="K654" s="354"/>
      <c r="L654" s="354"/>
      <c r="M654" s="354"/>
      <c r="N654" s="354"/>
      <c r="O654" s="354"/>
      <c r="P654" s="354"/>
      <c r="Q654" s="354"/>
      <c r="R654" s="370"/>
      <c r="S654" s="354"/>
      <c r="T654" s="354"/>
      <c r="U654" s="354"/>
      <c r="V654" s="354"/>
      <c r="W654" s="354"/>
      <c r="X654" s="354"/>
      <c r="Y654" s="354"/>
      <c r="Z654" s="354"/>
      <c r="AA654" s="354"/>
      <c r="AB654" s="354"/>
      <c r="AC654" s="354"/>
      <c r="AD654" s="354"/>
      <c r="AE654" s="354"/>
      <c r="AF654" s="354"/>
      <c r="AG654" s="354"/>
      <c r="AH654" s="354"/>
      <c r="AI654" s="354"/>
      <c r="AJ654" s="354"/>
      <c r="AK654" s="354"/>
      <c r="AL654" s="354"/>
      <c r="AM654" s="354"/>
      <c r="AN654" s="354"/>
      <c r="AO654" s="354"/>
      <c r="AP654" s="354"/>
      <c r="AQ654" s="354"/>
      <c r="AR654" s="354"/>
      <c r="AS654" s="354"/>
      <c r="AT654" s="354"/>
      <c r="AU654" s="354"/>
      <c r="AV654" s="354"/>
      <c r="AW654" s="354"/>
      <c r="AX654" s="354"/>
      <c r="AY654" s="354"/>
      <c r="AZ654" s="354"/>
    </row>
    <row r="655" spans="3:52" x14ac:dyDescent="0.25">
      <c r="C655" s="354"/>
      <c r="D655" s="354"/>
      <c r="E655" s="354"/>
      <c r="F655" s="354"/>
      <c r="G655" s="354"/>
      <c r="H655" s="354"/>
      <c r="I655" s="354"/>
      <c r="J655" s="354"/>
      <c r="K655" s="354"/>
      <c r="L655" s="354"/>
      <c r="M655" s="354"/>
      <c r="N655" s="354"/>
      <c r="O655" s="354"/>
      <c r="P655" s="354"/>
      <c r="Q655" s="354"/>
      <c r="R655" s="370"/>
      <c r="S655" s="354"/>
      <c r="T655" s="354"/>
      <c r="U655" s="354"/>
      <c r="V655" s="354"/>
      <c r="W655" s="354"/>
      <c r="X655" s="354"/>
      <c r="Y655" s="354"/>
      <c r="Z655" s="354"/>
      <c r="AA655" s="354"/>
      <c r="AB655" s="354"/>
      <c r="AC655" s="354"/>
      <c r="AD655" s="354"/>
      <c r="AE655" s="354"/>
      <c r="AF655" s="354"/>
      <c r="AG655" s="354"/>
      <c r="AH655" s="354"/>
      <c r="AI655" s="354"/>
      <c r="AJ655" s="354"/>
      <c r="AK655" s="354"/>
      <c r="AL655" s="354"/>
      <c r="AM655" s="354"/>
      <c r="AN655" s="354"/>
      <c r="AO655" s="354"/>
      <c r="AP655" s="354"/>
      <c r="AQ655" s="354"/>
      <c r="AR655" s="354"/>
      <c r="AS655" s="354"/>
      <c r="AT655" s="354"/>
      <c r="AU655" s="354"/>
      <c r="AV655" s="354"/>
      <c r="AW655" s="354"/>
      <c r="AX655" s="354"/>
      <c r="AY655" s="354"/>
      <c r="AZ655" s="354"/>
    </row>
    <row r="656" spans="3:52" x14ac:dyDescent="0.25">
      <c r="C656" s="354"/>
      <c r="D656" s="354"/>
      <c r="E656" s="354"/>
      <c r="F656" s="354"/>
      <c r="G656" s="354"/>
      <c r="H656" s="354"/>
      <c r="I656" s="354"/>
      <c r="J656" s="354"/>
      <c r="K656" s="354"/>
      <c r="L656" s="354"/>
      <c r="M656" s="354"/>
      <c r="N656" s="354"/>
      <c r="O656" s="354"/>
      <c r="P656" s="354"/>
      <c r="Q656" s="354"/>
      <c r="R656" s="370"/>
      <c r="S656" s="354"/>
      <c r="T656" s="354"/>
      <c r="U656" s="354"/>
      <c r="V656" s="354"/>
      <c r="W656" s="354"/>
      <c r="X656" s="354"/>
      <c r="Y656" s="354"/>
      <c r="Z656" s="354"/>
      <c r="AA656" s="354"/>
      <c r="AB656" s="354"/>
      <c r="AC656" s="354"/>
      <c r="AD656" s="354"/>
      <c r="AE656" s="354"/>
      <c r="AF656" s="354"/>
      <c r="AG656" s="354"/>
      <c r="AH656" s="354"/>
      <c r="AI656" s="354"/>
      <c r="AJ656" s="354"/>
      <c r="AK656" s="354"/>
      <c r="AL656" s="354"/>
      <c r="AM656" s="354"/>
      <c r="AN656" s="354"/>
      <c r="AO656" s="354"/>
      <c r="AP656" s="354"/>
      <c r="AQ656" s="354"/>
      <c r="AR656" s="354"/>
      <c r="AS656" s="354"/>
      <c r="AT656" s="354"/>
      <c r="AU656" s="354"/>
      <c r="AV656" s="354"/>
      <c r="AW656" s="354"/>
      <c r="AX656" s="354"/>
      <c r="AY656" s="354"/>
      <c r="AZ656" s="354"/>
    </row>
    <row r="657" spans="3:52" x14ac:dyDescent="0.25">
      <c r="C657" s="354"/>
      <c r="D657" s="354"/>
      <c r="E657" s="354"/>
      <c r="F657" s="354"/>
      <c r="G657" s="354"/>
      <c r="H657" s="354"/>
      <c r="I657" s="354"/>
      <c r="J657" s="354"/>
      <c r="K657" s="354"/>
      <c r="L657" s="354"/>
      <c r="M657" s="354"/>
      <c r="N657" s="354"/>
      <c r="O657" s="354"/>
      <c r="P657" s="354"/>
      <c r="Q657" s="354"/>
      <c r="R657" s="370"/>
      <c r="S657" s="354"/>
      <c r="T657" s="354"/>
      <c r="U657" s="354"/>
      <c r="V657" s="354"/>
      <c r="W657" s="354"/>
      <c r="X657" s="354"/>
      <c r="Y657" s="354"/>
      <c r="Z657" s="354"/>
      <c r="AA657" s="354"/>
      <c r="AB657" s="354"/>
      <c r="AC657" s="354"/>
      <c r="AD657" s="354"/>
      <c r="AE657" s="354"/>
      <c r="AF657" s="354"/>
      <c r="AG657" s="354"/>
      <c r="AH657" s="354"/>
      <c r="AI657" s="354"/>
      <c r="AJ657" s="354"/>
      <c r="AK657" s="354"/>
      <c r="AL657" s="354"/>
      <c r="AM657" s="354"/>
      <c r="AN657" s="354"/>
      <c r="AO657" s="354"/>
      <c r="AP657" s="354"/>
      <c r="AQ657" s="354"/>
      <c r="AR657" s="354"/>
      <c r="AS657" s="354"/>
      <c r="AT657" s="354"/>
      <c r="AU657" s="354"/>
      <c r="AV657" s="354"/>
      <c r="AW657" s="354"/>
      <c r="AX657" s="354"/>
      <c r="AY657" s="354"/>
      <c r="AZ657" s="354"/>
    </row>
    <row r="658" spans="3:52" x14ac:dyDescent="0.25">
      <c r="C658" s="354"/>
      <c r="D658" s="354"/>
      <c r="E658" s="354"/>
      <c r="F658" s="354"/>
      <c r="G658" s="354"/>
      <c r="H658" s="354"/>
      <c r="I658" s="354"/>
      <c r="J658" s="354"/>
      <c r="K658" s="354"/>
      <c r="L658" s="354"/>
      <c r="M658" s="354"/>
      <c r="N658" s="354"/>
      <c r="O658" s="354"/>
      <c r="P658" s="354"/>
      <c r="Q658" s="354"/>
      <c r="R658" s="370"/>
      <c r="S658" s="354"/>
      <c r="T658" s="354"/>
      <c r="U658" s="354"/>
      <c r="V658" s="354"/>
      <c r="W658" s="354"/>
      <c r="X658" s="354"/>
      <c r="Y658" s="354"/>
      <c r="Z658" s="354"/>
      <c r="AA658" s="354"/>
      <c r="AB658" s="354"/>
      <c r="AC658" s="354"/>
      <c r="AD658" s="354"/>
      <c r="AE658" s="354"/>
      <c r="AF658" s="354"/>
      <c r="AG658" s="354"/>
      <c r="AH658" s="354"/>
      <c r="AI658" s="354"/>
      <c r="AJ658" s="354"/>
      <c r="AK658" s="354"/>
      <c r="AL658" s="354"/>
      <c r="AM658" s="354"/>
      <c r="AN658" s="354"/>
      <c r="AO658" s="354"/>
      <c r="AP658" s="354"/>
      <c r="AQ658" s="354"/>
      <c r="AR658" s="354"/>
      <c r="AS658" s="354"/>
      <c r="AT658" s="354"/>
      <c r="AU658" s="354"/>
      <c r="AV658" s="354"/>
      <c r="AW658" s="354"/>
      <c r="AX658" s="354"/>
      <c r="AY658" s="354"/>
      <c r="AZ658" s="354"/>
    </row>
    <row r="659" spans="3:52" x14ac:dyDescent="0.25">
      <c r="C659" s="354"/>
      <c r="D659" s="354"/>
      <c r="E659" s="354"/>
      <c r="F659" s="354"/>
      <c r="G659" s="354"/>
      <c r="H659" s="354"/>
      <c r="I659" s="354"/>
      <c r="J659" s="354"/>
      <c r="K659" s="354"/>
      <c r="L659" s="354"/>
      <c r="M659" s="354"/>
      <c r="N659" s="354"/>
      <c r="O659" s="354"/>
      <c r="P659" s="354"/>
      <c r="Q659" s="354"/>
      <c r="R659" s="370"/>
      <c r="S659" s="354"/>
      <c r="T659" s="354"/>
      <c r="U659" s="354"/>
      <c r="V659" s="354"/>
      <c r="W659" s="354"/>
      <c r="X659" s="354"/>
      <c r="Y659" s="354"/>
      <c r="Z659" s="354"/>
      <c r="AA659" s="354"/>
      <c r="AB659" s="354"/>
      <c r="AC659" s="354"/>
      <c r="AD659" s="354"/>
      <c r="AE659" s="354"/>
      <c r="AF659" s="354"/>
      <c r="AG659" s="354"/>
      <c r="AH659" s="354"/>
      <c r="AI659" s="354"/>
      <c r="AJ659" s="354"/>
      <c r="AK659" s="354"/>
      <c r="AL659" s="354"/>
      <c r="AM659" s="354"/>
      <c r="AN659" s="354"/>
      <c r="AO659" s="354"/>
      <c r="AP659" s="354"/>
      <c r="AQ659" s="354"/>
      <c r="AR659" s="354"/>
      <c r="AS659" s="354"/>
      <c r="AT659" s="354"/>
      <c r="AU659" s="354"/>
      <c r="AV659" s="354"/>
      <c r="AW659" s="354"/>
      <c r="AX659" s="354"/>
      <c r="AY659" s="354"/>
      <c r="AZ659" s="354"/>
    </row>
    <row r="660" spans="3:52" x14ac:dyDescent="0.25">
      <c r="C660" s="354"/>
      <c r="D660" s="354"/>
      <c r="E660" s="354"/>
      <c r="F660" s="354"/>
      <c r="G660" s="354"/>
      <c r="H660" s="354"/>
      <c r="I660" s="354"/>
      <c r="J660" s="354"/>
      <c r="K660" s="354"/>
      <c r="L660" s="354"/>
      <c r="M660" s="354"/>
      <c r="N660" s="354"/>
      <c r="O660" s="354"/>
      <c r="P660" s="354"/>
      <c r="Q660" s="354"/>
      <c r="R660" s="370"/>
      <c r="S660" s="354"/>
      <c r="T660" s="354"/>
      <c r="U660" s="354"/>
      <c r="V660" s="354"/>
      <c r="W660" s="354"/>
      <c r="X660" s="354"/>
      <c r="Y660" s="354"/>
      <c r="Z660" s="354"/>
      <c r="AA660" s="354"/>
      <c r="AB660" s="354"/>
      <c r="AC660" s="354"/>
      <c r="AD660" s="354"/>
      <c r="AE660" s="354"/>
      <c r="AF660" s="354"/>
      <c r="AG660" s="354"/>
      <c r="AH660" s="354"/>
      <c r="AI660" s="354"/>
      <c r="AJ660" s="354"/>
      <c r="AK660" s="354"/>
      <c r="AL660" s="354"/>
      <c r="AM660" s="354"/>
      <c r="AN660" s="354"/>
      <c r="AO660" s="354"/>
      <c r="AP660" s="354"/>
      <c r="AQ660" s="354"/>
      <c r="AR660" s="354"/>
      <c r="AS660" s="354"/>
      <c r="AT660" s="354"/>
      <c r="AU660" s="354"/>
      <c r="AV660" s="354"/>
      <c r="AW660" s="354"/>
      <c r="AX660" s="354"/>
      <c r="AY660" s="354"/>
      <c r="AZ660" s="354"/>
    </row>
    <row r="661" spans="3:52" x14ac:dyDescent="0.25">
      <c r="C661" s="354"/>
      <c r="D661" s="354"/>
      <c r="E661" s="354"/>
      <c r="F661" s="354"/>
      <c r="G661" s="354"/>
      <c r="H661" s="354"/>
      <c r="I661" s="354"/>
      <c r="J661" s="354"/>
      <c r="K661" s="354"/>
      <c r="L661" s="354"/>
      <c r="M661" s="354"/>
      <c r="N661" s="354"/>
      <c r="O661" s="354"/>
      <c r="P661" s="354"/>
      <c r="Q661" s="354"/>
      <c r="R661" s="370"/>
      <c r="S661" s="354"/>
      <c r="T661" s="354"/>
      <c r="U661" s="354"/>
      <c r="V661" s="354"/>
      <c r="W661" s="354"/>
      <c r="X661" s="354"/>
      <c r="Y661" s="354"/>
      <c r="Z661" s="354"/>
      <c r="AA661" s="354"/>
      <c r="AB661" s="354"/>
      <c r="AC661" s="354"/>
      <c r="AD661" s="354"/>
      <c r="AE661" s="354"/>
      <c r="AF661" s="354"/>
      <c r="AG661" s="354"/>
      <c r="AH661" s="354"/>
      <c r="AI661" s="354"/>
      <c r="AJ661" s="354"/>
      <c r="AK661" s="354"/>
      <c r="AL661" s="354"/>
      <c r="AM661" s="354"/>
      <c r="AN661" s="354"/>
      <c r="AO661" s="354"/>
      <c r="AP661" s="354"/>
      <c r="AQ661" s="354"/>
      <c r="AR661" s="354"/>
      <c r="AS661" s="354"/>
      <c r="AT661" s="354"/>
      <c r="AU661" s="354"/>
      <c r="AV661" s="354"/>
      <c r="AW661" s="354"/>
      <c r="AX661" s="354"/>
      <c r="AY661" s="354"/>
      <c r="AZ661" s="354"/>
    </row>
    <row r="662" spans="3:52" x14ac:dyDescent="0.25">
      <c r="C662" s="354"/>
      <c r="D662" s="354"/>
      <c r="E662" s="354"/>
      <c r="F662" s="354"/>
      <c r="G662" s="354"/>
      <c r="H662" s="354"/>
      <c r="I662" s="354"/>
      <c r="J662" s="354"/>
      <c r="K662" s="354"/>
      <c r="L662" s="354"/>
      <c r="M662" s="354"/>
      <c r="N662" s="354"/>
      <c r="O662" s="354"/>
      <c r="P662" s="354"/>
      <c r="Q662" s="354"/>
      <c r="R662" s="370"/>
      <c r="S662" s="354"/>
      <c r="T662" s="354"/>
      <c r="U662" s="354"/>
      <c r="V662" s="354"/>
      <c r="W662" s="354"/>
      <c r="X662" s="354"/>
      <c r="Y662" s="354"/>
      <c r="Z662" s="354"/>
      <c r="AA662" s="354"/>
      <c r="AB662" s="354"/>
      <c r="AC662" s="354"/>
      <c r="AD662" s="354"/>
      <c r="AE662" s="354"/>
      <c r="AF662" s="354"/>
      <c r="AG662" s="354"/>
      <c r="AH662" s="354"/>
      <c r="AI662" s="354"/>
      <c r="AJ662" s="354"/>
      <c r="AK662" s="354"/>
      <c r="AL662" s="354"/>
      <c r="AM662" s="354"/>
      <c r="AN662" s="354"/>
      <c r="AO662" s="354"/>
      <c r="AP662" s="354"/>
      <c r="AQ662" s="354"/>
      <c r="AR662" s="354"/>
      <c r="AS662" s="354"/>
      <c r="AT662" s="354"/>
      <c r="AU662" s="354"/>
      <c r="AV662" s="354"/>
      <c r="AW662" s="354"/>
      <c r="AX662" s="354"/>
      <c r="AY662" s="354"/>
      <c r="AZ662" s="354"/>
    </row>
    <row r="663" spans="3:52" x14ac:dyDescent="0.25">
      <c r="C663" s="354"/>
      <c r="D663" s="354"/>
      <c r="E663" s="354"/>
      <c r="F663" s="354"/>
      <c r="G663" s="354"/>
      <c r="H663" s="354"/>
      <c r="I663" s="354"/>
      <c r="J663" s="354"/>
      <c r="K663" s="354"/>
      <c r="L663" s="354"/>
      <c r="M663" s="354"/>
      <c r="N663" s="354"/>
      <c r="O663" s="354"/>
      <c r="P663" s="354"/>
      <c r="Q663" s="354"/>
      <c r="R663" s="370"/>
      <c r="S663" s="354"/>
      <c r="T663" s="354"/>
      <c r="U663" s="354"/>
      <c r="V663" s="354"/>
      <c r="W663" s="354"/>
      <c r="X663" s="354"/>
      <c r="Y663" s="354"/>
      <c r="Z663" s="354"/>
      <c r="AA663" s="354"/>
      <c r="AB663" s="354"/>
      <c r="AC663" s="354"/>
      <c r="AD663" s="354"/>
      <c r="AE663" s="354"/>
      <c r="AF663" s="354"/>
      <c r="AG663" s="354"/>
      <c r="AH663" s="354"/>
      <c r="AI663" s="354"/>
      <c r="AJ663" s="354"/>
      <c r="AK663" s="354"/>
      <c r="AL663" s="354"/>
      <c r="AM663" s="354"/>
      <c r="AN663" s="354"/>
      <c r="AO663" s="354"/>
      <c r="AP663" s="354"/>
      <c r="AQ663" s="354"/>
      <c r="AR663" s="354"/>
      <c r="AS663" s="354"/>
      <c r="AT663" s="354"/>
      <c r="AU663" s="354"/>
      <c r="AV663" s="354"/>
      <c r="AW663" s="354"/>
      <c r="AX663" s="354"/>
      <c r="AY663" s="354"/>
      <c r="AZ663" s="354"/>
    </row>
    <row r="664" spans="3:52" x14ac:dyDescent="0.25">
      <c r="C664" s="354"/>
      <c r="D664" s="354"/>
      <c r="E664" s="354"/>
      <c r="F664" s="354"/>
      <c r="G664" s="354"/>
      <c r="H664" s="354"/>
      <c r="I664" s="354"/>
      <c r="J664" s="354"/>
      <c r="K664" s="354"/>
      <c r="L664" s="354"/>
      <c r="M664" s="354"/>
      <c r="N664" s="354"/>
      <c r="O664" s="354"/>
      <c r="P664" s="354"/>
      <c r="Q664" s="354"/>
      <c r="R664" s="370"/>
      <c r="S664" s="354"/>
      <c r="T664" s="354"/>
      <c r="U664" s="354"/>
      <c r="V664" s="354"/>
      <c r="W664" s="354"/>
      <c r="X664" s="354"/>
      <c r="Y664" s="354"/>
      <c r="Z664" s="354"/>
      <c r="AA664" s="354"/>
      <c r="AB664" s="354"/>
      <c r="AC664" s="354"/>
      <c r="AD664" s="354"/>
      <c r="AE664" s="354"/>
      <c r="AF664" s="354"/>
      <c r="AG664" s="354"/>
      <c r="AH664" s="354"/>
      <c r="AI664" s="354"/>
      <c r="AJ664" s="354"/>
      <c r="AK664" s="354"/>
      <c r="AL664" s="354"/>
      <c r="AM664" s="354"/>
      <c r="AN664" s="354"/>
      <c r="AO664" s="354"/>
      <c r="AP664" s="354"/>
      <c r="AQ664" s="354"/>
      <c r="AR664" s="354"/>
      <c r="AS664" s="354"/>
      <c r="AT664" s="354"/>
      <c r="AU664" s="354"/>
      <c r="AV664" s="354"/>
      <c r="AW664" s="354"/>
      <c r="AX664" s="354"/>
      <c r="AY664" s="354"/>
      <c r="AZ664" s="354"/>
    </row>
    <row r="665" spans="3:52" x14ac:dyDescent="0.25">
      <c r="C665" s="354"/>
      <c r="D665" s="354"/>
      <c r="E665" s="354"/>
      <c r="F665" s="354"/>
      <c r="G665" s="354"/>
      <c r="H665" s="354"/>
      <c r="I665" s="354"/>
      <c r="J665" s="354"/>
      <c r="K665" s="354"/>
      <c r="L665" s="354"/>
      <c r="M665" s="354"/>
      <c r="N665" s="354"/>
      <c r="O665" s="354"/>
      <c r="P665" s="354"/>
      <c r="Q665" s="354"/>
      <c r="R665" s="370"/>
      <c r="S665" s="354"/>
      <c r="T665" s="354"/>
      <c r="U665" s="354"/>
      <c r="V665" s="354"/>
      <c r="W665" s="354"/>
      <c r="X665" s="354"/>
      <c r="Y665" s="354"/>
      <c r="Z665" s="354"/>
      <c r="AA665" s="354"/>
      <c r="AB665" s="354"/>
      <c r="AC665" s="354"/>
      <c r="AD665" s="354"/>
      <c r="AE665" s="354"/>
      <c r="AF665" s="354"/>
      <c r="AG665" s="354"/>
      <c r="AH665" s="354"/>
      <c r="AI665" s="354"/>
      <c r="AJ665" s="354"/>
      <c r="AK665" s="354"/>
      <c r="AL665" s="354"/>
      <c r="AM665" s="354"/>
      <c r="AN665" s="354"/>
      <c r="AO665" s="354"/>
      <c r="AP665" s="354"/>
      <c r="AQ665" s="354"/>
      <c r="AR665" s="354"/>
      <c r="AS665" s="354"/>
      <c r="AT665" s="354"/>
      <c r="AU665" s="354"/>
      <c r="AV665" s="354"/>
      <c r="AW665" s="354"/>
      <c r="AX665" s="354"/>
      <c r="AY665" s="354"/>
      <c r="AZ665" s="354"/>
    </row>
    <row r="666" spans="3:52" x14ac:dyDescent="0.25">
      <c r="C666" s="354"/>
      <c r="D666" s="354"/>
      <c r="E666" s="354"/>
      <c r="F666" s="354"/>
      <c r="G666" s="354"/>
      <c r="H666" s="354"/>
      <c r="I666" s="354"/>
      <c r="J666" s="354"/>
      <c r="K666" s="354"/>
      <c r="L666" s="354"/>
      <c r="M666" s="354"/>
      <c r="N666" s="354"/>
      <c r="O666" s="354"/>
      <c r="P666" s="354"/>
      <c r="Q666" s="354"/>
      <c r="R666" s="370"/>
      <c r="S666" s="354"/>
      <c r="T666" s="354"/>
      <c r="U666" s="354"/>
      <c r="V666" s="354"/>
      <c r="W666" s="354"/>
      <c r="X666" s="354"/>
      <c r="Y666" s="354"/>
      <c r="Z666" s="354"/>
      <c r="AA666" s="354"/>
      <c r="AB666" s="354"/>
      <c r="AC666" s="354"/>
      <c r="AD666" s="354"/>
      <c r="AE666" s="354"/>
      <c r="AF666" s="354"/>
      <c r="AG666" s="354"/>
      <c r="AH666" s="354"/>
      <c r="AI666" s="354"/>
      <c r="AJ666" s="354"/>
      <c r="AK666" s="354"/>
      <c r="AL666" s="354"/>
      <c r="AM666" s="354"/>
      <c r="AN666" s="354"/>
      <c r="AO666" s="354"/>
      <c r="AP666" s="354"/>
      <c r="AQ666" s="354"/>
      <c r="AR666" s="354"/>
      <c r="AS666" s="354"/>
      <c r="AT666" s="354"/>
      <c r="AU666" s="354"/>
      <c r="AV666" s="354"/>
      <c r="AW666" s="354"/>
      <c r="AX666" s="354"/>
      <c r="AY666" s="354"/>
      <c r="AZ666" s="354"/>
    </row>
    <row r="667" spans="3:52" x14ac:dyDescent="0.25">
      <c r="C667" s="354"/>
      <c r="D667" s="354"/>
      <c r="E667" s="354"/>
      <c r="F667" s="354"/>
      <c r="G667" s="354"/>
      <c r="H667" s="354"/>
      <c r="I667" s="354"/>
      <c r="J667" s="354"/>
      <c r="K667" s="354"/>
      <c r="L667" s="354"/>
      <c r="M667" s="354"/>
      <c r="N667" s="354"/>
      <c r="O667" s="354"/>
      <c r="P667" s="354"/>
      <c r="Q667" s="354"/>
      <c r="R667" s="370"/>
      <c r="S667" s="354"/>
      <c r="T667" s="354"/>
      <c r="U667" s="354"/>
      <c r="V667" s="354"/>
      <c r="W667" s="354"/>
      <c r="X667" s="354"/>
      <c r="Y667" s="354"/>
      <c r="Z667" s="354"/>
      <c r="AA667" s="354"/>
      <c r="AB667" s="354"/>
      <c r="AC667" s="354"/>
      <c r="AD667" s="354"/>
      <c r="AE667" s="354"/>
      <c r="AF667" s="354"/>
      <c r="AG667" s="354"/>
      <c r="AH667" s="354"/>
      <c r="AI667" s="354"/>
      <c r="AJ667" s="354"/>
      <c r="AK667" s="354"/>
      <c r="AL667" s="354"/>
      <c r="AM667" s="354"/>
      <c r="AN667" s="354"/>
      <c r="AO667" s="354"/>
      <c r="AP667" s="354"/>
      <c r="AQ667" s="354"/>
      <c r="AR667" s="354"/>
      <c r="AS667" s="354"/>
      <c r="AT667" s="354"/>
      <c r="AU667" s="354"/>
      <c r="AV667" s="354"/>
      <c r="AW667" s="354"/>
      <c r="AX667" s="354"/>
      <c r="AY667" s="354"/>
      <c r="AZ667" s="354"/>
    </row>
    <row r="668" spans="3:52" x14ac:dyDescent="0.25">
      <c r="C668" s="354"/>
      <c r="D668" s="354"/>
      <c r="E668" s="354"/>
      <c r="F668" s="354"/>
      <c r="G668" s="354"/>
      <c r="H668" s="354"/>
      <c r="I668" s="354"/>
      <c r="J668" s="354"/>
      <c r="K668" s="354"/>
      <c r="L668" s="354"/>
      <c r="M668" s="354"/>
      <c r="N668" s="354"/>
      <c r="O668" s="354"/>
      <c r="P668" s="354"/>
      <c r="Q668" s="354"/>
      <c r="R668" s="370"/>
      <c r="S668" s="354"/>
      <c r="T668" s="354"/>
      <c r="U668" s="354"/>
      <c r="V668" s="354"/>
      <c r="W668" s="354"/>
      <c r="X668" s="354"/>
      <c r="Y668" s="354"/>
      <c r="Z668" s="354"/>
      <c r="AA668" s="354"/>
      <c r="AB668" s="354"/>
      <c r="AC668" s="354"/>
      <c r="AD668" s="354"/>
      <c r="AE668" s="354"/>
      <c r="AF668" s="354"/>
      <c r="AG668" s="354"/>
      <c r="AH668" s="354"/>
      <c r="AI668" s="354"/>
      <c r="AJ668" s="354"/>
      <c r="AK668" s="354"/>
      <c r="AL668" s="354"/>
      <c r="AM668" s="354"/>
      <c r="AN668" s="354"/>
      <c r="AO668" s="354"/>
      <c r="AP668" s="354"/>
      <c r="AQ668" s="354"/>
      <c r="AR668" s="354"/>
      <c r="AS668" s="354"/>
      <c r="AT668" s="354"/>
      <c r="AU668" s="354"/>
      <c r="AV668" s="354"/>
      <c r="AW668" s="354"/>
      <c r="AX668" s="354"/>
      <c r="AY668" s="354"/>
      <c r="AZ668" s="354"/>
    </row>
    <row r="669" spans="3:52" x14ac:dyDescent="0.25">
      <c r="C669" s="354"/>
      <c r="D669" s="354"/>
      <c r="E669" s="354"/>
      <c r="F669" s="354"/>
      <c r="G669" s="354"/>
      <c r="H669" s="354"/>
      <c r="I669" s="354"/>
      <c r="J669" s="354"/>
      <c r="K669" s="354"/>
      <c r="L669" s="354"/>
      <c r="M669" s="354"/>
      <c r="N669" s="354"/>
      <c r="O669" s="354"/>
      <c r="P669" s="354"/>
      <c r="Q669" s="354"/>
      <c r="R669" s="370"/>
      <c r="S669" s="354"/>
      <c r="T669" s="354"/>
      <c r="U669" s="354"/>
      <c r="V669" s="354"/>
      <c r="W669" s="354"/>
      <c r="X669" s="354"/>
      <c r="Y669" s="354"/>
      <c r="Z669" s="354"/>
      <c r="AA669" s="354"/>
      <c r="AB669" s="354"/>
      <c r="AC669" s="354"/>
      <c r="AD669" s="354"/>
      <c r="AE669" s="354"/>
      <c r="AF669" s="354"/>
      <c r="AG669" s="354"/>
      <c r="AH669" s="354"/>
      <c r="AI669" s="354"/>
      <c r="AJ669" s="354"/>
      <c r="AK669" s="354"/>
      <c r="AL669" s="354"/>
      <c r="AM669" s="354"/>
      <c r="AN669" s="354"/>
      <c r="AO669" s="354"/>
      <c r="AP669" s="354"/>
      <c r="AQ669" s="354"/>
      <c r="AR669" s="354"/>
      <c r="AS669" s="354"/>
      <c r="AT669" s="354"/>
      <c r="AU669" s="354"/>
      <c r="AV669" s="354"/>
      <c r="AW669" s="354"/>
      <c r="AX669" s="354"/>
      <c r="AY669" s="354"/>
      <c r="AZ669" s="354"/>
    </row>
    <row r="670" spans="3:52" x14ac:dyDescent="0.25">
      <c r="C670" s="354"/>
      <c r="D670" s="354"/>
      <c r="E670" s="354"/>
      <c r="F670" s="354"/>
      <c r="G670" s="354"/>
      <c r="H670" s="354"/>
      <c r="I670" s="354"/>
      <c r="J670" s="354"/>
      <c r="K670" s="354"/>
      <c r="L670" s="354"/>
      <c r="M670" s="354"/>
      <c r="N670" s="354"/>
      <c r="O670" s="354"/>
      <c r="P670" s="354"/>
      <c r="Q670" s="354"/>
      <c r="R670" s="370"/>
      <c r="S670" s="354"/>
      <c r="T670" s="354"/>
      <c r="U670" s="354"/>
      <c r="V670" s="354"/>
      <c r="W670" s="354"/>
      <c r="X670" s="354"/>
      <c r="Y670" s="354"/>
      <c r="Z670" s="354"/>
      <c r="AA670" s="354"/>
      <c r="AB670" s="354"/>
      <c r="AC670" s="354"/>
      <c r="AD670" s="354"/>
      <c r="AE670" s="354"/>
      <c r="AF670" s="354"/>
      <c r="AG670" s="354"/>
      <c r="AH670" s="354"/>
      <c r="AI670" s="354"/>
      <c r="AJ670" s="354"/>
      <c r="AK670" s="354"/>
      <c r="AL670" s="354"/>
      <c r="AM670" s="354"/>
      <c r="AN670" s="354"/>
      <c r="AO670" s="354"/>
      <c r="AP670" s="354"/>
      <c r="AQ670" s="354"/>
      <c r="AR670" s="354"/>
      <c r="AS670" s="354"/>
      <c r="AT670" s="354"/>
      <c r="AU670" s="354"/>
      <c r="AV670" s="354"/>
      <c r="AW670" s="354"/>
      <c r="AX670" s="354"/>
      <c r="AY670" s="354"/>
      <c r="AZ670" s="354"/>
    </row>
    <row r="671" spans="3:52" x14ac:dyDescent="0.25">
      <c r="C671" s="354"/>
      <c r="D671" s="354"/>
      <c r="E671" s="354"/>
      <c r="F671" s="354"/>
      <c r="G671" s="354"/>
      <c r="H671" s="354"/>
      <c r="I671" s="354"/>
      <c r="J671" s="354"/>
      <c r="K671" s="354"/>
      <c r="L671" s="354"/>
      <c r="M671" s="354"/>
      <c r="N671" s="354"/>
      <c r="O671" s="354"/>
      <c r="P671" s="354"/>
      <c r="Q671" s="354"/>
      <c r="R671" s="370"/>
      <c r="S671" s="354"/>
      <c r="T671" s="354"/>
      <c r="U671" s="354"/>
      <c r="V671" s="354"/>
      <c r="W671" s="354"/>
      <c r="X671" s="354"/>
      <c r="Y671" s="354"/>
      <c r="Z671" s="354"/>
      <c r="AA671" s="354"/>
      <c r="AB671" s="354"/>
      <c r="AC671" s="354"/>
      <c r="AD671" s="354"/>
      <c r="AE671" s="354"/>
      <c r="AF671" s="354"/>
      <c r="AG671" s="354"/>
      <c r="AH671" s="354"/>
      <c r="AI671" s="354"/>
      <c r="AJ671" s="354"/>
      <c r="AK671" s="354"/>
      <c r="AL671" s="354"/>
      <c r="AM671" s="354"/>
      <c r="AN671" s="354"/>
      <c r="AO671" s="354"/>
      <c r="AP671" s="354"/>
      <c r="AQ671" s="354"/>
      <c r="AR671" s="354"/>
      <c r="AS671" s="354"/>
      <c r="AT671" s="354"/>
      <c r="AU671" s="354"/>
      <c r="AV671" s="354"/>
      <c r="AW671" s="354"/>
      <c r="AX671" s="354"/>
      <c r="AY671" s="354"/>
      <c r="AZ671" s="354"/>
    </row>
    <row r="672" spans="3:52" x14ac:dyDescent="0.25">
      <c r="C672" s="354"/>
      <c r="D672" s="354"/>
      <c r="E672" s="354"/>
      <c r="F672" s="354"/>
      <c r="G672" s="354"/>
      <c r="H672" s="354"/>
      <c r="I672" s="354"/>
      <c r="J672" s="354"/>
      <c r="K672" s="354"/>
      <c r="L672" s="354"/>
      <c r="M672" s="354"/>
      <c r="N672" s="354"/>
      <c r="O672" s="354"/>
      <c r="P672" s="354"/>
      <c r="Q672" s="354"/>
      <c r="R672" s="370"/>
      <c r="S672" s="354"/>
      <c r="T672" s="354"/>
      <c r="U672" s="354"/>
      <c r="V672" s="354"/>
      <c r="W672" s="354"/>
      <c r="X672" s="354"/>
      <c r="Y672" s="354"/>
      <c r="Z672" s="354"/>
      <c r="AA672" s="354"/>
      <c r="AB672" s="354"/>
      <c r="AC672" s="354"/>
      <c r="AD672" s="354"/>
      <c r="AE672" s="354"/>
      <c r="AF672" s="354"/>
      <c r="AG672" s="354"/>
      <c r="AH672" s="354"/>
      <c r="AI672" s="354"/>
      <c r="AJ672" s="354"/>
      <c r="AK672" s="354"/>
      <c r="AL672" s="354"/>
      <c r="AM672" s="354"/>
      <c r="AN672" s="354"/>
      <c r="AO672" s="354"/>
      <c r="AP672" s="354"/>
      <c r="AQ672" s="354"/>
      <c r="AR672" s="354"/>
      <c r="AS672" s="354"/>
      <c r="AT672" s="354"/>
      <c r="AU672" s="354"/>
      <c r="AV672" s="354"/>
      <c r="AW672" s="354"/>
      <c r="AX672" s="354"/>
      <c r="AY672" s="354"/>
      <c r="AZ672" s="354"/>
    </row>
    <row r="673" spans="3:52" x14ac:dyDescent="0.25">
      <c r="C673" s="354"/>
      <c r="D673" s="354"/>
      <c r="E673" s="354"/>
      <c r="F673" s="354"/>
      <c r="G673" s="354"/>
      <c r="H673" s="354"/>
      <c r="I673" s="354"/>
      <c r="J673" s="354"/>
      <c r="K673" s="354"/>
      <c r="L673" s="354"/>
      <c r="M673" s="354"/>
      <c r="N673" s="354"/>
      <c r="O673" s="354"/>
      <c r="P673" s="354"/>
      <c r="Q673" s="354"/>
      <c r="R673" s="370"/>
      <c r="S673" s="354"/>
      <c r="T673" s="354"/>
      <c r="U673" s="354"/>
      <c r="V673" s="354"/>
      <c r="W673" s="354"/>
      <c r="X673" s="354"/>
      <c r="Y673" s="354"/>
      <c r="Z673" s="354"/>
      <c r="AA673" s="354"/>
      <c r="AB673" s="354"/>
      <c r="AC673" s="354"/>
      <c r="AD673" s="354"/>
      <c r="AE673" s="354"/>
      <c r="AF673" s="354"/>
      <c r="AG673" s="354"/>
      <c r="AH673" s="354"/>
      <c r="AI673" s="354"/>
      <c r="AJ673" s="354"/>
      <c r="AK673" s="354"/>
      <c r="AL673" s="354"/>
      <c r="AM673" s="354"/>
      <c r="AN673" s="354"/>
      <c r="AO673" s="354"/>
      <c r="AP673" s="354"/>
      <c r="AQ673" s="354"/>
      <c r="AR673" s="354"/>
      <c r="AS673" s="354"/>
      <c r="AT673" s="354"/>
      <c r="AU673" s="354"/>
      <c r="AV673" s="354"/>
      <c r="AW673" s="354"/>
      <c r="AX673" s="354"/>
      <c r="AY673" s="354"/>
      <c r="AZ673" s="354"/>
    </row>
    <row r="674" spans="3:52" x14ac:dyDescent="0.25">
      <c r="C674" s="354"/>
      <c r="D674" s="354"/>
      <c r="E674" s="354"/>
      <c r="F674" s="354"/>
      <c r="G674" s="354"/>
      <c r="H674" s="354"/>
      <c r="I674" s="354"/>
      <c r="J674" s="354"/>
      <c r="K674" s="354"/>
      <c r="L674" s="354"/>
      <c r="M674" s="354"/>
      <c r="N674" s="354"/>
      <c r="O674" s="354"/>
      <c r="P674" s="354"/>
      <c r="Q674" s="354"/>
      <c r="R674" s="370"/>
      <c r="S674" s="354"/>
      <c r="T674" s="354"/>
      <c r="U674" s="354"/>
      <c r="V674" s="354"/>
      <c r="W674" s="354"/>
      <c r="X674" s="354"/>
      <c r="Y674" s="354"/>
      <c r="Z674" s="354"/>
      <c r="AA674" s="354"/>
      <c r="AB674" s="354"/>
      <c r="AC674" s="354"/>
      <c r="AD674" s="354"/>
      <c r="AE674" s="354"/>
      <c r="AF674" s="354"/>
      <c r="AG674" s="354"/>
      <c r="AH674" s="354"/>
      <c r="AI674" s="354"/>
      <c r="AJ674" s="354"/>
      <c r="AK674" s="354"/>
      <c r="AL674" s="354"/>
      <c r="AM674" s="354"/>
      <c r="AN674" s="354"/>
      <c r="AO674" s="354"/>
      <c r="AP674" s="354"/>
      <c r="AQ674" s="354"/>
      <c r="AR674" s="354"/>
      <c r="AS674" s="354"/>
      <c r="AT674" s="354"/>
      <c r="AU674" s="354"/>
      <c r="AV674" s="354"/>
      <c r="AW674" s="354"/>
      <c r="AX674" s="354"/>
      <c r="AY674" s="354"/>
      <c r="AZ674" s="354"/>
    </row>
    <row r="675" spans="3:52" x14ac:dyDescent="0.25">
      <c r="C675" s="354"/>
      <c r="D675" s="354"/>
      <c r="E675" s="354"/>
      <c r="F675" s="354"/>
      <c r="G675" s="354"/>
      <c r="H675" s="354"/>
      <c r="I675" s="354"/>
      <c r="J675" s="354"/>
      <c r="K675" s="354"/>
      <c r="L675" s="354"/>
      <c r="M675" s="354"/>
      <c r="N675" s="354"/>
      <c r="O675" s="354"/>
      <c r="P675" s="354"/>
      <c r="Q675" s="354"/>
      <c r="R675" s="370"/>
      <c r="S675" s="354"/>
      <c r="T675" s="354"/>
      <c r="U675" s="354"/>
      <c r="V675" s="354"/>
      <c r="W675" s="354"/>
      <c r="X675" s="354"/>
      <c r="Y675" s="354"/>
      <c r="Z675" s="354"/>
      <c r="AA675" s="354"/>
      <c r="AB675" s="354"/>
      <c r="AC675" s="354"/>
      <c r="AD675" s="354"/>
      <c r="AE675" s="354"/>
      <c r="AF675" s="354"/>
      <c r="AG675" s="354"/>
      <c r="AH675" s="354"/>
      <c r="AI675" s="354"/>
      <c r="AJ675" s="354"/>
      <c r="AK675" s="354"/>
      <c r="AL675" s="354"/>
      <c r="AM675" s="354"/>
      <c r="AN675" s="354"/>
      <c r="AO675" s="354"/>
      <c r="AP675" s="354"/>
      <c r="AQ675" s="354"/>
      <c r="AR675" s="354"/>
      <c r="AS675" s="354"/>
      <c r="AT675" s="354"/>
      <c r="AU675" s="354"/>
      <c r="AV675" s="354"/>
      <c r="AW675" s="354"/>
      <c r="AX675" s="354"/>
      <c r="AY675" s="354"/>
      <c r="AZ675" s="354"/>
    </row>
    <row r="676" spans="3:52" x14ac:dyDescent="0.25">
      <c r="C676" s="354"/>
      <c r="D676" s="354"/>
      <c r="E676" s="354"/>
      <c r="F676" s="354"/>
      <c r="G676" s="354"/>
      <c r="H676" s="354"/>
      <c r="I676" s="354"/>
      <c r="J676" s="354"/>
      <c r="K676" s="354"/>
      <c r="L676" s="354"/>
      <c r="M676" s="354"/>
      <c r="N676" s="354"/>
      <c r="O676" s="354"/>
      <c r="P676" s="354"/>
      <c r="Q676" s="354"/>
      <c r="R676" s="370"/>
      <c r="S676" s="354"/>
      <c r="T676" s="354"/>
      <c r="U676" s="354"/>
      <c r="V676" s="354"/>
      <c r="W676" s="354"/>
      <c r="X676" s="354"/>
      <c r="Y676" s="354"/>
      <c r="Z676" s="354"/>
      <c r="AA676" s="354"/>
      <c r="AB676" s="354"/>
      <c r="AC676" s="354"/>
      <c r="AD676" s="354"/>
      <c r="AE676" s="354"/>
      <c r="AF676" s="354"/>
      <c r="AG676" s="354"/>
      <c r="AH676" s="354"/>
      <c r="AI676" s="354"/>
      <c r="AJ676" s="354"/>
      <c r="AK676" s="354"/>
      <c r="AL676" s="354"/>
      <c r="AM676" s="354"/>
      <c r="AN676" s="354"/>
      <c r="AO676" s="354"/>
      <c r="AP676" s="354"/>
      <c r="AQ676" s="354"/>
      <c r="AR676" s="354"/>
      <c r="AS676" s="354"/>
      <c r="AT676" s="354"/>
      <c r="AU676" s="354"/>
      <c r="AV676" s="354"/>
      <c r="AW676" s="354"/>
      <c r="AX676" s="354"/>
      <c r="AY676" s="354"/>
      <c r="AZ676" s="354"/>
    </row>
    <row r="677" spans="3:52" x14ac:dyDescent="0.25">
      <c r="C677" s="354"/>
      <c r="D677" s="354"/>
      <c r="E677" s="354"/>
      <c r="F677" s="354"/>
      <c r="G677" s="354"/>
      <c r="H677" s="354"/>
      <c r="I677" s="354"/>
      <c r="J677" s="354"/>
      <c r="K677" s="354"/>
      <c r="L677" s="354"/>
      <c r="M677" s="354"/>
      <c r="N677" s="354"/>
      <c r="O677" s="354"/>
      <c r="P677" s="354"/>
      <c r="Q677" s="354"/>
      <c r="R677" s="370"/>
      <c r="S677" s="354"/>
      <c r="T677" s="354"/>
      <c r="U677" s="354"/>
      <c r="V677" s="354"/>
      <c r="W677" s="354"/>
      <c r="X677" s="354"/>
      <c r="Y677" s="354"/>
      <c r="Z677" s="354"/>
      <c r="AA677" s="354"/>
      <c r="AB677" s="354"/>
      <c r="AC677" s="354"/>
      <c r="AD677" s="354"/>
      <c r="AE677" s="354"/>
      <c r="AF677" s="354"/>
      <c r="AG677" s="354"/>
      <c r="AH677" s="354"/>
      <c r="AI677" s="354"/>
      <c r="AJ677" s="354"/>
      <c r="AK677" s="354"/>
      <c r="AL677" s="354"/>
      <c r="AM677" s="354"/>
      <c r="AN677" s="354"/>
      <c r="AO677" s="354"/>
      <c r="AP677" s="354"/>
      <c r="AQ677" s="354"/>
      <c r="AR677" s="354"/>
      <c r="AS677" s="354"/>
      <c r="AT677" s="354"/>
      <c r="AU677" s="354"/>
      <c r="AV677" s="354"/>
      <c r="AW677" s="354"/>
      <c r="AX677" s="354"/>
      <c r="AY677" s="354"/>
      <c r="AZ677" s="354"/>
    </row>
    <row r="678" spans="3:52" x14ac:dyDescent="0.25">
      <c r="C678" s="354"/>
      <c r="D678" s="354"/>
      <c r="E678" s="354"/>
      <c r="F678" s="354"/>
      <c r="G678" s="354"/>
      <c r="H678" s="354"/>
      <c r="I678" s="354"/>
      <c r="J678" s="354"/>
      <c r="K678" s="354"/>
      <c r="L678" s="354"/>
      <c r="M678" s="354"/>
      <c r="N678" s="354"/>
      <c r="O678" s="354"/>
      <c r="P678" s="354"/>
      <c r="Q678" s="354"/>
      <c r="R678" s="370"/>
      <c r="S678" s="354"/>
      <c r="T678" s="354"/>
      <c r="U678" s="354"/>
      <c r="V678" s="354"/>
      <c r="W678" s="354"/>
      <c r="X678" s="354"/>
      <c r="Y678" s="354"/>
      <c r="Z678" s="354"/>
      <c r="AA678" s="354"/>
      <c r="AB678" s="354"/>
      <c r="AC678" s="354"/>
      <c r="AD678" s="354"/>
      <c r="AE678" s="354"/>
      <c r="AF678" s="354"/>
      <c r="AG678" s="354"/>
      <c r="AH678" s="354"/>
      <c r="AI678" s="354"/>
      <c r="AJ678" s="354"/>
      <c r="AK678" s="354"/>
      <c r="AL678" s="354"/>
      <c r="AM678" s="354"/>
      <c r="AN678" s="354"/>
      <c r="AO678" s="354"/>
      <c r="AP678" s="354"/>
      <c r="AQ678" s="354"/>
      <c r="AR678" s="354"/>
      <c r="AS678" s="354"/>
      <c r="AT678" s="354"/>
      <c r="AU678" s="354"/>
      <c r="AV678" s="354"/>
      <c r="AW678" s="354"/>
      <c r="AX678" s="354"/>
      <c r="AY678" s="354"/>
      <c r="AZ678" s="354"/>
    </row>
    <row r="679" spans="3:52" x14ac:dyDescent="0.25">
      <c r="C679" s="354"/>
      <c r="D679" s="354"/>
      <c r="E679" s="354"/>
      <c r="F679" s="354"/>
      <c r="G679" s="354"/>
      <c r="H679" s="354"/>
      <c r="I679" s="354"/>
      <c r="J679" s="354"/>
      <c r="K679" s="354"/>
      <c r="L679" s="354"/>
      <c r="M679" s="354"/>
      <c r="N679" s="354"/>
      <c r="O679" s="354"/>
      <c r="P679" s="354"/>
      <c r="Q679" s="354"/>
      <c r="R679" s="370"/>
      <c r="S679" s="354"/>
      <c r="T679" s="354"/>
      <c r="U679" s="354"/>
      <c r="V679" s="354"/>
      <c r="W679" s="354"/>
      <c r="X679" s="354"/>
      <c r="Y679" s="354"/>
      <c r="Z679" s="354"/>
      <c r="AA679" s="354"/>
      <c r="AB679" s="354"/>
      <c r="AC679" s="354"/>
      <c r="AD679" s="354"/>
      <c r="AE679" s="354"/>
      <c r="AF679" s="354"/>
      <c r="AG679" s="354"/>
      <c r="AH679" s="354"/>
      <c r="AI679" s="354"/>
      <c r="AJ679" s="354"/>
      <c r="AK679" s="354"/>
      <c r="AL679" s="354"/>
      <c r="AM679" s="354"/>
      <c r="AN679" s="354"/>
      <c r="AO679" s="354"/>
      <c r="AP679" s="354"/>
      <c r="AQ679" s="354"/>
      <c r="AR679" s="354"/>
      <c r="AS679" s="354"/>
      <c r="AT679" s="354"/>
      <c r="AU679" s="354"/>
      <c r="AV679" s="354"/>
      <c r="AW679" s="354"/>
      <c r="AX679" s="354"/>
      <c r="AY679" s="354"/>
      <c r="AZ679" s="354"/>
    </row>
    <row r="680" spans="3:52" x14ac:dyDescent="0.25">
      <c r="C680" s="354"/>
      <c r="D680" s="354"/>
      <c r="E680" s="354"/>
      <c r="F680" s="354"/>
      <c r="G680" s="354"/>
      <c r="H680" s="354"/>
      <c r="I680" s="354"/>
      <c r="J680" s="354"/>
      <c r="K680" s="354"/>
      <c r="L680" s="354"/>
      <c r="M680" s="354"/>
      <c r="N680" s="354"/>
      <c r="O680" s="354"/>
      <c r="P680" s="354"/>
      <c r="Q680" s="354"/>
      <c r="R680" s="370"/>
      <c r="S680" s="354"/>
      <c r="T680" s="354"/>
      <c r="U680" s="354"/>
      <c r="V680" s="354"/>
      <c r="W680" s="354"/>
      <c r="X680" s="354"/>
      <c r="Y680" s="354"/>
      <c r="Z680" s="354"/>
      <c r="AA680" s="354"/>
      <c r="AB680" s="354"/>
      <c r="AC680" s="354"/>
      <c r="AD680" s="354"/>
      <c r="AE680" s="354"/>
      <c r="AF680" s="354"/>
      <c r="AG680" s="354"/>
      <c r="AH680" s="354"/>
      <c r="AI680" s="354"/>
      <c r="AJ680" s="354"/>
      <c r="AK680" s="354"/>
      <c r="AL680" s="354"/>
      <c r="AM680" s="354"/>
      <c r="AN680" s="354"/>
      <c r="AO680" s="354"/>
      <c r="AP680" s="354"/>
      <c r="AQ680" s="354"/>
      <c r="AR680" s="354"/>
      <c r="AS680" s="354"/>
      <c r="AT680" s="354"/>
      <c r="AU680" s="354"/>
      <c r="AV680" s="354"/>
      <c r="AW680" s="354"/>
      <c r="AX680" s="354"/>
      <c r="AY680" s="354"/>
      <c r="AZ680" s="354"/>
    </row>
    <row r="681" spans="3:52" x14ac:dyDescent="0.25">
      <c r="C681" s="354"/>
      <c r="D681" s="354"/>
      <c r="E681" s="354"/>
      <c r="F681" s="354"/>
      <c r="G681" s="354"/>
      <c r="H681" s="354"/>
      <c r="I681" s="354"/>
      <c r="J681" s="354"/>
      <c r="K681" s="354"/>
      <c r="L681" s="354"/>
      <c r="M681" s="354"/>
      <c r="N681" s="354"/>
      <c r="O681" s="354"/>
      <c r="P681" s="354"/>
      <c r="Q681" s="354"/>
      <c r="R681" s="370"/>
      <c r="S681" s="354"/>
      <c r="T681" s="354"/>
      <c r="U681" s="354"/>
      <c r="V681" s="354"/>
      <c r="W681" s="354"/>
      <c r="X681" s="354"/>
      <c r="Y681" s="354"/>
      <c r="Z681" s="354"/>
      <c r="AA681" s="354"/>
      <c r="AB681" s="354"/>
      <c r="AC681" s="354"/>
      <c r="AD681" s="354"/>
      <c r="AE681" s="354"/>
      <c r="AF681" s="354"/>
      <c r="AG681" s="354"/>
      <c r="AH681" s="354"/>
      <c r="AI681" s="354"/>
      <c r="AJ681" s="354"/>
      <c r="AK681" s="354"/>
      <c r="AL681" s="354"/>
      <c r="AM681" s="354"/>
      <c r="AN681" s="354"/>
      <c r="AO681" s="354"/>
      <c r="AP681" s="354"/>
      <c r="AQ681" s="354"/>
      <c r="AR681" s="354"/>
      <c r="AS681" s="354"/>
      <c r="AT681" s="354"/>
      <c r="AU681" s="354"/>
      <c r="AV681" s="354"/>
      <c r="AW681" s="354"/>
      <c r="AX681" s="354"/>
      <c r="AY681" s="354"/>
      <c r="AZ681" s="354"/>
    </row>
    <row r="682" spans="3:52" x14ac:dyDescent="0.25">
      <c r="C682" s="354"/>
      <c r="D682" s="354"/>
      <c r="E682" s="354"/>
      <c r="F682" s="354"/>
      <c r="G682" s="354"/>
      <c r="H682" s="354"/>
      <c r="I682" s="354"/>
      <c r="J682" s="354"/>
      <c r="K682" s="354"/>
      <c r="L682" s="354"/>
      <c r="M682" s="354"/>
      <c r="N682" s="354"/>
      <c r="O682" s="354"/>
      <c r="P682" s="354"/>
      <c r="Q682" s="354"/>
      <c r="R682" s="370"/>
      <c r="S682" s="354"/>
      <c r="T682" s="354"/>
      <c r="U682" s="354"/>
      <c r="V682" s="354"/>
      <c r="W682" s="354"/>
      <c r="X682" s="354"/>
      <c r="Y682" s="354"/>
      <c r="Z682" s="354"/>
      <c r="AA682" s="354"/>
      <c r="AB682" s="354"/>
      <c r="AC682" s="354"/>
      <c r="AD682" s="354"/>
      <c r="AE682" s="354"/>
      <c r="AF682" s="354"/>
      <c r="AG682" s="354"/>
      <c r="AH682" s="354"/>
      <c r="AI682" s="354"/>
      <c r="AJ682" s="354"/>
      <c r="AK682" s="354"/>
      <c r="AL682" s="354"/>
      <c r="AM682" s="354"/>
      <c r="AN682" s="354"/>
      <c r="AO682" s="354"/>
      <c r="AP682" s="354"/>
      <c r="AQ682" s="354"/>
      <c r="AR682" s="354"/>
      <c r="AS682" s="354"/>
      <c r="AT682" s="354"/>
      <c r="AU682" s="354"/>
      <c r="AV682" s="354"/>
      <c r="AW682" s="354"/>
      <c r="AX682" s="354"/>
      <c r="AY682" s="354"/>
      <c r="AZ682" s="354"/>
    </row>
    <row r="683" spans="3:52" x14ac:dyDescent="0.25">
      <c r="C683" s="354"/>
      <c r="D683" s="354"/>
      <c r="E683" s="354"/>
      <c r="F683" s="354"/>
      <c r="G683" s="354"/>
      <c r="H683" s="354"/>
      <c r="I683" s="354"/>
      <c r="J683" s="354"/>
      <c r="K683" s="354"/>
      <c r="L683" s="354"/>
      <c r="M683" s="354"/>
      <c r="N683" s="354"/>
      <c r="O683" s="354"/>
      <c r="P683" s="354"/>
      <c r="Q683" s="354"/>
      <c r="R683" s="370"/>
      <c r="S683" s="354"/>
      <c r="T683" s="354"/>
      <c r="U683" s="354"/>
      <c r="V683" s="354"/>
      <c r="W683" s="354"/>
      <c r="X683" s="354"/>
      <c r="Y683" s="354"/>
      <c r="Z683" s="354"/>
      <c r="AA683" s="354"/>
      <c r="AB683" s="354"/>
      <c r="AC683" s="354"/>
      <c r="AD683" s="354"/>
      <c r="AE683" s="354"/>
      <c r="AF683" s="354"/>
      <c r="AG683" s="354"/>
      <c r="AH683" s="354"/>
      <c r="AI683" s="354"/>
      <c r="AJ683" s="354"/>
      <c r="AK683" s="354"/>
      <c r="AL683" s="354"/>
      <c r="AM683" s="354"/>
      <c r="AN683" s="354"/>
      <c r="AO683" s="354"/>
      <c r="AP683" s="354"/>
      <c r="AQ683" s="354"/>
      <c r="AR683" s="354"/>
      <c r="AS683" s="354"/>
      <c r="AT683" s="354"/>
      <c r="AU683" s="354"/>
      <c r="AV683" s="354"/>
      <c r="AW683" s="354"/>
      <c r="AX683" s="354"/>
      <c r="AY683" s="354"/>
      <c r="AZ683" s="354"/>
    </row>
    <row r="684" spans="3:52" x14ac:dyDescent="0.25">
      <c r="C684" s="354"/>
      <c r="D684" s="354"/>
      <c r="E684" s="354"/>
      <c r="F684" s="354"/>
      <c r="G684" s="354"/>
      <c r="H684" s="354"/>
      <c r="I684" s="354"/>
      <c r="J684" s="354"/>
      <c r="K684" s="354"/>
      <c r="L684" s="354"/>
      <c r="M684" s="354"/>
      <c r="N684" s="354"/>
      <c r="O684" s="354"/>
      <c r="P684" s="354"/>
      <c r="Q684" s="354"/>
      <c r="R684" s="370"/>
      <c r="S684" s="354"/>
      <c r="T684" s="354"/>
      <c r="U684" s="354"/>
      <c r="V684" s="354"/>
      <c r="W684" s="354"/>
      <c r="X684" s="354"/>
      <c r="Y684" s="354"/>
      <c r="Z684" s="354"/>
      <c r="AA684" s="354"/>
      <c r="AB684" s="354"/>
      <c r="AC684" s="354"/>
      <c r="AD684" s="354"/>
      <c r="AE684" s="354"/>
      <c r="AF684" s="354"/>
      <c r="AG684" s="354"/>
      <c r="AH684" s="354"/>
      <c r="AI684" s="354"/>
      <c r="AJ684" s="354"/>
      <c r="AK684" s="354"/>
      <c r="AL684" s="354"/>
      <c r="AM684" s="354"/>
      <c r="AN684" s="354"/>
      <c r="AO684" s="354"/>
      <c r="AP684" s="354"/>
      <c r="AQ684" s="354"/>
      <c r="AR684" s="354"/>
      <c r="AS684" s="354"/>
      <c r="AT684" s="354"/>
      <c r="AU684" s="354"/>
      <c r="AV684" s="354"/>
      <c r="AW684" s="354"/>
      <c r="AX684" s="354"/>
      <c r="AY684" s="354"/>
      <c r="AZ684" s="354"/>
    </row>
    <row r="685" spans="3:52" x14ac:dyDescent="0.25">
      <c r="C685" s="354"/>
      <c r="D685" s="354"/>
      <c r="E685" s="354"/>
      <c r="F685" s="354"/>
      <c r="G685" s="354"/>
      <c r="H685" s="354"/>
      <c r="I685" s="354"/>
      <c r="J685" s="354"/>
      <c r="K685" s="354"/>
      <c r="L685" s="354"/>
      <c r="M685" s="354"/>
      <c r="N685" s="354"/>
      <c r="O685" s="354"/>
      <c r="P685" s="354"/>
      <c r="Q685" s="354"/>
      <c r="R685" s="370"/>
      <c r="S685" s="354"/>
      <c r="T685" s="354"/>
      <c r="U685" s="354"/>
      <c r="V685" s="354"/>
      <c r="W685" s="354"/>
      <c r="X685" s="354"/>
      <c r="Y685" s="354"/>
      <c r="Z685" s="354"/>
      <c r="AA685" s="354"/>
      <c r="AB685" s="354"/>
      <c r="AC685" s="354"/>
      <c r="AD685" s="354"/>
      <c r="AE685" s="354"/>
      <c r="AF685" s="354"/>
      <c r="AG685" s="354"/>
      <c r="AH685" s="354"/>
      <c r="AI685" s="354"/>
      <c r="AJ685" s="354"/>
      <c r="AK685" s="354"/>
      <c r="AL685" s="354"/>
      <c r="AM685" s="354"/>
      <c r="AN685" s="354"/>
      <c r="AO685" s="354"/>
      <c r="AP685" s="354"/>
      <c r="AQ685" s="354"/>
      <c r="AR685" s="354"/>
      <c r="AS685" s="354"/>
      <c r="AT685" s="354"/>
      <c r="AU685" s="354"/>
      <c r="AV685" s="354"/>
      <c r="AW685" s="354"/>
      <c r="AX685" s="354"/>
      <c r="AY685" s="354"/>
      <c r="AZ685" s="354"/>
    </row>
    <row r="686" spans="3:52" x14ac:dyDescent="0.25">
      <c r="C686" s="354"/>
      <c r="D686" s="354"/>
      <c r="E686" s="354"/>
      <c r="F686" s="354"/>
      <c r="G686" s="354"/>
      <c r="H686" s="354"/>
      <c r="I686" s="354"/>
      <c r="J686" s="354"/>
      <c r="K686" s="354"/>
      <c r="L686" s="354"/>
      <c r="M686" s="354"/>
      <c r="N686" s="354"/>
      <c r="O686" s="354"/>
      <c r="P686" s="354"/>
      <c r="Q686" s="354"/>
      <c r="R686" s="370"/>
      <c r="S686" s="354"/>
      <c r="T686" s="354"/>
      <c r="U686" s="354"/>
      <c r="V686" s="354"/>
      <c r="W686" s="354"/>
      <c r="X686" s="354"/>
      <c r="Y686" s="354"/>
      <c r="Z686" s="354"/>
      <c r="AA686" s="354"/>
      <c r="AB686" s="354"/>
      <c r="AC686" s="354"/>
      <c r="AD686" s="354"/>
      <c r="AE686" s="354"/>
      <c r="AF686" s="354"/>
      <c r="AG686" s="354"/>
      <c r="AH686" s="354"/>
      <c r="AI686" s="354"/>
      <c r="AJ686" s="354"/>
      <c r="AK686" s="354"/>
      <c r="AL686" s="354"/>
      <c r="AM686" s="354"/>
      <c r="AN686" s="354"/>
      <c r="AO686" s="354"/>
      <c r="AP686" s="354"/>
      <c r="AQ686" s="354"/>
      <c r="AR686" s="354"/>
      <c r="AS686" s="354"/>
      <c r="AT686" s="354"/>
      <c r="AU686" s="354"/>
      <c r="AV686" s="354"/>
      <c r="AW686" s="354"/>
      <c r="AX686" s="354"/>
      <c r="AY686" s="354"/>
      <c r="AZ686" s="354"/>
    </row>
    <row r="687" spans="3:52" x14ac:dyDescent="0.25">
      <c r="C687" s="354"/>
      <c r="D687" s="354"/>
      <c r="E687" s="354"/>
      <c r="F687" s="354"/>
      <c r="G687" s="354"/>
      <c r="H687" s="354"/>
      <c r="I687" s="354"/>
      <c r="J687" s="354"/>
      <c r="K687" s="354"/>
      <c r="L687" s="354"/>
      <c r="M687" s="354"/>
      <c r="N687" s="354"/>
      <c r="O687" s="354"/>
      <c r="P687" s="354"/>
      <c r="Q687" s="354"/>
      <c r="R687" s="370"/>
      <c r="S687" s="354"/>
      <c r="T687" s="354"/>
      <c r="U687" s="354"/>
      <c r="V687" s="354"/>
      <c r="W687" s="354"/>
      <c r="X687" s="354"/>
      <c r="Y687" s="354"/>
      <c r="Z687" s="354"/>
      <c r="AA687" s="354"/>
      <c r="AB687" s="354"/>
      <c r="AC687" s="354"/>
      <c r="AD687" s="354"/>
      <c r="AE687" s="354"/>
      <c r="AF687" s="354"/>
      <c r="AG687" s="354"/>
      <c r="AH687" s="354"/>
      <c r="AI687" s="354"/>
      <c r="AJ687" s="354"/>
      <c r="AK687" s="354"/>
      <c r="AL687" s="354"/>
      <c r="AM687" s="354"/>
      <c r="AN687" s="354"/>
      <c r="AO687" s="354"/>
      <c r="AP687" s="354"/>
      <c r="AQ687" s="354"/>
      <c r="AR687" s="354"/>
      <c r="AS687" s="354"/>
      <c r="AT687" s="354"/>
      <c r="AU687" s="354"/>
      <c r="AV687" s="354"/>
      <c r="AW687" s="354"/>
      <c r="AX687" s="354"/>
      <c r="AY687" s="354"/>
      <c r="AZ687" s="354"/>
    </row>
    <row r="688" spans="3:52" x14ac:dyDescent="0.25">
      <c r="C688" s="354"/>
      <c r="D688" s="354"/>
      <c r="E688" s="354"/>
      <c r="F688" s="354"/>
      <c r="G688" s="354"/>
      <c r="H688" s="354"/>
      <c r="I688" s="354"/>
      <c r="J688" s="354"/>
      <c r="K688" s="354"/>
      <c r="L688" s="354"/>
      <c r="M688" s="354"/>
      <c r="N688" s="354"/>
      <c r="O688" s="354"/>
      <c r="P688" s="354"/>
      <c r="Q688" s="354"/>
      <c r="R688" s="370"/>
      <c r="S688" s="354"/>
      <c r="T688" s="354"/>
      <c r="U688" s="354"/>
      <c r="V688" s="354"/>
      <c r="W688" s="354"/>
      <c r="X688" s="354"/>
      <c r="Y688" s="354"/>
      <c r="Z688" s="354"/>
      <c r="AA688" s="354"/>
      <c r="AB688" s="354"/>
      <c r="AC688" s="354"/>
      <c r="AD688" s="354"/>
      <c r="AE688" s="354"/>
      <c r="AF688" s="354"/>
      <c r="AG688" s="354"/>
      <c r="AH688" s="354"/>
      <c r="AI688" s="354"/>
      <c r="AJ688" s="354"/>
      <c r="AK688" s="354"/>
      <c r="AL688" s="354"/>
      <c r="AM688" s="354"/>
      <c r="AN688" s="354"/>
      <c r="AO688" s="354"/>
      <c r="AP688" s="354"/>
      <c r="AQ688" s="354"/>
      <c r="AR688" s="354"/>
      <c r="AS688" s="354"/>
      <c r="AT688" s="354"/>
      <c r="AU688" s="354"/>
      <c r="AV688" s="354"/>
      <c r="AW688" s="354"/>
      <c r="AX688" s="354"/>
      <c r="AY688" s="354"/>
      <c r="AZ688" s="354"/>
    </row>
    <row r="689" spans="3:52" x14ac:dyDescent="0.25">
      <c r="C689" s="354"/>
      <c r="D689" s="354"/>
      <c r="E689" s="354"/>
      <c r="F689" s="354"/>
      <c r="G689" s="354"/>
      <c r="H689" s="354"/>
      <c r="I689" s="354"/>
      <c r="J689" s="354"/>
      <c r="K689" s="354"/>
      <c r="L689" s="354"/>
      <c r="M689" s="354"/>
      <c r="N689" s="354"/>
      <c r="O689" s="354"/>
      <c r="P689" s="354"/>
      <c r="Q689" s="354"/>
      <c r="R689" s="370"/>
      <c r="S689" s="354"/>
      <c r="T689" s="354"/>
      <c r="U689" s="354"/>
      <c r="V689" s="354"/>
      <c r="W689" s="354"/>
      <c r="X689" s="354"/>
      <c r="Y689" s="354"/>
      <c r="Z689" s="354"/>
      <c r="AA689" s="354"/>
      <c r="AB689" s="354"/>
      <c r="AC689" s="354"/>
      <c r="AD689" s="354"/>
      <c r="AE689" s="354"/>
      <c r="AF689" s="354"/>
      <c r="AG689" s="354"/>
      <c r="AH689" s="354"/>
      <c r="AI689" s="354"/>
      <c r="AJ689" s="354"/>
      <c r="AK689" s="354"/>
      <c r="AL689" s="354"/>
      <c r="AM689" s="354"/>
      <c r="AN689" s="354"/>
      <c r="AO689" s="354"/>
      <c r="AP689" s="354"/>
      <c r="AQ689" s="354"/>
      <c r="AR689" s="354"/>
      <c r="AS689" s="354"/>
      <c r="AT689" s="354"/>
      <c r="AU689" s="354"/>
      <c r="AV689" s="354"/>
      <c r="AW689" s="354"/>
      <c r="AX689" s="354"/>
      <c r="AY689" s="354"/>
      <c r="AZ689" s="354"/>
    </row>
    <row r="690" spans="3:52" x14ac:dyDescent="0.25">
      <c r="C690" s="354"/>
      <c r="D690" s="354"/>
      <c r="E690" s="354"/>
      <c r="F690" s="354"/>
      <c r="G690" s="354"/>
      <c r="H690" s="354"/>
      <c r="I690" s="354"/>
      <c r="J690" s="354"/>
      <c r="K690" s="354"/>
      <c r="L690" s="354"/>
      <c r="M690" s="354"/>
      <c r="N690" s="354"/>
      <c r="O690" s="354"/>
      <c r="P690" s="354"/>
      <c r="Q690" s="354"/>
      <c r="R690" s="370"/>
      <c r="S690" s="354"/>
      <c r="T690" s="354"/>
      <c r="U690" s="354"/>
      <c r="V690" s="354"/>
      <c r="W690" s="354"/>
      <c r="X690" s="354"/>
      <c r="Y690" s="354"/>
      <c r="Z690" s="354"/>
      <c r="AA690" s="354"/>
      <c r="AB690" s="354"/>
      <c r="AC690" s="354"/>
      <c r="AD690" s="354"/>
      <c r="AE690" s="354"/>
      <c r="AF690" s="354"/>
      <c r="AG690" s="354"/>
      <c r="AH690" s="354"/>
      <c r="AI690" s="354"/>
      <c r="AJ690" s="354"/>
      <c r="AK690" s="354"/>
      <c r="AL690" s="354"/>
      <c r="AM690" s="354"/>
      <c r="AN690" s="354"/>
      <c r="AO690" s="354"/>
      <c r="AP690" s="354"/>
      <c r="AQ690" s="354"/>
      <c r="AR690" s="354"/>
      <c r="AS690" s="354"/>
      <c r="AT690" s="354"/>
      <c r="AU690" s="354"/>
      <c r="AV690" s="354"/>
      <c r="AW690" s="354"/>
      <c r="AX690" s="354"/>
      <c r="AY690" s="354"/>
      <c r="AZ690" s="354"/>
    </row>
    <row r="691" spans="3:52" x14ac:dyDescent="0.25">
      <c r="C691" s="354"/>
      <c r="D691" s="354"/>
      <c r="E691" s="354"/>
      <c r="F691" s="354"/>
      <c r="G691" s="354"/>
      <c r="H691" s="354"/>
      <c r="I691" s="354"/>
      <c r="J691" s="354"/>
      <c r="K691" s="354"/>
      <c r="L691" s="354"/>
      <c r="M691" s="354"/>
      <c r="N691" s="354"/>
      <c r="O691" s="354"/>
      <c r="P691" s="354"/>
      <c r="Q691" s="354"/>
      <c r="R691" s="370"/>
      <c r="S691" s="354"/>
      <c r="T691" s="354"/>
      <c r="U691" s="354"/>
      <c r="V691" s="354"/>
      <c r="W691" s="354"/>
      <c r="X691" s="354"/>
      <c r="Y691" s="354"/>
      <c r="Z691" s="354"/>
      <c r="AA691" s="354"/>
      <c r="AB691" s="354"/>
      <c r="AC691" s="354"/>
      <c r="AD691" s="354"/>
      <c r="AE691" s="354"/>
      <c r="AF691" s="354"/>
      <c r="AG691" s="354"/>
      <c r="AH691" s="354"/>
      <c r="AI691" s="354"/>
      <c r="AJ691" s="354"/>
      <c r="AK691" s="354"/>
      <c r="AL691" s="354"/>
      <c r="AM691" s="354"/>
      <c r="AN691" s="354"/>
      <c r="AO691" s="354"/>
      <c r="AP691" s="354"/>
      <c r="AQ691" s="354"/>
      <c r="AR691" s="354"/>
      <c r="AS691" s="354"/>
      <c r="AT691" s="354"/>
      <c r="AU691" s="354"/>
      <c r="AV691" s="354"/>
      <c r="AW691" s="354"/>
      <c r="AX691" s="354"/>
      <c r="AY691" s="354"/>
      <c r="AZ691" s="354"/>
    </row>
    <row r="692" spans="3:52" x14ac:dyDescent="0.25">
      <c r="C692" s="354"/>
      <c r="D692" s="354"/>
      <c r="E692" s="354"/>
      <c r="F692" s="354"/>
      <c r="G692" s="354"/>
      <c r="H692" s="354"/>
      <c r="I692" s="354"/>
      <c r="J692" s="354"/>
      <c r="K692" s="354"/>
      <c r="L692" s="354"/>
      <c r="M692" s="354"/>
      <c r="N692" s="354"/>
      <c r="O692" s="354"/>
      <c r="P692" s="354"/>
      <c r="Q692" s="354"/>
      <c r="R692" s="370"/>
      <c r="S692" s="354"/>
      <c r="T692" s="354"/>
      <c r="U692" s="354"/>
      <c r="V692" s="354"/>
      <c r="W692" s="354"/>
      <c r="X692" s="354"/>
      <c r="Y692" s="354"/>
      <c r="Z692" s="354"/>
      <c r="AA692" s="354"/>
      <c r="AB692" s="354"/>
      <c r="AC692" s="354"/>
      <c r="AD692" s="354"/>
      <c r="AE692" s="354"/>
      <c r="AF692" s="354"/>
      <c r="AG692" s="354"/>
      <c r="AH692" s="354"/>
      <c r="AI692" s="354"/>
      <c r="AJ692" s="354"/>
      <c r="AK692" s="354"/>
      <c r="AL692" s="354"/>
      <c r="AM692" s="354"/>
      <c r="AN692" s="354"/>
      <c r="AO692" s="354"/>
      <c r="AP692" s="354"/>
      <c r="AQ692" s="354"/>
      <c r="AR692" s="354"/>
      <c r="AS692" s="354"/>
      <c r="AT692" s="354"/>
      <c r="AU692" s="354"/>
      <c r="AV692" s="354"/>
      <c r="AW692" s="354"/>
      <c r="AX692" s="354"/>
      <c r="AY692" s="354"/>
      <c r="AZ692" s="354"/>
    </row>
    <row r="693" spans="3:52" x14ac:dyDescent="0.25">
      <c r="C693" s="354"/>
      <c r="D693" s="354"/>
      <c r="E693" s="354"/>
      <c r="F693" s="354"/>
      <c r="G693" s="354"/>
      <c r="H693" s="354"/>
      <c r="I693" s="354"/>
      <c r="J693" s="354"/>
      <c r="K693" s="354"/>
      <c r="L693" s="354"/>
      <c r="M693" s="354"/>
      <c r="N693" s="354"/>
      <c r="O693" s="354"/>
      <c r="P693" s="354"/>
      <c r="Q693" s="354"/>
      <c r="R693" s="370"/>
      <c r="S693" s="354"/>
      <c r="T693" s="354"/>
      <c r="U693" s="354"/>
      <c r="V693" s="354"/>
      <c r="W693" s="354"/>
      <c r="X693" s="354"/>
      <c r="Y693" s="354"/>
      <c r="Z693" s="354"/>
      <c r="AA693" s="354"/>
      <c r="AB693" s="354"/>
      <c r="AC693" s="354"/>
      <c r="AD693" s="354"/>
      <c r="AE693" s="354"/>
      <c r="AF693" s="354"/>
      <c r="AG693" s="354"/>
      <c r="AH693" s="354"/>
      <c r="AI693" s="354"/>
      <c r="AJ693" s="354"/>
      <c r="AK693" s="354"/>
      <c r="AL693" s="354"/>
      <c r="AM693" s="354"/>
      <c r="AN693" s="354"/>
      <c r="AO693" s="354"/>
      <c r="AP693" s="354"/>
      <c r="AQ693" s="354"/>
      <c r="AR693" s="354"/>
      <c r="AS693" s="354"/>
      <c r="AT693" s="354"/>
      <c r="AU693" s="354"/>
      <c r="AV693" s="354"/>
      <c r="AW693" s="354"/>
      <c r="AX693" s="354"/>
      <c r="AY693" s="354"/>
      <c r="AZ693" s="354"/>
    </row>
    <row r="694" spans="3:52" x14ac:dyDescent="0.25">
      <c r="C694" s="354"/>
      <c r="D694" s="354"/>
      <c r="E694" s="354"/>
      <c r="F694" s="354"/>
      <c r="G694" s="354"/>
      <c r="H694" s="354"/>
      <c r="I694" s="354"/>
      <c r="J694" s="354"/>
      <c r="K694" s="354"/>
      <c r="L694" s="354"/>
      <c r="M694" s="354"/>
      <c r="N694" s="354"/>
      <c r="O694" s="354"/>
      <c r="P694" s="354"/>
      <c r="Q694" s="354"/>
      <c r="R694" s="370"/>
      <c r="S694" s="354"/>
      <c r="T694" s="354"/>
      <c r="U694" s="354"/>
      <c r="V694" s="354"/>
      <c r="W694" s="354"/>
      <c r="X694" s="354"/>
      <c r="Y694" s="354"/>
      <c r="Z694" s="354"/>
      <c r="AA694" s="354"/>
      <c r="AB694" s="354"/>
      <c r="AC694" s="354"/>
      <c r="AD694" s="354"/>
      <c r="AE694" s="354"/>
      <c r="AF694" s="354"/>
      <c r="AG694" s="354"/>
      <c r="AH694" s="354"/>
      <c r="AI694" s="354"/>
      <c r="AJ694" s="354"/>
      <c r="AK694" s="354"/>
      <c r="AL694" s="354"/>
      <c r="AM694" s="354"/>
      <c r="AN694" s="354"/>
      <c r="AO694" s="354"/>
      <c r="AP694" s="354"/>
      <c r="AQ694" s="354"/>
      <c r="AR694" s="354"/>
      <c r="AS694" s="354"/>
      <c r="AT694" s="354"/>
      <c r="AU694" s="354"/>
      <c r="AV694" s="354"/>
      <c r="AW694" s="354"/>
      <c r="AX694" s="354"/>
      <c r="AY694" s="354"/>
      <c r="AZ694" s="354"/>
    </row>
    <row r="695" spans="3:52" x14ac:dyDescent="0.25">
      <c r="C695" s="354"/>
      <c r="D695" s="354"/>
      <c r="E695" s="354"/>
      <c r="F695" s="354"/>
      <c r="G695" s="354"/>
      <c r="H695" s="354"/>
      <c r="I695" s="354"/>
      <c r="J695" s="354"/>
      <c r="K695" s="354"/>
      <c r="L695" s="354"/>
      <c r="M695" s="354"/>
      <c r="N695" s="354"/>
      <c r="O695" s="354"/>
      <c r="P695" s="354"/>
      <c r="Q695" s="354"/>
      <c r="R695" s="370"/>
      <c r="S695" s="354"/>
      <c r="T695" s="354"/>
      <c r="U695" s="354"/>
      <c r="V695" s="354"/>
      <c r="W695" s="354"/>
      <c r="X695" s="354"/>
      <c r="Y695" s="354"/>
      <c r="Z695" s="354"/>
      <c r="AA695" s="354"/>
      <c r="AB695" s="354"/>
      <c r="AC695" s="354"/>
      <c r="AD695" s="354"/>
      <c r="AE695" s="354"/>
      <c r="AF695" s="354"/>
      <c r="AG695" s="354"/>
      <c r="AH695" s="354"/>
      <c r="AI695" s="354"/>
      <c r="AJ695" s="354"/>
      <c r="AK695" s="354"/>
      <c r="AL695" s="354"/>
      <c r="AM695" s="354"/>
      <c r="AN695" s="354"/>
      <c r="AO695" s="354"/>
      <c r="AP695" s="354"/>
      <c r="AQ695" s="354"/>
      <c r="AR695" s="354"/>
      <c r="AS695" s="354"/>
      <c r="AT695" s="354"/>
      <c r="AU695" s="354"/>
      <c r="AV695" s="354"/>
      <c r="AW695" s="354"/>
      <c r="AX695" s="354"/>
      <c r="AY695" s="354"/>
      <c r="AZ695" s="354"/>
    </row>
    <row r="696" spans="3:52" x14ac:dyDescent="0.25">
      <c r="C696" s="354"/>
      <c r="D696" s="354"/>
      <c r="E696" s="354"/>
      <c r="F696" s="354"/>
      <c r="G696" s="354"/>
      <c r="H696" s="354"/>
      <c r="I696" s="354"/>
      <c r="J696" s="354"/>
      <c r="K696" s="354"/>
      <c r="L696" s="354"/>
      <c r="M696" s="354"/>
      <c r="N696" s="354"/>
      <c r="O696" s="354"/>
      <c r="P696" s="354"/>
      <c r="Q696" s="354"/>
      <c r="R696" s="370"/>
      <c r="S696" s="354"/>
      <c r="T696" s="354"/>
      <c r="U696" s="354"/>
      <c r="V696" s="354"/>
      <c r="W696" s="354"/>
      <c r="X696" s="354"/>
      <c r="Y696" s="354"/>
      <c r="Z696" s="354"/>
      <c r="AA696" s="354"/>
      <c r="AB696" s="354"/>
      <c r="AC696" s="354"/>
      <c r="AD696" s="354"/>
      <c r="AE696" s="354"/>
      <c r="AF696" s="354"/>
      <c r="AG696" s="354"/>
      <c r="AH696" s="354"/>
      <c r="AI696" s="354"/>
      <c r="AJ696" s="354"/>
      <c r="AK696" s="354"/>
      <c r="AL696" s="354"/>
      <c r="AM696" s="354"/>
      <c r="AN696" s="354"/>
      <c r="AO696" s="354"/>
      <c r="AP696" s="354"/>
      <c r="AQ696" s="354"/>
      <c r="AR696" s="354"/>
      <c r="AS696" s="354"/>
      <c r="AT696" s="354"/>
      <c r="AU696" s="354"/>
      <c r="AV696" s="354"/>
      <c r="AW696" s="354"/>
      <c r="AX696" s="354"/>
      <c r="AY696" s="354"/>
      <c r="AZ696" s="354"/>
    </row>
    <row r="697" spans="3:52" x14ac:dyDescent="0.25">
      <c r="C697" s="354"/>
      <c r="D697" s="354"/>
      <c r="E697" s="354"/>
      <c r="F697" s="354"/>
      <c r="G697" s="354"/>
      <c r="H697" s="354"/>
      <c r="I697" s="354"/>
      <c r="J697" s="354"/>
      <c r="K697" s="354"/>
      <c r="L697" s="354"/>
      <c r="M697" s="354"/>
      <c r="N697" s="354"/>
      <c r="O697" s="354"/>
      <c r="P697" s="354"/>
      <c r="Q697" s="354"/>
      <c r="R697" s="370"/>
      <c r="S697" s="354"/>
      <c r="T697" s="354"/>
      <c r="U697" s="354"/>
      <c r="V697" s="354"/>
      <c r="W697" s="354"/>
      <c r="X697" s="354"/>
      <c r="Y697" s="354"/>
      <c r="Z697" s="354"/>
      <c r="AA697" s="354"/>
      <c r="AB697" s="354"/>
      <c r="AC697" s="354"/>
      <c r="AD697" s="354"/>
      <c r="AE697" s="354"/>
      <c r="AF697" s="354"/>
      <c r="AG697" s="354"/>
      <c r="AH697" s="354"/>
      <c r="AI697" s="354"/>
      <c r="AJ697" s="354"/>
      <c r="AK697" s="354"/>
      <c r="AL697" s="354"/>
      <c r="AM697" s="354"/>
      <c r="AN697" s="354"/>
      <c r="AO697" s="354"/>
      <c r="AP697" s="354"/>
      <c r="AQ697" s="354"/>
      <c r="AR697" s="354"/>
      <c r="AS697" s="354"/>
      <c r="AT697" s="354"/>
      <c r="AU697" s="354"/>
      <c r="AV697" s="354"/>
      <c r="AW697" s="354"/>
      <c r="AX697" s="354"/>
      <c r="AY697" s="354"/>
      <c r="AZ697" s="354"/>
    </row>
    <row r="698" spans="3:52" x14ac:dyDescent="0.25">
      <c r="C698" s="354"/>
      <c r="D698" s="354"/>
      <c r="E698" s="354"/>
      <c r="F698" s="354"/>
      <c r="G698" s="354"/>
      <c r="H698" s="354"/>
      <c r="I698" s="354"/>
      <c r="J698" s="354"/>
      <c r="K698" s="354"/>
      <c r="L698" s="354"/>
      <c r="M698" s="354"/>
      <c r="N698" s="354"/>
      <c r="O698" s="354"/>
      <c r="P698" s="354"/>
      <c r="Q698" s="354"/>
      <c r="R698" s="370"/>
      <c r="S698" s="354"/>
      <c r="T698" s="354"/>
      <c r="U698" s="354"/>
      <c r="V698" s="354"/>
      <c r="W698" s="354"/>
      <c r="X698" s="354"/>
      <c r="Y698" s="354"/>
      <c r="Z698" s="354"/>
      <c r="AA698" s="354"/>
      <c r="AB698" s="354"/>
      <c r="AC698" s="354"/>
      <c r="AD698" s="354"/>
      <c r="AE698" s="354"/>
      <c r="AF698" s="354"/>
      <c r="AG698" s="354"/>
      <c r="AH698" s="354"/>
      <c r="AI698" s="354"/>
      <c r="AJ698" s="354"/>
      <c r="AK698" s="354"/>
      <c r="AL698" s="354"/>
      <c r="AM698" s="354"/>
      <c r="AN698" s="354"/>
      <c r="AO698" s="354"/>
      <c r="AP698" s="354"/>
      <c r="AQ698" s="354"/>
      <c r="AR698" s="354"/>
      <c r="AS698" s="354"/>
      <c r="AT698" s="354"/>
      <c r="AU698" s="354"/>
      <c r="AV698" s="354"/>
      <c r="AW698" s="354"/>
      <c r="AX698" s="354"/>
      <c r="AY698" s="354"/>
      <c r="AZ698" s="354"/>
    </row>
    <row r="699" spans="3:52" x14ac:dyDescent="0.25">
      <c r="C699" s="354"/>
      <c r="D699" s="354"/>
      <c r="E699" s="354"/>
      <c r="F699" s="354"/>
      <c r="G699" s="354"/>
      <c r="H699" s="354"/>
      <c r="I699" s="354"/>
      <c r="J699" s="354"/>
      <c r="K699" s="354"/>
      <c r="L699" s="354"/>
      <c r="M699" s="354"/>
      <c r="N699" s="354"/>
      <c r="O699" s="354"/>
      <c r="P699" s="354"/>
      <c r="Q699" s="354"/>
      <c r="R699" s="370"/>
      <c r="S699" s="354"/>
      <c r="T699" s="354"/>
      <c r="U699" s="354"/>
      <c r="V699" s="354"/>
      <c r="W699" s="354"/>
      <c r="X699" s="354"/>
      <c r="Y699" s="354"/>
      <c r="Z699" s="354"/>
      <c r="AA699" s="354"/>
      <c r="AB699" s="354"/>
      <c r="AC699" s="354"/>
      <c r="AD699" s="354"/>
      <c r="AE699" s="354"/>
      <c r="AF699" s="354"/>
      <c r="AG699" s="354"/>
      <c r="AH699" s="354"/>
      <c r="AI699" s="354"/>
      <c r="AJ699" s="354"/>
      <c r="AK699" s="354"/>
      <c r="AL699" s="354"/>
      <c r="AM699" s="354"/>
      <c r="AN699" s="354"/>
      <c r="AO699" s="354"/>
      <c r="AP699" s="354"/>
      <c r="AQ699" s="354"/>
      <c r="AR699" s="354"/>
      <c r="AS699" s="354"/>
      <c r="AT699" s="354"/>
      <c r="AU699" s="354"/>
      <c r="AV699" s="354"/>
      <c r="AW699" s="354"/>
      <c r="AX699" s="354"/>
      <c r="AY699" s="354"/>
      <c r="AZ699" s="354"/>
    </row>
    <row r="700" spans="3:52" x14ac:dyDescent="0.25">
      <c r="C700" s="354"/>
      <c r="D700" s="354"/>
      <c r="E700" s="354"/>
      <c r="F700" s="354"/>
      <c r="G700" s="354"/>
      <c r="H700" s="354"/>
      <c r="I700" s="354"/>
      <c r="J700" s="354"/>
      <c r="K700" s="354"/>
      <c r="L700" s="354"/>
      <c r="M700" s="354"/>
      <c r="N700" s="354"/>
      <c r="O700" s="354"/>
      <c r="P700" s="354"/>
      <c r="Q700" s="354"/>
      <c r="R700" s="370"/>
      <c r="S700" s="354"/>
      <c r="T700" s="354"/>
      <c r="U700" s="354"/>
      <c r="V700" s="354"/>
      <c r="W700" s="354"/>
      <c r="X700" s="354"/>
      <c r="Y700" s="354"/>
      <c r="Z700" s="354"/>
      <c r="AA700" s="354"/>
      <c r="AB700" s="354"/>
      <c r="AC700" s="354"/>
      <c r="AD700" s="354"/>
      <c r="AE700" s="354"/>
      <c r="AF700" s="354"/>
      <c r="AG700" s="354"/>
      <c r="AH700" s="354"/>
      <c r="AI700" s="354"/>
      <c r="AJ700" s="354"/>
      <c r="AK700" s="354"/>
      <c r="AL700" s="354"/>
      <c r="AM700" s="354"/>
      <c r="AN700" s="354"/>
      <c r="AO700" s="354"/>
      <c r="AP700" s="354"/>
      <c r="AQ700" s="354"/>
      <c r="AR700" s="354"/>
      <c r="AS700" s="354"/>
      <c r="AT700" s="354"/>
      <c r="AU700" s="354"/>
      <c r="AV700" s="354"/>
      <c r="AW700" s="354"/>
      <c r="AX700" s="354"/>
      <c r="AY700" s="354"/>
      <c r="AZ700" s="354"/>
    </row>
    <row r="701" spans="3:52" x14ac:dyDescent="0.25">
      <c r="C701" s="354"/>
      <c r="D701" s="354"/>
      <c r="E701" s="354"/>
      <c r="F701" s="354"/>
      <c r="G701" s="354"/>
      <c r="H701" s="354"/>
      <c r="I701" s="354"/>
      <c r="J701" s="354"/>
      <c r="K701" s="354"/>
      <c r="L701" s="354"/>
      <c r="M701" s="354"/>
      <c r="N701" s="354"/>
      <c r="O701" s="354"/>
      <c r="P701" s="354"/>
      <c r="Q701" s="354"/>
      <c r="R701" s="370"/>
      <c r="S701" s="354"/>
      <c r="T701" s="354"/>
      <c r="U701" s="354"/>
      <c r="V701" s="354"/>
      <c r="W701" s="354"/>
      <c r="X701" s="354"/>
      <c r="Y701" s="354"/>
      <c r="Z701" s="354"/>
      <c r="AA701" s="354"/>
      <c r="AB701" s="354"/>
      <c r="AC701" s="354"/>
      <c r="AD701" s="354"/>
      <c r="AE701" s="354"/>
      <c r="AF701" s="354"/>
      <c r="AG701" s="354"/>
      <c r="AH701" s="354"/>
      <c r="AI701" s="354"/>
      <c r="AJ701" s="354"/>
      <c r="AK701" s="354"/>
      <c r="AL701" s="354"/>
      <c r="AM701" s="354"/>
      <c r="AN701" s="354"/>
      <c r="AO701" s="354"/>
      <c r="AP701" s="354"/>
      <c r="AQ701" s="354"/>
      <c r="AR701" s="354"/>
      <c r="AS701" s="354"/>
      <c r="AT701" s="354"/>
      <c r="AU701" s="354"/>
      <c r="AV701" s="354"/>
      <c r="AW701" s="354"/>
      <c r="AX701" s="354"/>
      <c r="AY701" s="354"/>
      <c r="AZ701" s="354"/>
    </row>
    <row r="702" spans="3:52" x14ac:dyDescent="0.25">
      <c r="C702" s="354"/>
      <c r="D702" s="354"/>
      <c r="E702" s="354"/>
      <c r="F702" s="354"/>
      <c r="G702" s="354"/>
      <c r="H702" s="354"/>
      <c r="I702" s="354"/>
      <c r="J702" s="354"/>
      <c r="K702" s="354"/>
      <c r="L702" s="354"/>
      <c r="M702" s="354"/>
      <c r="N702" s="354"/>
      <c r="O702" s="354"/>
      <c r="P702" s="354"/>
      <c r="Q702" s="354"/>
      <c r="R702" s="370"/>
      <c r="S702" s="354"/>
      <c r="T702" s="354"/>
      <c r="U702" s="354"/>
      <c r="V702" s="354"/>
      <c r="W702" s="354"/>
      <c r="X702" s="354"/>
      <c r="Y702" s="354"/>
      <c r="Z702" s="354"/>
      <c r="AA702" s="354"/>
      <c r="AB702" s="354"/>
      <c r="AC702" s="354"/>
      <c r="AD702" s="354"/>
      <c r="AE702" s="354"/>
      <c r="AF702" s="354"/>
      <c r="AG702" s="354"/>
      <c r="AH702" s="354"/>
      <c r="AI702" s="354"/>
      <c r="AJ702" s="354"/>
      <c r="AK702" s="354"/>
      <c r="AL702" s="354"/>
      <c r="AM702" s="354"/>
      <c r="AN702" s="354"/>
      <c r="AO702" s="354"/>
      <c r="AP702" s="354"/>
      <c r="AQ702" s="354"/>
      <c r="AR702" s="354"/>
      <c r="AS702" s="354"/>
      <c r="AT702" s="354"/>
      <c r="AU702" s="354"/>
      <c r="AV702" s="354"/>
      <c r="AW702" s="354"/>
      <c r="AX702" s="354"/>
      <c r="AY702" s="354"/>
      <c r="AZ702" s="354"/>
    </row>
    <row r="703" spans="3:52" x14ac:dyDescent="0.25">
      <c r="C703" s="354"/>
      <c r="D703" s="354"/>
      <c r="E703" s="354"/>
      <c r="F703" s="354"/>
      <c r="G703" s="354"/>
      <c r="H703" s="354"/>
      <c r="I703" s="354"/>
      <c r="J703" s="354"/>
      <c r="K703" s="354"/>
      <c r="L703" s="354"/>
      <c r="M703" s="354"/>
      <c r="N703" s="354"/>
      <c r="O703" s="354"/>
      <c r="P703" s="354"/>
      <c r="Q703" s="354"/>
      <c r="R703" s="370"/>
      <c r="S703" s="354"/>
      <c r="T703" s="354"/>
      <c r="U703" s="354"/>
      <c r="V703" s="354"/>
      <c r="W703" s="354"/>
      <c r="X703" s="354"/>
      <c r="Y703" s="354"/>
      <c r="Z703" s="354"/>
      <c r="AA703" s="354"/>
      <c r="AB703" s="354"/>
      <c r="AC703" s="354"/>
      <c r="AD703" s="354"/>
      <c r="AE703" s="354"/>
      <c r="AF703" s="354"/>
      <c r="AG703" s="354"/>
      <c r="AH703" s="354"/>
      <c r="AI703" s="354"/>
      <c r="AJ703" s="354"/>
      <c r="AK703" s="354"/>
      <c r="AL703" s="354"/>
      <c r="AM703" s="354"/>
      <c r="AN703" s="354"/>
      <c r="AO703" s="354"/>
      <c r="AP703" s="354"/>
      <c r="AQ703" s="354"/>
      <c r="AR703" s="354"/>
      <c r="AS703" s="354"/>
      <c r="AT703" s="354"/>
      <c r="AU703" s="354"/>
      <c r="AV703" s="354"/>
      <c r="AW703" s="354"/>
      <c r="AX703" s="354"/>
      <c r="AY703" s="354"/>
      <c r="AZ703" s="354"/>
    </row>
    <row r="704" spans="3:52" x14ac:dyDescent="0.25">
      <c r="C704" s="354"/>
      <c r="D704" s="354"/>
      <c r="E704" s="354"/>
      <c r="F704" s="354"/>
      <c r="G704" s="354"/>
      <c r="H704" s="354"/>
      <c r="I704" s="354"/>
      <c r="J704" s="354"/>
      <c r="K704" s="354"/>
      <c r="L704" s="354"/>
      <c r="M704" s="354"/>
      <c r="N704" s="354"/>
      <c r="O704" s="354"/>
      <c r="P704" s="354"/>
      <c r="Q704" s="354"/>
      <c r="R704" s="370"/>
      <c r="S704" s="354"/>
      <c r="T704" s="354"/>
      <c r="U704" s="354"/>
      <c r="V704" s="354"/>
      <c r="W704" s="354"/>
      <c r="X704" s="354"/>
      <c r="Y704" s="354"/>
      <c r="Z704" s="354"/>
      <c r="AA704" s="354"/>
      <c r="AB704" s="354"/>
      <c r="AC704" s="354"/>
      <c r="AD704" s="354"/>
      <c r="AE704" s="354"/>
      <c r="AF704" s="354"/>
      <c r="AG704" s="354"/>
      <c r="AH704" s="354"/>
      <c r="AI704" s="354"/>
      <c r="AJ704" s="354"/>
      <c r="AK704" s="354"/>
      <c r="AL704" s="354"/>
      <c r="AM704" s="354"/>
      <c r="AN704" s="354"/>
      <c r="AO704" s="354"/>
      <c r="AP704" s="354"/>
      <c r="AQ704" s="354"/>
      <c r="AR704" s="354"/>
      <c r="AS704" s="354"/>
      <c r="AT704" s="354"/>
      <c r="AU704" s="354"/>
      <c r="AV704" s="354"/>
      <c r="AW704" s="354"/>
      <c r="AX704" s="354"/>
      <c r="AY704" s="354"/>
      <c r="AZ704" s="354"/>
    </row>
    <row r="705" spans="3:52" x14ac:dyDescent="0.25">
      <c r="C705" s="354"/>
      <c r="D705" s="354"/>
      <c r="E705" s="354"/>
      <c r="F705" s="354"/>
      <c r="G705" s="354"/>
      <c r="H705" s="354"/>
      <c r="I705" s="354"/>
      <c r="J705" s="354"/>
      <c r="K705" s="354"/>
      <c r="L705" s="354"/>
      <c r="M705" s="354"/>
      <c r="N705" s="354"/>
      <c r="O705" s="354"/>
      <c r="P705" s="354"/>
      <c r="Q705" s="354"/>
      <c r="R705" s="370"/>
      <c r="S705" s="354"/>
      <c r="T705" s="354"/>
      <c r="U705" s="354"/>
      <c r="V705" s="354"/>
      <c r="W705" s="354"/>
      <c r="X705" s="354"/>
      <c r="Y705" s="354"/>
      <c r="Z705" s="354"/>
      <c r="AA705" s="354"/>
      <c r="AB705" s="354"/>
      <c r="AC705" s="354"/>
      <c r="AD705" s="354"/>
      <c r="AE705" s="354"/>
      <c r="AF705" s="354"/>
      <c r="AG705" s="354"/>
      <c r="AH705" s="354"/>
      <c r="AI705" s="354"/>
      <c r="AJ705" s="354"/>
      <c r="AK705" s="354"/>
      <c r="AL705" s="354"/>
      <c r="AM705" s="354"/>
      <c r="AN705" s="354"/>
      <c r="AO705" s="354"/>
      <c r="AP705" s="354"/>
      <c r="AQ705" s="354"/>
      <c r="AR705" s="354"/>
      <c r="AS705" s="354"/>
      <c r="AT705" s="354"/>
      <c r="AU705" s="354"/>
      <c r="AV705" s="354"/>
      <c r="AW705" s="354"/>
      <c r="AX705" s="354"/>
      <c r="AY705" s="354"/>
      <c r="AZ705" s="354"/>
    </row>
    <row r="706" spans="3:52" x14ac:dyDescent="0.25">
      <c r="C706" s="354"/>
      <c r="D706" s="354"/>
      <c r="E706" s="354"/>
      <c r="F706" s="354"/>
      <c r="G706" s="354"/>
      <c r="H706" s="354"/>
      <c r="I706" s="354"/>
      <c r="J706" s="354"/>
      <c r="K706" s="354"/>
      <c r="L706" s="354"/>
      <c r="M706" s="354"/>
      <c r="N706" s="354"/>
      <c r="O706" s="354"/>
      <c r="P706" s="354"/>
      <c r="Q706" s="354"/>
      <c r="R706" s="370"/>
      <c r="S706" s="354"/>
      <c r="T706" s="354"/>
      <c r="U706" s="354"/>
      <c r="V706" s="354"/>
      <c r="W706" s="354"/>
      <c r="X706" s="354"/>
      <c r="Y706" s="354"/>
      <c r="Z706" s="354"/>
      <c r="AA706" s="354"/>
      <c r="AB706" s="354"/>
      <c r="AC706" s="354"/>
      <c r="AD706" s="354"/>
      <c r="AE706" s="354"/>
      <c r="AF706" s="354"/>
      <c r="AG706" s="354"/>
      <c r="AH706" s="354"/>
      <c r="AI706" s="354"/>
      <c r="AJ706" s="354"/>
      <c r="AK706" s="354"/>
      <c r="AL706" s="354"/>
      <c r="AM706" s="354"/>
      <c r="AN706" s="354"/>
      <c r="AO706" s="354"/>
      <c r="AP706" s="354"/>
      <c r="AQ706" s="354"/>
      <c r="AR706" s="354"/>
      <c r="AS706" s="354"/>
      <c r="AT706" s="354"/>
      <c r="AU706" s="354"/>
      <c r="AV706" s="354"/>
      <c r="AW706" s="354"/>
      <c r="AX706" s="354"/>
      <c r="AY706" s="354"/>
      <c r="AZ706" s="354"/>
    </row>
    <row r="707" spans="3:52" x14ac:dyDescent="0.25">
      <c r="C707" s="354"/>
      <c r="D707" s="354"/>
      <c r="E707" s="354"/>
      <c r="F707" s="354"/>
      <c r="G707" s="354"/>
      <c r="H707" s="354"/>
      <c r="I707" s="354"/>
      <c r="J707" s="354"/>
      <c r="K707" s="354"/>
      <c r="L707" s="354"/>
      <c r="M707" s="354"/>
      <c r="N707" s="354"/>
      <c r="O707" s="354"/>
      <c r="P707" s="354"/>
      <c r="Q707" s="354"/>
      <c r="R707" s="370"/>
      <c r="S707" s="354"/>
      <c r="T707" s="354"/>
      <c r="U707" s="354"/>
      <c r="V707" s="354"/>
      <c r="W707" s="354"/>
      <c r="X707" s="354"/>
      <c r="Y707" s="354"/>
      <c r="Z707" s="354"/>
      <c r="AA707" s="354"/>
      <c r="AB707" s="354"/>
      <c r="AC707" s="354"/>
      <c r="AD707" s="354"/>
      <c r="AE707" s="354"/>
      <c r="AF707" s="354"/>
      <c r="AG707" s="354"/>
      <c r="AH707" s="354"/>
      <c r="AI707" s="354"/>
      <c r="AJ707" s="354"/>
      <c r="AK707" s="354"/>
      <c r="AL707" s="354"/>
      <c r="AM707" s="354"/>
      <c r="AN707" s="354"/>
      <c r="AO707" s="354"/>
      <c r="AP707" s="354"/>
      <c r="AQ707" s="354"/>
      <c r="AR707" s="354"/>
      <c r="AS707" s="354"/>
      <c r="AT707" s="354"/>
      <c r="AU707" s="354"/>
      <c r="AV707" s="354"/>
      <c r="AW707" s="354"/>
      <c r="AX707" s="354"/>
      <c r="AY707" s="354"/>
      <c r="AZ707" s="354"/>
    </row>
    <row r="708" spans="3:52" x14ac:dyDescent="0.25">
      <c r="C708" s="354"/>
      <c r="D708" s="354"/>
      <c r="E708" s="354"/>
      <c r="F708" s="354"/>
      <c r="G708" s="354"/>
      <c r="H708" s="354"/>
      <c r="I708" s="354"/>
      <c r="J708" s="354"/>
      <c r="K708" s="354"/>
      <c r="L708" s="354"/>
      <c r="M708" s="354"/>
      <c r="N708" s="354"/>
      <c r="O708" s="354"/>
      <c r="P708" s="354"/>
      <c r="Q708" s="354"/>
      <c r="R708" s="370"/>
      <c r="S708" s="354"/>
      <c r="T708" s="354"/>
      <c r="U708" s="354"/>
      <c r="V708" s="354"/>
      <c r="W708" s="354"/>
      <c r="X708" s="354"/>
      <c r="Y708" s="354"/>
      <c r="Z708" s="354"/>
      <c r="AA708" s="354"/>
      <c r="AB708" s="354"/>
      <c r="AC708" s="354"/>
      <c r="AD708" s="354"/>
      <c r="AE708" s="354"/>
      <c r="AF708" s="354"/>
      <c r="AG708" s="354"/>
      <c r="AH708" s="354"/>
      <c r="AI708" s="354"/>
      <c r="AJ708" s="354"/>
      <c r="AK708" s="354"/>
      <c r="AL708" s="354"/>
      <c r="AM708" s="354"/>
      <c r="AN708" s="354"/>
      <c r="AO708" s="354"/>
      <c r="AP708" s="354"/>
      <c r="AQ708" s="354"/>
      <c r="AR708" s="354"/>
      <c r="AS708" s="354"/>
      <c r="AT708" s="354"/>
      <c r="AU708" s="354"/>
      <c r="AV708" s="354"/>
      <c r="AW708" s="354"/>
      <c r="AX708" s="354"/>
      <c r="AY708" s="354"/>
      <c r="AZ708" s="354"/>
    </row>
    <row r="709" spans="3:52" x14ac:dyDescent="0.25">
      <c r="C709" s="354"/>
      <c r="D709" s="354"/>
      <c r="E709" s="354"/>
      <c r="F709" s="354"/>
      <c r="G709" s="354"/>
      <c r="H709" s="354"/>
      <c r="I709" s="354"/>
      <c r="J709" s="354"/>
      <c r="K709" s="354"/>
      <c r="L709" s="354"/>
      <c r="M709" s="354"/>
      <c r="N709" s="354"/>
      <c r="O709" s="354"/>
      <c r="P709" s="354"/>
      <c r="Q709" s="354"/>
      <c r="R709" s="370"/>
      <c r="S709" s="354"/>
      <c r="T709" s="354"/>
      <c r="U709" s="354"/>
      <c r="V709" s="354"/>
      <c r="W709" s="354"/>
      <c r="X709" s="354"/>
      <c r="Y709" s="354"/>
      <c r="Z709" s="354"/>
      <c r="AA709" s="354"/>
      <c r="AB709" s="354"/>
      <c r="AC709" s="354"/>
      <c r="AD709" s="354"/>
      <c r="AE709" s="354"/>
      <c r="AF709" s="354"/>
      <c r="AG709" s="354"/>
      <c r="AH709" s="354"/>
      <c r="AI709" s="354"/>
      <c r="AJ709" s="354"/>
      <c r="AK709" s="354"/>
      <c r="AL709" s="354"/>
      <c r="AM709" s="354"/>
      <c r="AN709" s="354"/>
      <c r="AO709" s="354"/>
      <c r="AP709" s="354"/>
      <c r="AQ709" s="354"/>
      <c r="AR709" s="354"/>
      <c r="AS709" s="354"/>
      <c r="AT709" s="354"/>
      <c r="AU709" s="354"/>
      <c r="AV709" s="354"/>
      <c r="AW709" s="354"/>
      <c r="AX709" s="354"/>
      <c r="AY709" s="354"/>
      <c r="AZ709" s="354"/>
    </row>
    <row r="710" spans="3:52" x14ac:dyDescent="0.25">
      <c r="C710" s="354"/>
      <c r="D710" s="354"/>
      <c r="E710" s="354"/>
      <c r="F710" s="354"/>
      <c r="G710" s="354"/>
      <c r="H710" s="354"/>
      <c r="I710" s="354"/>
      <c r="J710" s="354"/>
      <c r="K710" s="354"/>
      <c r="L710" s="354"/>
      <c r="M710" s="354"/>
      <c r="N710" s="354"/>
      <c r="O710" s="354"/>
      <c r="P710" s="354"/>
      <c r="Q710" s="354"/>
      <c r="R710" s="370"/>
      <c r="S710" s="354"/>
      <c r="T710" s="354"/>
      <c r="U710" s="354"/>
      <c r="V710" s="354"/>
      <c r="W710" s="354"/>
      <c r="X710" s="354"/>
      <c r="Y710" s="354"/>
      <c r="Z710" s="354"/>
      <c r="AA710" s="354"/>
      <c r="AB710" s="354"/>
      <c r="AC710" s="354"/>
      <c r="AD710" s="354"/>
      <c r="AE710" s="354"/>
      <c r="AF710" s="354"/>
      <c r="AG710" s="354"/>
      <c r="AH710" s="354"/>
      <c r="AI710" s="354"/>
      <c r="AJ710" s="354"/>
      <c r="AK710" s="354"/>
      <c r="AL710" s="354"/>
      <c r="AM710" s="354"/>
      <c r="AN710" s="354"/>
      <c r="AO710" s="354"/>
      <c r="AP710" s="354"/>
      <c r="AQ710" s="354"/>
      <c r="AR710" s="354"/>
      <c r="AS710" s="354"/>
      <c r="AT710" s="354"/>
      <c r="AU710" s="354"/>
      <c r="AV710" s="354"/>
      <c r="AW710" s="354"/>
      <c r="AX710" s="354"/>
      <c r="AY710" s="354"/>
      <c r="AZ710" s="354"/>
    </row>
    <row r="711" spans="3:52" x14ac:dyDescent="0.25">
      <c r="C711" s="354"/>
      <c r="D711" s="354"/>
      <c r="E711" s="354"/>
      <c r="F711" s="354"/>
      <c r="G711" s="354"/>
      <c r="H711" s="354"/>
      <c r="I711" s="354"/>
      <c r="J711" s="354"/>
      <c r="K711" s="354"/>
      <c r="L711" s="354"/>
      <c r="M711" s="354"/>
      <c r="N711" s="354"/>
      <c r="O711" s="354"/>
      <c r="P711" s="354"/>
      <c r="Q711" s="354"/>
      <c r="R711" s="370"/>
      <c r="S711" s="354"/>
      <c r="T711" s="354"/>
      <c r="U711" s="354"/>
      <c r="V711" s="354"/>
      <c r="W711" s="354"/>
      <c r="X711" s="354"/>
      <c r="Y711" s="354"/>
      <c r="Z711" s="354"/>
      <c r="AA711" s="354"/>
      <c r="AB711" s="354"/>
      <c r="AC711" s="354"/>
      <c r="AD711" s="354"/>
      <c r="AE711" s="354"/>
      <c r="AF711" s="354"/>
      <c r="AG711" s="354"/>
      <c r="AH711" s="354"/>
      <c r="AI711" s="354"/>
      <c r="AJ711" s="354"/>
      <c r="AK711" s="354"/>
      <c r="AL711" s="354"/>
      <c r="AM711" s="354"/>
      <c r="AN711" s="354"/>
      <c r="AO711" s="354"/>
      <c r="AP711" s="354"/>
      <c r="AQ711" s="354"/>
      <c r="AR711" s="354"/>
      <c r="AS711" s="354"/>
      <c r="AT711" s="354"/>
      <c r="AU711" s="354"/>
      <c r="AV711" s="354"/>
      <c r="AW711" s="354"/>
      <c r="AX711" s="354"/>
      <c r="AY711" s="354"/>
      <c r="AZ711" s="354"/>
    </row>
    <row r="712" spans="3:52" x14ac:dyDescent="0.25">
      <c r="C712" s="354"/>
      <c r="D712" s="354"/>
      <c r="E712" s="354"/>
      <c r="F712" s="354"/>
      <c r="G712" s="354"/>
      <c r="H712" s="354"/>
      <c r="I712" s="354"/>
      <c r="J712" s="354"/>
      <c r="K712" s="354"/>
      <c r="L712" s="354"/>
      <c r="M712" s="354"/>
      <c r="N712" s="354"/>
      <c r="O712" s="354"/>
      <c r="P712" s="354"/>
      <c r="Q712" s="354"/>
      <c r="R712" s="370"/>
      <c r="S712" s="354"/>
      <c r="T712" s="354"/>
      <c r="U712" s="354"/>
      <c r="V712" s="354"/>
      <c r="W712" s="354"/>
      <c r="X712" s="354"/>
      <c r="Y712" s="354"/>
      <c r="Z712" s="354"/>
      <c r="AA712" s="354"/>
      <c r="AB712" s="354"/>
      <c r="AC712" s="354"/>
      <c r="AD712" s="354"/>
      <c r="AE712" s="354"/>
      <c r="AF712" s="354"/>
      <c r="AG712" s="354"/>
      <c r="AH712" s="354"/>
      <c r="AI712" s="354"/>
      <c r="AJ712" s="354"/>
      <c r="AK712" s="354"/>
      <c r="AL712" s="354"/>
      <c r="AM712" s="354"/>
      <c r="AN712" s="354"/>
      <c r="AO712" s="354"/>
      <c r="AP712" s="354"/>
      <c r="AQ712" s="354"/>
      <c r="AR712" s="354"/>
      <c r="AS712" s="354"/>
      <c r="AT712" s="354"/>
      <c r="AU712" s="354"/>
      <c r="AV712" s="354"/>
      <c r="AW712" s="354"/>
      <c r="AX712" s="354"/>
      <c r="AY712" s="354"/>
      <c r="AZ712" s="354"/>
    </row>
    <row r="713" spans="3:52" x14ac:dyDescent="0.25">
      <c r="C713" s="354"/>
      <c r="D713" s="354"/>
      <c r="E713" s="354"/>
      <c r="F713" s="354"/>
      <c r="G713" s="354"/>
      <c r="H713" s="354"/>
      <c r="I713" s="354"/>
      <c r="J713" s="354"/>
      <c r="K713" s="354"/>
      <c r="L713" s="354"/>
      <c r="M713" s="354"/>
      <c r="N713" s="354"/>
      <c r="O713" s="354"/>
      <c r="P713" s="354"/>
      <c r="Q713" s="354"/>
      <c r="R713" s="370"/>
      <c r="S713" s="354"/>
      <c r="T713" s="354"/>
      <c r="U713" s="354"/>
      <c r="V713" s="354"/>
      <c r="W713" s="354"/>
      <c r="X713" s="354"/>
      <c r="Y713" s="354"/>
      <c r="Z713" s="354"/>
      <c r="AA713" s="354"/>
      <c r="AB713" s="354"/>
      <c r="AC713" s="354"/>
      <c r="AD713" s="354"/>
      <c r="AE713" s="354"/>
      <c r="AF713" s="354"/>
      <c r="AG713" s="354"/>
      <c r="AH713" s="354"/>
      <c r="AI713" s="354"/>
      <c r="AJ713" s="354"/>
      <c r="AK713" s="354"/>
      <c r="AL713" s="354"/>
      <c r="AM713" s="354"/>
      <c r="AN713" s="354"/>
      <c r="AO713" s="354"/>
      <c r="AP713" s="354"/>
      <c r="AQ713" s="354"/>
      <c r="AR713" s="354"/>
      <c r="AS713" s="354"/>
      <c r="AT713" s="354"/>
      <c r="AU713" s="354"/>
      <c r="AV713" s="354"/>
      <c r="AW713" s="354"/>
      <c r="AX713" s="354"/>
      <c r="AY713" s="354"/>
      <c r="AZ713" s="354"/>
    </row>
    <row r="714" spans="3:52" x14ac:dyDescent="0.25">
      <c r="C714" s="354"/>
      <c r="D714" s="354"/>
      <c r="E714" s="354"/>
      <c r="F714" s="354"/>
      <c r="G714" s="354"/>
      <c r="H714" s="354"/>
      <c r="I714" s="354"/>
      <c r="J714" s="354"/>
      <c r="K714" s="354"/>
      <c r="L714" s="354"/>
      <c r="M714" s="354"/>
      <c r="N714" s="354"/>
      <c r="O714" s="354"/>
      <c r="P714" s="354"/>
      <c r="Q714" s="354"/>
      <c r="R714" s="370"/>
      <c r="S714" s="354"/>
      <c r="T714" s="354"/>
      <c r="U714" s="354"/>
      <c r="V714" s="354"/>
      <c r="W714" s="354"/>
      <c r="X714" s="354"/>
      <c r="Y714" s="354"/>
      <c r="Z714" s="354"/>
      <c r="AA714" s="354"/>
      <c r="AB714" s="354"/>
      <c r="AC714" s="354"/>
      <c r="AD714" s="354"/>
      <c r="AE714" s="354"/>
      <c r="AF714" s="354"/>
      <c r="AG714" s="354"/>
      <c r="AH714" s="354"/>
      <c r="AI714" s="354"/>
      <c r="AJ714" s="354"/>
      <c r="AK714" s="354"/>
      <c r="AL714" s="354"/>
      <c r="AM714" s="354"/>
      <c r="AN714" s="354"/>
      <c r="AO714" s="354"/>
      <c r="AP714" s="354"/>
      <c r="AQ714" s="354"/>
      <c r="AR714" s="354"/>
      <c r="AS714" s="354"/>
      <c r="AT714" s="354"/>
      <c r="AU714" s="354"/>
      <c r="AV714" s="354"/>
      <c r="AW714" s="354"/>
      <c r="AX714" s="354"/>
      <c r="AY714" s="354"/>
      <c r="AZ714" s="354"/>
    </row>
    <row r="715" spans="3:52" x14ac:dyDescent="0.25">
      <c r="C715" s="354"/>
      <c r="D715" s="354"/>
      <c r="E715" s="354"/>
      <c r="F715" s="354"/>
      <c r="G715" s="354"/>
      <c r="H715" s="354"/>
      <c r="I715" s="354"/>
      <c r="J715" s="354"/>
      <c r="K715" s="354"/>
      <c r="L715" s="354"/>
      <c r="M715" s="354"/>
      <c r="N715" s="354"/>
      <c r="O715" s="354"/>
      <c r="P715" s="354"/>
      <c r="Q715" s="354"/>
      <c r="R715" s="370"/>
      <c r="S715" s="354"/>
      <c r="T715" s="354"/>
      <c r="U715" s="354"/>
      <c r="V715" s="354"/>
      <c r="W715" s="354"/>
      <c r="X715" s="354"/>
      <c r="Y715" s="354"/>
      <c r="Z715" s="354"/>
      <c r="AA715" s="354"/>
      <c r="AB715" s="354"/>
      <c r="AC715" s="354"/>
      <c r="AD715" s="354"/>
      <c r="AE715" s="354"/>
      <c r="AF715" s="354"/>
      <c r="AG715" s="354"/>
      <c r="AH715" s="354"/>
      <c r="AI715" s="354"/>
      <c r="AJ715" s="354"/>
      <c r="AK715" s="354"/>
      <c r="AL715" s="354"/>
      <c r="AM715" s="354"/>
      <c r="AN715" s="354"/>
      <c r="AO715" s="354"/>
      <c r="AP715" s="354"/>
      <c r="AQ715" s="354"/>
      <c r="AR715" s="354"/>
      <c r="AS715" s="354"/>
      <c r="AT715" s="354"/>
      <c r="AU715" s="354"/>
      <c r="AV715" s="354"/>
      <c r="AW715" s="354"/>
      <c r="AX715" s="354"/>
      <c r="AY715" s="354"/>
      <c r="AZ715" s="354"/>
    </row>
    <row r="716" spans="3:52" x14ac:dyDescent="0.25">
      <c r="C716" s="354"/>
      <c r="D716" s="354"/>
      <c r="E716" s="354"/>
      <c r="F716" s="354"/>
      <c r="G716" s="354"/>
      <c r="H716" s="354"/>
      <c r="I716" s="354"/>
      <c r="J716" s="354"/>
      <c r="K716" s="354"/>
      <c r="L716" s="354"/>
      <c r="M716" s="354"/>
      <c r="N716" s="354"/>
      <c r="O716" s="354"/>
      <c r="P716" s="354"/>
      <c r="Q716" s="354"/>
      <c r="R716" s="370"/>
      <c r="S716" s="354"/>
      <c r="T716" s="354"/>
      <c r="U716" s="354"/>
      <c r="V716" s="354"/>
      <c r="W716" s="354"/>
      <c r="X716" s="354"/>
      <c r="Y716" s="354"/>
      <c r="Z716" s="354"/>
      <c r="AA716" s="354"/>
      <c r="AB716" s="354"/>
      <c r="AC716" s="354"/>
      <c r="AD716" s="354"/>
      <c r="AE716" s="354"/>
      <c r="AF716" s="354"/>
      <c r="AG716" s="354"/>
      <c r="AH716" s="354"/>
      <c r="AI716" s="354"/>
      <c r="AJ716" s="354"/>
      <c r="AK716" s="354"/>
      <c r="AL716" s="354"/>
      <c r="AM716" s="354"/>
      <c r="AN716" s="354"/>
      <c r="AO716" s="354"/>
      <c r="AP716" s="354"/>
      <c r="AQ716" s="354"/>
      <c r="AR716" s="354"/>
      <c r="AS716" s="354"/>
      <c r="AT716" s="354"/>
      <c r="AU716" s="354"/>
      <c r="AV716" s="354"/>
      <c r="AW716" s="354"/>
      <c r="AX716" s="354"/>
      <c r="AY716" s="354"/>
      <c r="AZ716" s="354"/>
    </row>
    <row r="717" spans="3:52" x14ac:dyDescent="0.25">
      <c r="C717" s="354"/>
      <c r="D717" s="354"/>
      <c r="E717" s="354"/>
      <c r="F717" s="354"/>
      <c r="G717" s="354"/>
      <c r="H717" s="354"/>
      <c r="I717" s="354"/>
      <c r="J717" s="354"/>
      <c r="K717" s="354"/>
      <c r="L717" s="354"/>
      <c r="M717" s="354"/>
      <c r="N717" s="354"/>
      <c r="O717" s="354"/>
      <c r="P717" s="354"/>
      <c r="Q717" s="354"/>
      <c r="R717" s="370"/>
      <c r="S717" s="354"/>
      <c r="T717" s="354"/>
      <c r="U717" s="354"/>
      <c r="V717" s="354"/>
      <c r="W717" s="354"/>
      <c r="X717" s="354"/>
      <c r="Y717" s="354"/>
      <c r="Z717" s="354"/>
      <c r="AA717" s="354"/>
      <c r="AB717" s="354"/>
      <c r="AC717" s="354"/>
      <c r="AD717" s="354"/>
      <c r="AE717" s="354"/>
      <c r="AF717" s="354"/>
      <c r="AG717" s="354"/>
      <c r="AH717" s="354"/>
      <c r="AI717" s="354"/>
      <c r="AJ717" s="354"/>
      <c r="AK717" s="354"/>
      <c r="AL717" s="354"/>
      <c r="AM717" s="354"/>
      <c r="AN717" s="354"/>
      <c r="AO717" s="354"/>
      <c r="AP717" s="354"/>
      <c r="AQ717" s="354"/>
      <c r="AR717" s="354"/>
      <c r="AS717" s="354"/>
      <c r="AT717" s="354"/>
      <c r="AU717" s="354"/>
      <c r="AV717" s="354"/>
      <c r="AW717" s="354"/>
      <c r="AX717" s="354"/>
      <c r="AY717" s="354"/>
      <c r="AZ717" s="354"/>
    </row>
    <row r="718" spans="3:52" x14ac:dyDescent="0.25">
      <c r="C718" s="354"/>
      <c r="D718" s="354"/>
      <c r="E718" s="354"/>
      <c r="F718" s="354"/>
      <c r="G718" s="354"/>
      <c r="H718" s="354"/>
      <c r="I718" s="354"/>
      <c r="J718" s="354"/>
      <c r="K718" s="354"/>
      <c r="L718" s="354"/>
      <c r="M718" s="354"/>
      <c r="N718" s="354"/>
      <c r="O718" s="354"/>
      <c r="P718" s="354"/>
      <c r="Q718" s="354"/>
      <c r="R718" s="370"/>
      <c r="S718" s="354"/>
      <c r="T718" s="354"/>
      <c r="U718" s="354"/>
      <c r="V718" s="354"/>
      <c r="W718" s="354"/>
      <c r="X718" s="354"/>
      <c r="Y718" s="354"/>
      <c r="Z718" s="354"/>
      <c r="AA718" s="354"/>
      <c r="AB718" s="354"/>
      <c r="AC718" s="354"/>
      <c r="AD718" s="354"/>
      <c r="AE718" s="354"/>
      <c r="AF718" s="354"/>
      <c r="AG718" s="354"/>
      <c r="AH718" s="354"/>
      <c r="AI718" s="354"/>
      <c r="AJ718" s="354"/>
      <c r="AK718" s="354"/>
      <c r="AL718" s="354"/>
      <c r="AM718" s="354"/>
      <c r="AN718" s="354"/>
      <c r="AO718" s="354"/>
      <c r="AP718" s="354"/>
      <c r="AQ718" s="354"/>
      <c r="AR718" s="354"/>
      <c r="AS718" s="354"/>
      <c r="AT718" s="354"/>
      <c r="AU718" s="354"/>
      <c r="AV718" s="354"/>
      <c r="AW718" s="354"/>
      <c r="AX718" s="354"/>
      <c r="AY718" s="354"/>
      <c r="AZ718" s="354"/>
    </row>
    <row r="719" spans="3:52" x14ac:dyDescent="0.25">
      <c r="C719" s="354"/>
      <c r="D719" s="354"/>
      <c r="E719" s="354"/>
      <c r="F719" s="354"/>
      <c r="G719" s="354"/>
      <c r="H719" s="354"/>
      <c r="I719" s="354"/>
      <c r="J719" s="354"/>
      <c r="K719" s="354"/>
      <c r="L719" s="354"/>
      <c r="M719" s="354"/>
      <c r="N719" s="354"/>
      <c r="O719" s="354"/>
      <c r="P719" s="354"/>
      <c r="Q719" s="354"/>
      <c r="R719" s="370"/>
      <c r="S719" s="354"/>
      <c r="T719" s="354"/>
      <c r="U719" s="354"/>
      <c r="V719" s="354"/>
      <c r="W719" s="354"/>
      <c r="X719" s="354"/>
      <c r="Y719" s="354"/>
      <c r="Z719" s="354"/>
      <c r="AA719" s="354"/>
      <c r="AB719" s="354"/>
      <c r="AC719" s="354"/>
      <c r="AD719" s="354"/>
      <c r="AE719" s="354"/>
      <c r="AF719" s="354"/>
      <c r="AG719" s="354"/>
      <c r="AH719" s="354"/>
      <c r="AI719" s="354"/>
      <c r="AJ719" s="354"/>
      <c r="AK719" s="354"/>
      <c r="AL719" s="354"/>
      <c r="AM719" s="354"/>
      <c r="AN719" s="354"/>
      <c r="AO719" s="354"/>
      <c r="AP719" s="354"/>
      <c r="AQ719" s="354"/>
      <c r="AR719" s="354"/>
      <c r="AS719" s="354"/>
      <c r="AT719" s="354"/>
      <c r="AU719" s="354"/>
      <c r="AV719" s="354"/>
      <c r="AW719" s="354"/>
      <c r="AX719" s="354"/>
      <c r="AY719" s="354"/>
      <c r="AZ719" s="354"/>
    </row>
    <row r="720" spans="3:52" x14ac:dyDescent="0.25">
      <c r="C720" s="354"/>
      <c r="D720" s="354"/>
      <c r="E720" s="354"/>
      <c r="F720" s="354"/>
      <c r="G720" s="354"/>
      <c r="H720" s="354"/>
      <c r="I720" s="354"/>
      <c r="J720" s="354"/>
      <c r="K720" s="354"/>
      <c r="L720" s="354"/>
      <c r="M720" s="354"/>
      <c r="N720" s="354"/>
      <c r="O720" s="354"/>
      <c r="P720" s="354"/>
      <c r="Q720" s="354"/>
      <c r="R720" s="370"/>
      <c r="S720" s="354"/>
      <c r="T720" s="354"/>
      <c r="U720" s="354"/>
      <c r="V720" s="354"/>
      <c r="W720" s="354"/>
      <c r="X720" s="354"/>
      <c r="Y720" s="354"/>
      <c r="Z720" s="354"/>
      <c r="AA720" s="354"/>
      <c r="AB720" s="354"/>
      <c r="AC720" s="354"/>
      <c r="AD720" s="354"/>
      <c r="AE720" s="354"/>
      <c r="AF720" s="354"/>
      <c r="AG720" s="354"/>
      <c r="AH720" s="354"/>
      <c r="AI720" s="354"/>
      <c r="AJ720" s="354"/>
      <c r="AK720" s="354"/>
      <c r="AL720" s="354"/>
      <c r="AM720" s="354"/>
      <c r="AN720" s="354"/>
      <c r="AO720" s="354"/>
      <c r="AP720" s="354"/>
      <c r="AQ720" s="354"/>
      <c r="AR720" s="354"/>
      <c r="AS720" s="354"/>
      <c r="AT720" s="354"/>
      <c r="AU720" s="354"/>
      <c r="AV720" s="354"/>
      <c r="AW720" s="354"/>
      <c r="AX720" s="354"/>
      <c r="AY720" s="354"/>
      <c r="AZ720" s="354"/>
    </row>
    <row r="721" spans="3:52" x14ac:dyDescent="0.25">
      <c r="C721" s="354"/>
      <c r="D721" s="354"/>
      <c r="E721" s="354"/>
      <c r="F721" s="354"/>
      <c r="G721" s="354"/>
      <c r="H721" s="354"/>
      <c r="I721" s="354"/>
      <c r="J721" s="354"/>
      <c r="K721" s="354"/>
      <c r="L721" s="354"/>
      <c r="M721" s="354"/>
      <c r="N721" s="354"/>
      <c r="O721" s="354"/>
      <c r="P721" s="354"/>
      <c r="Q721" s="354"/>
      <c r="R721" s="370"/>
      <c r="S721" s="354"/>
      <c r="T721" s="354"/>
      <c r="U721" s="354"/>
      <c r="V721" s="354"/>
      <c r="W721" s="354"/>
      <c r="X721" s="354"/>
      <c r="Y721" s="354"/>
      <c r="Z721" s="354"/>
      <c r="AA721" s="354"/>
      <c r="AB721" s="354"/>
      <c r="AC721" s="354"/>
      <c r="AD721" s="354"/>
      <c r="AE721" s="354"/>
      <c r="AF721" s="354"/>
      <c r="AG721" s="354"/>
      <c r="AH721" s="354"/>
      <c r="AI721" s="354"/>
      <c r="AJ721" s="354"/>
      <c r="AK721" s="354"/>
      <c r="AL721" s="354"/>
      <c r="AM721" s="354"/>
      <c r="AN721" s="354"/>
      <c r="AO721" s="354"/>
      <c r="AP721" s="354"/>
      <c r="AQ721" s="354"/>
      <c r="AR721" s="354"/>
      <c r="AS721" s="354"/>
      <c r="AT721" s="354"/>
      <c r="AU721" s="354"/>
      <c r="AV721" s="354"/>
      <c r="AW721" s="354"/>
      <c r="AX721" s="354"/>
      <c r="AY721" s="354"/>
      <c r="AZ721" s="354"/>
    </row>
    <row r="722" spans="3:52" x14ac:dyDescent="0.25">
      <c r="C722" s="354"/>
      <c r="D722" s="354"/>
      <c r="E722" s="354"/>
      <c r="F722" s="354"/>
      <c r="G722" s="354"/>
      <c r="H722" s="354"/>
      <c r="I722" s="354"/>
      <c r="J722" s="354"/>
      <c r="K722" s="354"/>
      <c r="L722" s="354"/>
      <c r="M722" s="354"/>
      <c r="N722" s="354"/>
      <c r="O722" s="354"/>
      <c r="P722" s="354"/>
      <c r="Q722" s="354"/>
      <c r="R722" s="370"/>
      <c r="S722" s="354"/>
      <c r="T722" s="354"/>
      <c r="U722" s="354"/>
      <c r="V722" s="354"/>
      <c r="W722" s="354"/>
      <c r="X722" s="354"/>
      <c r="Y722" s="354"/>
      <c r="Z722" s="354"/>
      <c r="AA722" s="354"/>
      <c r="AB722" s="354"/>
      <c r="AC722" s="354"/>
      <c r="AD722" s="354"/>
      <c r="AE722" s="354"/>
      <c r="AF722" s="354"/>
      <c r="AG722" s="354"/>
      <c r="AH722" s="354"/>
      <c r="AI722" s="354"/>
      <c r="AJ722" s="354"/>
      <c r="AK722" s="354"/>
      <c r="AL722" s="354"/>
      <c r="AM722" s="354"/>
      <c r="AN722" s="354"/>
      <c r="AO722" s="354"/>
      <c r="AP722" s="354"/>
      <c r="AQ722" s="354"/>
      <c r="AR722" s="354"/>
      <c r="AS722" s="354"/>
      <c r="AT722" s="354"/>
      <c r="AU722" s="354"/>
      <c r="AV722" s="354"/>
      <c r="AW722" s="354"/>
      <c r="AX722" s="354"/>
      <c r="AY722" s="354"/>
      <c r="AZ722" s="354"/>
    </row>
    <row r="723" spans="3:52" x14ac:dyDescent="0.25">
      <c r="C723" s="354"/>
      <c r="D723" s="354"/>
      <c r="E723" s="354"/>
      <c r="F723" s="354"/>
      <c r="G723" s="354"/>
      <c r="H723" s="354"/>
      <c r="I723" s="354"/>
      <c r="J723" s="354"/>
      <c r="K723" s="354"/>
      <c r="L723" s="354"/>
      <c r="M723" s="354"/>
      <c r="N723" s="354"/>
      <c r="O723" s="354"/>
      <c r="P723" s="354"/>
      <c r="Q723" s="354"/>
      <c r="R723" s="370"/>
      <c r="S723" s="354"/>
      <c r="T723" s="354"/>
      <c r="U723" s="354"/>
      <c r="V723" s="354"/>
      <c r="W723" s="354"/>
      <c r="X723" s="354"/>
      <c r="Y723" s="354"/>
      <c r="Z723" s="354"/>
      <c r="AA723" s="354"/>
      <c r="AB723" s="354"/>
      <c r="AC723" s="354"/>
      <c r="AD723" s="354"/>
      <c r="AE723" s="354"/>
      <c r="AF723" s="354"/>
      <c r="AG723" s="354"/>
      <c r="AH723" s="354"/>
      <c r="AI723" s="354"/>
      <c r="AJ723" s="354"/>
      <c r="AK723" s="354"/>
      <c r="AL723" s="354"/>
      <c r="AM723" s="354"/>
      <c r="AN723" s="354"/>
      <c r="AO723" s="354"/>
      <c r="AP723" s="354"/>
      <c r="AQ723" s="354"/>
      <c r="AR723" s="354"/>
      <c r="AS723" s="354"/>
      <c r="AT723" s="354"/>
      <c r="AU723" s="354"/>
      <c r="AV723" s="354"/>
      <c r="AW723" s="354"/>
      <c r="AX723" s="354"/>
      <c r="AY723" s="354"/>
      <c r="AZ723" s="354"/>
    </row>
    <row r="724" spans="3:52" x14ac:dyDescent="0.25">
      <c r="C724" s="354"/>
      <c r="D724" s="354"/>
      <c r="E724" s="354"/>
      <c r="F724" s="354"/>
      <c r="G724" s="354"/>
      <c r="H724" s="354"/>
      <c r="I724" s="354"/>
      <c r="J724" s="354"/>
      <c r="K724" s="354"/>
      <c r="L724" s="354"/>
      <c r="M724" s="354"/>
      <c r="N724" s="354"/>
      <c r="O724" s="354"/>
      <c r="P724" s="354"/>
      <c r="Q724" s="354"/>
      <c r="R724" s="370"/>
      <c r="S724" s="354"/>
      <c r="T724" s="354"/>
      <c r="U724" s="354"/>
      <c r="V724" s="354"/>
      <c r="W724" s="354"/>
      <c r="X724" s="354"/>
      <c r="Y724" s="354"/>
      <c r="Z724" s="354"/>
      <c r="AA724" s="354"/>
      <c r="AB724" s="354"/>
      <c r="AC724" s="354"/>
      <c r="AD724" s="354"/>
      <c r="AE724" s="354"/>
      <c r="AF724" s="354"/>
      <c r="AG724" s="354"/>
      <c r="AH724" s="354"/>
      <c r="AI724" s="354"/>
      <c r="AJ724" s="354"/>
      <c r="AK724" s="354"/>
      <c r="AL724" s="354"/>
      <c r="AM724" s="354"/>
      <c r="AN724" s="354"/>
      <c r="AO724" s="354"/>
      <c r="AP724" s="354"/>
      <c r="AQ724" s="354"/>
      <c r="AR724" s="354"/>
      <c r="AS724" s="354"/>
      <c r="AT724" s="354"/>
      <c r="AU724" s="354"/>
      <c r="AV724" s="354"/>
      <c r="AW724" s="354"/>
      <c r="AX724" s="354"/>
      <c r="AY724" s="354"/>
      <c r="AZ724" s="354"/>
    </row>
    <row r="725" spans="3:52" x14ac:dyDescent="0.25">
      <c r="C725" s="354"/>
      <c r="D725" s="354"/>
      <c r="E725" s="354"/>
      <c r="F725" s="354"/>
      <c r="G725" s="354"/>
      <c r="H725" s="354"/>
      <c r="I725" s="354"/>
      <c r="J725" s="354"/>
      <c r="K725" s="354"/>
      <c r="L725" s="354"/>
      <c r="M725" s="354"/>
      <c r="N725" s="354"/>
      <c r="O725" s="354"/>
      <c r="P725" s="354"/>
      <c r="Q725" s="354"/>
      <c r="R725" s="370"/>
      <c r="S725" s="354"/>
      <c r="T725" s="354"/>
      <c r="U725" s="354"/>
      <c r="V725" s="354"/>
      <c r="W725" s="354"/>
      <c r="X725" s="354"/>
      <c r="Y725" s="354"/>
      <c r="Z725" s="354"/>
      <c r="AA725" s="354"/>
      <c r="AB725" s="354"/>
      <c r="AC725" s="354"/>
      <c r="AD725" s="354"/>
      <c r="AE725" s="354"/>
      <c r="AF725" s="354"/>
      <c r="AG725" s="354"/>
      <c r="AH725" s="354"/>
      <c r="AI725" s="354"/>
      <c r="AJ725" s="354"/>
      <c r="AK725" s="354"/>
      <c r="AL725" s="354"/>
      <c r="AM725" s="354"/>
      <c r="AN725" s="354"/>
      <c r="AO725" s="354"/>
      <c r="AP725" s="354"/>
      <c r="AQ725" s="354"/>
      <c r="AR725" s="354"/>
      <c r="AS725" s="354"/>
      <c r="AT725" s="354"/>
      <c r="AU725" s="354"/>
      <c r="AV725" s="354"/>
      <c r="AW725" s="354"/>
      <c r="AX725" s="354"/>
      <c r="AY725" s="354"/>
      <c r="AZ725" s="354"/>
    </row>
    <row r="726" spans="3:52" x14ac:dyDescent="0.25">
      <c r="C726" s="354"/>
      <c r="D726" s="354"/>
      <c r="E726" s="354"/>
      <c r="F726" s="354"/>
      <c r="G726" s="354"/>
      <c r="H726" s="354"/>
      <c r="I726" s="354"/>
      <c r="J726" s="354"/>
      <c r="K726" s="354"/>
      <c r="L726" s="354"/>
      <c r="M726" s="354"/>
      <c r="N726" s="354"/>
      <c r="O726" s="354"/>
      <c r="P726" s="354"/>
      <c r="Q726" s="354"/>
      <c r="R726" s="370"/>
      <c r="S726" s="354"/>
      <c r="T726" s="354"/>
      <c r="U726" s="354"/>
      <c r="V726" s="354"/>
      <c r="W726" s="354"/>
      <c r="X726" s="354"/>
      <c r="Y726" s="354"/>
      <c r="Z726" s="354"/>
      <c r="AA726" s="354"/>
      <c r="AB726" s="354"/>
      <c r="AC726" s="354"/>
      <c r="AD726" s="354"/>
      <c r="AE726" s="354"/>
      <c r="AF726" s="354"/>
      <c r="AG726" s="354"/>
      <c r="AH726" s="354"/>
      <c r="AI726" s="354"/>
      <c r="AJ726" s="354"/>
      <c r="AK726" s="354"/>
      <c r="AL726" s="354"/>
      <c r="AM726" s="354"/>
      <c r="AN726" s="354"/>
      <c r="AO726" s="354"/>
      <c r="AP726" s="354"/>
      <c r="AQ726" s="354"/>
      <c r="AR726" s="354"/>
      <c r="AS726" s="354"/>
      <c r="AT726" s="354"/>
      <c r="AU726" s="354"/>
      <c r="AV726" s="354"/>
      <c r="AW726" s="354"/>
      <c r="AX726" s="354"/>
      <c r="AY726" s="354"/>
      <c r="AZ726" s="354"/>
    </row>
    <row r="727" spans="3:52" x14ac:dyDescent="0.25">
      <c r="C727" s="354"/>
      <c r="D727" s="354"/>
      <c r="E727" s="354"/>
      <c r="F727" s="354"/>
      <c r="G727" s="354"/>
      <c r="H727" s="354"/>
      <c r="I727" s="354"/>
      <c r="J727" s="354"/>
      <c r="K727" s="354"/>
      <c r="L727" s="354"/>
      <c r="M727" s="354"/>
      <c r="N727" s="354"/>
      <c r="O727" s="354"/>
      <c r="P727" s="354"/>
      <c r="Q727" s="354"/>
      <c r="R727" s="370"/>
      <c r="S727" s="354"/>
      <c r="T727" s="354"/>
      <c r="U727" s="354"/>
      <c r="V727" s="354"/>
      <c r="W727" s="354"/>
      <c r="X727" s="354"/>
      <c r="Y727" s="354"/>
      <c r="Z727" s="354"/>
      <c r="AA727" s="354"/>
      <c r="AB727" s="354"/>
      <c r="AC727" s="354"/>
      <c r="AD727" s="354"/>
      <c r="AE727" s="354"/>
      <c r="AF727" s="354"/>
      <c r="AG727" s="354"/>
      <c r="AH727" s="354"/>
      <c r="AI727" s="354"/>
      <c r="AJ727" s="354"/>
      <c r="AK727" s="354"/>
      <c r="AL727" s="354"/>
      <c r="AM727" s="354"/>
      <c r="AN727" s="354"/>
      <c r="AO727" s="354"/>
      <c r="AP727" s="354"/>
      <c r="AQ727" s="354"/>
      <c r="AR727" s="354"/>
      <c r="AS727" s="354"/>
      <c r="AT727" s="354"/>
      <c r="AU727" s="354"/>
      <c r="AV727" s="354"/>
      <c r="AW727" s="354"/>
      <c r="AX727" s="354"/>
      <c r="AY727" s="354"/>
      <c r="AZ727" s="354"/>
    </row>
    <row r="728" spans="3:52" x14ac:dyDescent="0.25">
      <c r="C728" s="354"/>
      <c r="D728" s="354"/>
      <c r="E728" s="354"/>
      <c r="F728" s="354"/>
      <c r="G728" s="354"/>
      <c r="H728" s="354"/>
      <c r="I728" s="354"/>
      <c r="J728" s="354"/>
      <c r="K728" s="354"/>
      <c r="L728" s="354"/>
      <c r="M728" s="354"/>
      <c r="N728" s="354"/>
      <c r="O728" s="354"/>
      <c r="P728" s="354"/>
      <c r="Q728" s="354"/>
      <c r="R728" s="370"/>
      <c r="S728" s="354"/>
      <c r="T728" s="354"/>
      <c r="U728" s="354"/>
      <c r="V728" s="354"/>
      <c r="W728" s="354"/>
      <c r="X728" s="354"/>
      <c r="Y728" s="354"/>
      <c r="Z728" s="354"/>
      <c r="AA728" s="354"/>
      <c r="AB728" s="354"/>
      <c r="AC728" s="354"/>
      <c r="AD728" s="354"/>
      <c r="AE728" s="354"/>
      <c r="AF728" s="354"/>
      <c r="AG728" s="354"/>
      <c r="AH728" s="354"/>
      <c r="AI728" s="354"/>
      <c r="AJ728" s="354"/>
      <c r="AK728" s="354"/>
      <c r="AL728" s="354"/>
      <c r="AM728" s="354"/>
      <c r="AN728" s="354"/>
      <c r="AO728" s="354"/>
      <c r="AP728" s="354"/>
      <c r="AQ728" s="354"/>
      <c r="AR728" s="354"/>
      <c r="AS728" s="354"/>
      <c r="AT728" s="354"/>
      <c r="AU728" s="354"/>
      <c r="AV728" s="354"/>
      <c r="AW728" s="354"/>
      <c r="AX728" s="354"/>
      <c r="AY728" s="354"/>
      <c r="AZ728" s="354"/>
    </row>
    <row r="729" spans="3:52" x14ac:dyDescent="0.25">
      <c r="C729" s="354"/>
      <c r="D729" s="354"/>
      <c r="E729" s="354"/>
      <c r="F729" s="354"/>
      <c r="G729" s="354"/>
      <c r="H729" s="354"/>
      <c r="I729" s="354"/>
      <c r="J729" s="354"/>
      <c r="K729" s="354"/>
      <c r="L729" s="354"/>
      <c r="M729" s="354"/>
      <c r="N729" s="354"/>
      <c r="O729" s="354"/>
      <c r="P729" s="354"/>
      <c r="Q729" s="354"/>
      <c r="R729" s="370"/>
      <c r="S729" s="354"/>
      <c r="T729" s="354"/>
      <c r="U729" s="354"/>
      <c r="V729" s="354"/>
      <c r="W729" s="354"/>
      <c r="X729" s="354"/>
      <c r="Y729" s="354"/>
      <c r="Z729" s="354"/>
      <c r="AA729" s="354"/>
      <c r="AB729" s="354"/>
      <c r="AC729" s="354"/>
      <c r="AD729" s="354"/>
      <c r="AE729" s="354"/>
      <c r="AF729" s="354"/>
      <c r="AG729" s="354"/>
      <c r="AH729" s="354"/>
      <c r="AI729" s="354"/>
      <c r="AJ729" s="354"/>
      <c r="AK729" s="354"/>
      <c r="AL729" s="354"/>
      <c r="AM729" s="354"/>
      <c r="AN729" s="354"/>
      <c r="AO729" s="354"/>
      <c r="AP729" s="354"/>
      <c r="AQ729" s="354"/>
      <c r="AR729" s="354"/>
      <c r="AS729" s="354"/>
      <c r="AT729" s="354"/>
      <c r="AU729" s="354"/>
      <c r="AV729" s="354"/>
      <c r="AW729" s="354"/>
      <c r="AX729" s="354"/>
      <c r="AY729" s="354"/>
      <c r="AZ729" s="354"/>
    </row>
    <row r="730" spans="3:52" x14ac:dyDescent="0.25">
      <c r="C730" s="354"/>
      <c r="D730" s="354"/>
      <c r="E730" s="354"/>
      <c r="F730" s="354"/>
      <c r="G730" s="354"/>
      <c r="H730" s="354"/>
      <c r="I730" s="354"/>
      <c r="J730" s="354"/>
      <c r="K730" s="354"/>
      <c r="L730" s="354"/>
      <c r="M730" s="354"/>
      <c r="N730" s="354"/>
      <c r="O730" s="354"/>
      <c r="P730" s="354"/>
      <c r="Q730" s="354"/>
      <c r="R730" s="370"/>
      <c r="S730" s="354"/>
      <c r="T730" s="354"/>
      <c r="U730" s="354"/>
      <c r="V730" s="354"/>
      <c r="W730" s="354"/>
      <c r="X730" s="354"/>
      <c r="Y730" s="354"/>
      <c r="Z730" s="354"/>
      <c r="AA730" s="354"/>
      <c r="AB730" s="354"/>
      <c r="AC730" s="354"/>
      <c r="AD730" s="354"/>
      <c r="AE730" s="354"/>
      <c r="AF730" s="354"/>
      <c r="AG730" s="354"/>
      <c r="AH730" s="354"/>
      <c r="AI730" s="354"/>
      <c r="AJ730" s="354"/>
      <c r="AK730" s="354"/>
      <c r="AL730" s="354"/>
      <c r="AM730" s="354"/>
      <c r="AN730" s="354"/>
      <c r="AO730" s="354"/>
      <c r="AP730" s="354"/>
      <c r="AQ730" s="354"/>
      <c r="AR730" s="354"/>
      <c r="AS730" s="354"/>
      <c r="AT730" s="354"/>
      <c r="AU730" s="354"/>
      <c r="AV730" s="354"/>
      <c r="AW730" s="354"/>
      <c r="AX730" s="354"/>
      <c r="AY730" s="354"/>
      <c r="AZ730" s="354"/>
    </row>
    <row r="731" spans="3:52" x14ac:dyDescent="0.25">
      <c r="C731" s="354"/>
      <c r="D731" s="354"/>
      <c r="E731" s="354"/>
      <c r="F731" s="354"/>
      <c r="G731" s="354"/>
      <c r="H731" s="354"/>
      <c r="I731" s="354"/>
      <c r="J731" s="354"/>
      <c r="K731" s="354"/>
      <c r="L731" s="354"/>
      <c r="M731" s="354"/>
      <c r="N731" s="354"/>
      <c r="O731" s="354"/>
      <c r="P731" s="354"/>
      <c r="Q731" s="354"/>
      <c r="R731" s="370"/>
      <c r="S731" s="354"/>
      <c r="T731" s="354"/>
      <c r="U731" s="354"/>
      <c r="V731" s="354"/>
      <c r="W731" s="354"/>
      <c r="X731" s="354"/>
      <c r="Y731" s="354"/>
      <c r="Z731" s="354"/>
      <c r="AA731" s="354"/>
      <c r="AB731" s="354"/>
      <c r="AC731" s="354"/>
      <c r="AD731" s="354"/>
      <c r="AE731" s="354"/>
      <c r="AF731" s="354"/>
      <c r="AG731" s="354"/>
      <c r="AH731" s="354"/>
      <c r="AI731" s="354"/>
      <c r="AJ731" s="354"/>
      <c r="AK731" s="354"/>
      <c r="AL731" s="354"/>
      <c r="AM731" s="354"/>
      <c r="AN731" s="354"/>
      <c r="AO731" s="354"/>
      <c r="AP731" s="354"/>
      <c r="AQ731" s="354"/>
      <c r="AR731" s="354"/>
      <c r="AS731" s="354"/>
      <c r="AT731" s="354"/>
      <c r="AU731" s="354"/>
      <c r="AV731" s="354"/>
      <c r="AW731" s="354"/>
      <c r="AX731" s="354"/>
      <c r="AY731" s="354"/>
      <c r="AZ731" s="354"/>
    </row>
    <row r="732" spans="3:52" x14ac:dyDescent="0.25">
      <c r="C732" s="354"/>
      <c r="D732" s="354"/>
      <c r="E732" s="354"/>
      <c r="F732" s="354"/>
      <c r="G732" s="354"/>
      <c r="H732" s="354"/>
      <c r="I732" s="354"/>
      <c r="J732" s="354"/>
      <c r="K732" s="354"/>
      <c r="L732" s="354"/>
      <c r="M732" s="354"/>
      <c r="N732" s="354"/>
      <c r="O732" s="354"/>
      <c r="P732" s="354"/>
      <c r="Q732" s="354"/>
      <c r="R732" s="370"/>
      <c r="S732" s="354"/>
      <c r="T732" s="354"/>
      <c r="U732" s="354"/>
      <c r="V732" s="354"/>
      <c r="W732" s="354"/>
      <c r="X732" s="354"/>
      <c r="Y732" s="354"/>
      <c r="Z732" s="354"/>
      <c r="AA732" s="354"/>
      <c r="AB732" s="354"/>
      <c r="AC732" s="354"/>
      <c r="AD732" s="354"/>
      <c r="AE732" s="354"/>
      <c r="AF732" s="354"/>
      <c r="AG732" s="354"/>
      <c r="AH732" s="354"/>
      <c r="AI732" s="354"/>
      <c r="AJ732" s="354"/>
      <c r="AK732" s="354"/>
      <c r="AL732" s="354"/>
      <c r="AM732" s="354"/>
      <c r="AN732" s="354"/>
      <c r="AO732" s="354"/>
      <c r="AP732" s="354"/>
      <c r="AQ732" s="354"/>
      <c r="AR732" s="354"/>
      <c r="AS732" s="354"/>
      <c r="AT732" s="354"/>
      <c r="AU732" s="354"/>
      <c r="AV732" s="354"/>
      <c r="AW732" s="354"/>
      <c r="AX732" s="354"/>
      <c r="AY732" s="354"/>
      <c r="AZ732" s="354"/>
    </row>
    <row r="733" spans="3:52" x14ac:dyDescent="0.25">
      <c r="C733" s="354"/>
      <c r="D733" s="354"/>
      <c r="E733" s="354"/>
      <c r="F733" s="354"/>
      <c r="G733" s="354"/>
      <c r="H733" s="354"/>
      <c r="I733" s="354"/>
      <c r="J733" s="354"/>
      <c r="K733" s="354"/>
      <c r="L733" s="354"/>
      <c r="M733" s="354"/>
      <c r="N733" s="354"/>
      <c r="O733" s="354"/>
      <c r="P733" s="354"/>
      <c r="Q733" s="354"/>
      <c r="R733" s="370"/>
      <c r="S733" s="354"/>
      <c r="T733" s="354"/>
      <c r="U733" s="354"/>
      <c r="V733" s="354"/>
      <c r="W733" s="354"/>
      <c r="X733" s="354"/>
      <c r="Y733" s="354"/>
      <c r="Z733" s="354"/>
      <c r="AA733" s="354"/>
      <c r="AB733" s="354"/>
      <c r="AC733" s="354"/>
      <c r="AD733" s="354"/>
      <c r="AE733" s="354"/>
      <c r="AF733" s="354"/>
      <c r="AG733" s="354"/>
      <c r="AH733" s="354"/>
      <c r="AI733" s="354"/>
      <c r="AJ733" s="354"/>
      <c r="AK733" s="354"/>
      <c r="AL733" s="354"/>
      <c r="AM733" s="354"/>
      <c r="AN733" s="354"/>
      <c r="AO733" s="354"/>
      <c r="AP733" s="354"/>
      <c r="AQ733" s="354"/>
      <c r="AR733" s="354"/>
      <c r="AS733" s="354"/>
      <c r="AT733" s="354"/>
      <c r="AU733" s="354"/>
      <c r="AV733" s="354"/>
      <c r="AW733" s="354"/>
      <c r="AX733" s="354"/>
      <c r="AY733" s="354"/>
      <c r="AZ733" s="354"/>
    </row>
    <row r="734" spans="3:52" x14ac:dyDescent="0.25">
      <c r="C734" s="354"/>
      <c r="D734" s="354"/>
      <c r="E734" s="354"/>
      <c r="F734" s="354"/>
      <c r="G734" s="354"/>
      <c r="H734" s="354"/>
      <c r="I734" s="354"/>
      <c r="J734" s="354"/>
      <c r="K734" s="354"/>
      <c r="L734" s="354"/>
      <c r="M734" s="354"/>
      <c r="N734" s="354"/>
      <c r="O734" s="354"/>
      <c r="P734" s="354"/>
      <c r="Q734" s="354"/>
      <c r="R734" s="370"/>
      <c r="S734" s="354"/>
      <c r="T734" s="354"/>
      <c r="U734" s="354"/>
      <c r="V734" s="354"/>
      <c r="W734" s="354"/>
      <c r="X734" s="354"/>
      <c r="Y734" s="354"/>
      <c r="Z734" s="354"/>
      <c r="AA734" s="354"/>
      <c r="AB734" s="354"/>
      <c r="AC734" s="354"/>
      <c r="AD734" s="354"/>
      <c r="AE734" s="354"/>
      <c r="AF734" s="354"/>
      <c r="AG734" s="354"/>
      <c r="AH734" s="354"/>
      <c r="AI734" s="354"/>
      <c r="AJ734" s="354"/>
      <c r="AK734" s="354"/>
      <c r="AL734" s="354"/>
      <c r="AM734" s="354"/>
      <c r="AN734" s="354"/>
      <c r="AO734" s="354"/>
      <c r="AP734" s="354"/>
      <c r="AQ734" s="354"/>
      <c r="AR734" s="354"/>
      <c r="AS734" s="354"/>
      <c r="AT734" s="354"/>
      <c r="AU734" s="354"/>
      <c r="AV734" s="354"/>
      <c r="AW734" s="354"/>
      <c r="AX734" s="354"/>
      <c r="AY734" s="354"/>
      <c r="AZ734" s="354"/>
    </row>
    <row r="735" spans="3:52" x14ac:dyDescent="0.25">
      <c r="C735" s="354"/>
      <c r="D735" s="354"/>
      <c r="E735" s="354"/>
      <c r="F735" s="354"/>
      <c r="G735" s="354"/>
      <c r="H735" s="354"/>
      <c r="I735" s="354"/>
      <c r="J735" s="354"/>
      <c r="K735" s="354"/>
      <c r="L735" s="354"/>
      <c r="M735" s="354"/>
      <c r="N735" s="354"/>
      <c r="O735" s="354"/>
      <c r="P735" s="354"/>
      <c r="Q735" s="354"/>
      <c r="R735" s="370"/>
      <c r="S735" s="354"/>
      <c r="T735" s="354"/>
      <c r="U735" s="354"/>
      <c r="V735" s="354"/>
      <c r="W735" s="354"/>
      <c r="X735" s="354"/>
      <c r="Y735" s="354"/>
      <c r="Z735" s="354"/>
      <c r="AA735" s="354"/>
      <c r="AB735" s="354"/>
      <c r="AC735" s="354"/>
      <c r="AD735" s="354"/>
      <c r="AE735" s="354"/>
      <c r="AF735" s="354"/>
      <c r="AG735" s="354"/>
      <c r="AH735" s="354"/>
      <c r="AI735" s="354"/>
      <c r="AJ735" s="354"/>
      <c r="AK735" s="354"/>
      <c r="AL735" s="354"/>
      <c r="AM735" s="354"/>
      <c r="AN735" s="354"/>
      <c r="AO735" s="354"/>
      <c r="AP735" s="354"/>
      <c r="AQ735" s="354"/>
      <c r="AR735" s="354"/>
      <c r="AS735" s="354"/>
      <c r="AT735" s="354"/>
      <c r="AU735" s="354"/>
      <c r="AV735" s="354"/>
      <c r="AW735" s="354"/>
      <c r="AX735" s="354"/>
      <c r="AY735" s="354"/>
      <c r="AZ735" s="354"/>
    </row>
    <row r="736" spans="3:52" x14ac:dyDescent="0.25">
      <c r="C736" s="354"/>
      <c r="D736" s="354"/>
      <c r="E736" s="354"/>
      <c r="F736" s="354"/>
      <c r="G736" s="354"/>
      <c r="H736" s="354"/>
      <c r="I736" s="354"/>
      <c r="J736" s="354"/>
      <c r="K736" s="354"/>
      <c r="L736" s="354"/>
      <c r="M736" s="354"/>
      <c r="N736" s="354"/>
      <c r="O736" s="354"/>
      <c r="P736" s="354"/>
      <c r="Q736" s="354"/>
      <c r="R736" s="370"/>
      <c r="S736" s="354"/>
      <c r="T736" s="354"/>
      <c r="U736" s="354"/>
      <c r="V736" s="354"/>
      <c r="W736" s="354"/>
      <c r="X736" s="354"/>
      <c r="Y736" s="354"/>
      <c r="Z736" s="354"/>
      <c r="AA736" s="354"/>
      <c r="AB736" s="354"/>
      <c r="AC736" s="354"/>
      <c r="AD736" s="354"/>
      <c r="AE736" s="354"/>
      <c r="AF736" s="354"/>
      <c r="AG736" s="354"/>
      <c r="AH736" s="354"/>
      <c r="AI736" s="354"/>
      <c r="AJ736" s="354"/>
      <c r="AK736" s="354"/>
      <c r="AL736" s="354"/>
      <c r="AM736" s="354"/>
      <c r="AN736" s="354"/>
      <c r="AO736" s="354"/>
      <c r="AP736" s="354"/>
      <c r="AQ736" s="354"/>
      <c r="AR736" s="354"/>
      <c r="AS736" s="354"/>
      <c r="AT736" s="354"/>
      <c r="AU736" s="354"/>
      <c r="AV736" s="354"/>
      <c r="AW736" s="354"/>
      <c r="AX736" s="354"/>
      <c r="AY736" s="354"/>
      <c r="AZ736" s="354"/>
    </row>
    <row r="737" spans="3:52" x14ac:dyDescent="0.25">
      <c r="C737" s="354"/>
      <c r="D737" s="354"/>
      <c r="E737" s="354"/>
      <c r="F737" s="354"/>
      <c r="G737" s="354"/>
      <c r="H737" s="354"/>
      <c r="I737" s="354"/>
      <c r="J737" s="354"/>
      <c r="K737" s="354"/>
      <c r="L737" s="354"/>
      <c r="M737" s="354"/>
      <c r="N737" s="354"/>
      <c r="O737" s="354"/>
      <c r="P737" s="354"/>
      <c r="Q737" s="354"/>
      <c r="R737" s="370"/>
      <c r="S737" s="354"/>
      <c r="T737" s="354"/>
      <c r="U737" s="354"/>
      <c r="V737" s="354"/>
      <c r="W737" s="354"/>
      <c r="X737" s="354"/>
      <c r="Y737" s="354"/>
      <c r="Z737" s="354"/>
      <c r="AA737" s="354"/>
      <c r="AB737" s="354"/>
      <c r="AC737" s="354"/>
      <c r="AD737" s="354"/>
      <c r="AE737" s="354"/>
      <c r="AF737" s="354"/>
      <c r="AG737" s="354"/>
      <c r="AH737" s="354"/>
      <c r="AI737" s="354"/>
      <c r="AJ737" s="354"/>
      <c r="AK737" s="354"/>
      <c r="AL737" s="354"/>
      <c r="AM737" s="354"/>
      <c r="AN737" s="354"/>
      <c r="AO737" s="354"/>
      <c r="AP737" s="354"/>
      <c r="AQ737" s="354"/>
      <c r="AR737" s="354"/>
      <c r="AS737" s="354"/>
      <c r="AT737" s="354"/>
      <c r="AU737" s="354"/>
      <c r="AV737" s="354"/>
      <c r="AW737" s="354"/>
      <c r="AX737" s="354"/>
      <c r="AY737" s="354"/>
      <c r="AZ737" s="354"/>
    </row>
    <row r="738" spans="3:52" x14ac:dyDescent="0.25">
      <c r="C738" s="354"/>
      <c r="D738" s="354"/>
      <c r="E738" s="354"/>
      <c r="F738" s="354"/>
      <c r="G738" s="354"/>
      <c r="H738" s="354"/>
      <c r="I738" s="354"/>
      <c r="J738" s="354"/>
      <c r="K738" s="354"/>
      <c r="L738" s="354"/>
      <c r="M738" s="354"/>
      <c r="N738" s="354"/>
      <c r="O738" s="354"/>
      <c r="P738" s="354"/>
      <c r="Q738" s="354"/>
      <c r="R738" s="370"/>
      <c r="S738" s="354"/>
      <c r="T738" s="354"/>
      <c r="U738" s="354"/>
      <c r="V738" s="354"/>
      <c r="W738" s="354"/>
      <c r="X738" s="354"/>
      <c r="Y738" s="354"/>
      <c r="Z738" s="354"/>
      <c r="AA738" s="354"/>
      <c r="AB738" s="354"/>
      <c r="AC738" s="354"/>
      <c r="AD738" s="354"/>
      <c r="AE738" s="354"/>
      <c r="AF738" s="354"/>
      <c r="AG738" s="354"/>
      <c r="AH738" s="354"/>
      <c r="AI738" s="354"/>
      <c r="AJ738" s="354"/>
      <c r="AK738" s="354"/>
      <c r="AL738" s="354"/>
      <c r="AM738" s="354"/>
      <c r="AN738" s="354"/>
      <c r="AO738" s="354"/>
      <c r="AP738" s="354"/>
      <c r="AQ738" s="354"/>
      <c r="AR738" s="354"/>
      <c r="AS738" s="354"/>
      <c r="AT738" s="354"/>
      <c r="AU738" s="354"/>
      <c r="AV738" s="354"/>
      <c r="AW738" s="354"/>
      <c r="AX738" s="354"/>
      <c r="AY738" s="354"/>
      <c r="AZ738" s="354"/>
    </row>
    <row r="739" spans="3:52" x14ac:dyDescent="0.25">
      <c r="C739" s="354"/>
      <c r="D739" s="354"/>
      <c r="E739" s="354"/>
      <c r="F739" s="354"/>
      <c r="G739" s="354"/>
      <c r="H739" s="354"/>
      <c r="I739" s="354"/>
      <c r="J739" s="354"/>
      <c r="K739" s="354"/>
      <c r="L739" s="354"/>
      <c r="M739" s="354"/>
      <c r="N739" s="354"/>
      <c r="O739" s="354"/>
      <c r="P739" s="354"/>
      <c r="Q739" s="354"/>
      <c r="R739" s="370"/>
      <c r="S739" s="354"/>
      <c r="T739" s="354"/>
      <c r="U739" s="354"/>
      <c r="V739" s="354"/>
      <c r="W739" s="354"/>
      <c r="X739" s="354"/>
      <c r="Y739" s="354"/>
      <c r="Z739" s="354"/>
      <c r="AA739" s="354"/>
      <c r="AB739" s="354"/>
      <c r="AC739" s="354"/>
      <c r="AD739" s="354"/>
      <c r="AE739" s="354"/>
      <c r="AF739" s="354"/>
      <c r="AG739" s="354"/>
      <c r="AH739" s="354"/>
      <c r="AI739" s="354"/>
      <c r="AJ739" s="354"/>
      <c r="AK739" s="354"/>
      <c r="AL739" s="354"/>
      <c r="AM739" s="354"/>
      <c r="AN739" s="354"/>
      <c r="AO739" s="354"/>
      <c r="AP739" s="354"/>
      <c r="AQ739" s="354"/>
      <c r="AR739" s="354"/>
      <c r="AS739" s="354"/>
      <c r="AT739" s="354"/>
      <c r="AU739" s="354"/>
      <c r="AV739" s="354"/>
      <c r="AW739" s="354"/>
      <c r="AX739" s="354"/>
      <c r="AY739" s="354"/>
      <c r="AZ739" s="354"/>
    </row>
    <row r="740" spans="3:52" x14ac:dyDescent="0.25">
      <c r="C740" s="354"/>
      <c r="D740" s="354"/>
      <c r="E740" s="354"/>
      <c r="F740" s="354"/>
      <c r="G740" s="354"/>
      <c r="H740" s="354"/>
      <c r="I740" s="354"/>
      <c r="J740" s="354"/>
      <c r="K740" s="354"/>
      <c r="L740" s="354"/>
      <c r="M740" s="354"/>
      <c r="N740" s="354"/>
      <c r="O740" s="354"/>
      <c r="P740" s="354"/>
      <c r="Q740" s="354"/>
      <c r="R740" s="370"/>
      <c r="S740" s="354"/>
      <c r="T740" s="354"/>
      <c r="U740" s="354"/>
      <c r="V740" s="354"/>
      <c r="W740" s="354"/>
      <c r="X740" s="354"/>
      <c r="Y740" s="354"/>
      <c r="Z740" s="354"/>
      <c r="AA740" s="354"/>
      <c r="AB740" s="354"/>
      <c r="AC740" s="354"/>
      <c r="AD740" s="354"/>
      <c r="AE740" s="354"/>
      <c r="AF740" s="354"/>
      <c r="AG740" s="354"/>
      <c r="AH740" s="354"/>
      <c r="AI740" s="354"/>
      <c r="AJ740" s="354"/>
      <c r="AK740" s="354"/>
      <c r="AL740" s="354"/>
      <c r="AM740" s="354"/>
      <c r="AN740" s="354"/>
      <c r="AO740" s="354"/>
      <c r="AP740" s="354"/>
      <c r="AQ740" s="354"/>
      <c r="AR740" s="354"/>
      <c r="AS740" s="354"/>
      <c r="AT740" s="354"/>
      <c r="AU740" s="354"/>
      <c r="AV740" s="354"/>
      <c r="AW740" s="354"/>
      <c r="AX740" s="354"/>
      <c r="AY740" s="354"/>
      <c r="AZ740" s="354"/>
    </row>
    <row r="741" spans="3:52" x14ac:dyDescent="0.25">
      <c r="C741" s="354"/>
      <c r="D741" s="354"/>
      <c r="E741" s="354"/>
      <c r="F741" s="354"/>
      <c r="G741" s="354"/>
      <c r="H741" s="354"/>
      <c r="I741" s="354"/>
      <c r="J741" s="354"/>
      <c r="K741" s="354"/>
      <c r="L741" s="354"/>
      <c r="M741" s="354"/>
      <c r="N741" s="354"/>
      <c r="O741" s="354"/>
      <c r="P741" s="354"/>
      <c r="Q741" s="354"/>
      <c r="R741" s="370"/>
      <c r="S741" s="354"/>
      <c r="T741" s="354"/>
      <c r="U741" s="354"/>
      <c r="V741" s="354"/>
      <c r="W741" s="354"/>
      <c r="X741" s="354"/>
      <c r="Y741" s="354"/>
      <c r="Z741" s="354"/>
      <c r="AA741" s="354"/>
      <c r="AB741" s="354"/>
      <c r="AC741" s="354"/>
      <c r="AD741" s="354"/>
      <c r="AE741" s="354"/>
      <c r="AF741" s="354"/>
      <c r="AG741" s="354"/>
      <c r="AH741" s="354"/>
      <c r="AI741" s="354"/>
      <c r="AJ741" s="354"/>
      <c r="AK741" s="354"/>
      <c r="AL741" s="354"/>
      <c r="AM741" s="354"/>
      <c r="AN741" s="354"/>
      <c r="AO741" s="354"/>
      <c r="AP741" s="354"/>
      <c r="AQ741" s="354"/>
      <c r="AR741" s="354"/>
      <c r="AS741" s="354"/>
      <c r="AT741" s="354"/>
      <c r="AU741" s="354"/>
      <c r="AV741" s="354"/>
      <c r="AW741" s="354"/>
      <c r="AX741" s="354"/>
      <c r="AY741" s="354"/>
      <c r="AZ741" s="354"/>
    </row>
    <row r="742" spans="3:52" x14ac:dyDescent="0.25">
      <c r="C742" s="354"/>
      <c r="D742" s="354"/>
      <c r="E742" s="354"/>
      <c r="F742" s="354"/>
      <c r="G742" s="354"/>
      <c r="H742" s="354"/>
      <c r="I742" s="354"/>
      <c r="J742" s="354"/>
      <c r="K742" s="354"/>
      <c r="L742" s="354"/>
      <c r="M742" s="354"/>
      <c r="N742" s="354"/>
      <c r="O742" s="354"/>
      <c r="P742" s="354"/>
      <c r="Q742" s="354"/>
      <c r="R742" s="370"/>
      <c r="S742" s="354"/>
      <c r="T742" s="354"/>
      <c r="U742" s="354"/>
      <c r="V742" s="354"/>
      <c r="W742" s="354"/>
      <c r="X742" s="354"/>
      <c r="Y742" s="354"/>
      <c r="Z742" s="354"/>
      <c r="AA742" s="354"/>
      <c r="AB742" s="354"/>
      <c r="AC742" s="354"/>
      <c r="AD742" s="354"/>
      <c r="AE742" s="354"/>
      <c r="AF742" s="354"/>
      <c r="AG742" s="354"/>
      <c r="AH742" s="354"/>
      <c r="AI742" s="354"/>
      <c r="AJ742" s="354"/>
      <c r="AK742" s="354"/>
      <c r="AL742" s="354"/>
      <c r="AM742" s="354"/>
      <c r="AN742" s="354"/>
      <c r="AO742" s="354"/>
      <c r="AP742" s="354"/>
      <c r="AQ742" s="354"/>
      <c r="AR742" s="354"/>
      <c r="AS742" s="354"/>
      <c r="AT742" s="354"/>
      <c r="AU742" s="354"/>
      <c r="AV742" s="354"/>
      <c r="AW742" s="354"/>
      <c r="AX742" s="354"/>
      <c r="AY742" s="354"/>
      <c r="AZ742" s="354"/>
    </row>
    <row r="743" spans="3:52" x14ac:dyDescent="0.25">
      <c r="C743" s="354"/>
      <c r="D743" s="354"/>
      <c r="E743" s="354"/>
      <c r="F743" s="354"/>
      <c r="G743" s="354"/>
      <c r="H743" s="354"/>
      <c r="I743" s="354"/>
      <c r="J743" s="354"/>
      <c r="K743" s="354"/>
      <c r="L743" s="354"/>
      <c r="M743" s="354"/>
      <c r="N743" s="354"/>
      <c r="O743" s="354"/>
      <c r="P743" s="354"/>
      <c r="Q743" s="354"/>
      <c r="R743" s="370"/>
      <c r="S743" s="354"/>
      <c r="T743" s="354"/>
      <c r="U743" s="354"/>
      <c r="V743" s="354"/>
      <c r="W743" s="354"/>
      <c r="X743" s="354"/>
      <c r="Y743" s="354"/>
      <c r="Z743" s="354"/>
      <c r="AA743" s="354"/>
      <c r="AB743" s="354"/>
      <c r="AC743" s="354"/>
      <c r="AD743" s="354"/>
      <c r="AE743" s="354"/>
      <c r="AF743" s="354"/>
      <c r="AG743" s="354"/>
      <c r="AH743" s="354"/>
      <c r="AI743" s="354"/>
      <c r="AJ743" s="354"/>
      <c r="AK743" s="354"/>
      <c r="AL743" s="354"/>
      <c r="AM743" s="354"/>
      <c r="AN743" s="354"/>
      <c r="AO743" s="354"/>
      <c r="AP743" s="354"/>
      <c r="AQ743" s="354"/>
      <c r="AR743" s="354"/>
      <c r="AS743" s="354"/>
      <c r="AT743" s="354"/>
      <c r="AU743" s="354"/>
      <c r="AV743" s="354"/>
      <c r="AW743" s="354"/>
      <c r="AX743" s="354"/>
      <c r="AY743" s="354"/>
      <c r="AZ743" s="354"/>
    </row>
    <row r="744" spans="3:52" x14ac:dyDescent="0.25">
      <c r="C744" s="354"/>
      <c r="D744" s="354"/>
      <c r="E744" s="354"/>
      <c r="F744" s="354"/>
      <c r="G744" s="354"/>
      <c r="H744" s="354"/>
      <c r="I744" s="354"/>
      <c r="J744" s="354"/>
      <c r="K744" s="354"/>
      <c r="L744" s="354"/>
      <c r="M744" s="354"/>
      <c r="N744" s="354"/>
      <c r="O744" s="354"/>
      <c r="P744" s="354"/>
      <c r="Q744" s="354"/>
      <c r="R744" s="370"/>
      <c r="S744" s="354"/>
      <c r="T744" s="354"/>
      <c r="U744" s="354"/>
      <c r="V744" s="354"/>
      <c r="W744" s="354"/>
      <c r="X744" s="354"/>
      <c r="Y744" s="354"/>
      <c r="Z744" s="354"/>
      <c r="AA744" s="354"/>
      <c r="AB744" s="354"/>
      <c r="AC744" s="354"/>
      <c r="AD744" s="354"/>
      <c r="AE744" s="354"/>
      <c r="AF744" s="354"/>
      <c r="AG744" s="354"/>
      <c r="AH744" s="354"/>
      <c r="AI744" s="354"/>
      <c r="AJ744" s="354"/>
      <c r="AK744" s="354"/>
      <c r="AL744" s="354"/>
      <c r="AM744" s="354"/>
      <c r="AN744" s="354"/>
      <c r="AO744" s="354"/>
      <c r="AP744" s="354"/>
      <c r="AQ744" s="354"/>
      <c r="AR744" s="354"/>
      <c r="AS744" s="354"/>
      <c r="AT744" s="354"/>
      <c r="AU744" s="354"/>
      <c r="AV744" s="354"/>
      <c r="AW744" s="354"/>
      <c r="AX744" s="354"/>
      <c r="AY744" s="354"/>
      <c r="AZ744" s="354"/>
    </row>
    <row r="745" spans="3:52" x14ac:dyDescent="0.25">
      <c r="C745" s="354"/>
      <c r="D745" s="354"/>
      <c r="E745" s="354"/>
      <c r="F745" s="354"/>
      <c r="G745" s="354"/>
      <c r="H745" s="354"/>
      <c r="I745" s="354"/>
      <c r="J745" s="354"/>
      <c r="K745" s="354"/>
      <c r="L745" s="354"/>
      <c r="M745" s="354"/>
      <c r="N745" s="354"/>
      <c r="O745" s="354"/>
      <c r="P745" s="354"/>
      <c r="Q745" s="354"/>
      <c r="R745" s="370"/>
      <c r="S745" s="354"/>
      <c r="T745" s="354"/>
      <c r="U745" s="354"/>
      <c r="V745" s="354"/>
      <c r="W745" s="354"/>
      <c r="X745" s="354"/>
      <c r="Y745" s="354"/>
      <c r="Z745" s="354"/>
      <c r="AA745" s="354"/>
      <c r="AB745" s="354"/>
      <c r="AC745" s="354"/>
      <c r="AD745" s="354"/>
      <c r="AE745" s="354"/>
      <c r="AF745" s="354"/>
      <c r="AG745" s="354"/>
      <c r="AH745" s="354"/>
      <c r="AI745" s="354"/>
      <c r="AJ745" s="354"/>
      <c r="AK745" s="354"/>
      <c r="AL745" s="354"/>
      <c r="AM745" s="354"/>
      <c r="AN745" s="354"/>
      <c r="AO745" s="354"/>
      <c r="AP745" s="354"/>
      <c r="AQ745" s="354"/>
      <c r="AR745" s="354"/>
      <c r="AS745" s="354"/>
      <c r="AT745" s="354"/>
      <c r="AU745" s="354"/>
      <c r="AV745" s="354"/>
      <c r="AW745" s="354"/>
      <c r="AX745" s="354"/>
      <c r="AY745" s="354"/>
      <c r="AZ745" s="354"/>
    </row>
    <row r="746" spans="3:52" x14ac:dyDescent="0.25">
      <c r="C746" s="354"/>
      <c r="D746" s="354"/>
      <c r="E746" s="354"/>
      <c r="F746" s="354"/>
      <c r="G746" s="354"/>
      <c r="H746" s="354"/>
      <c r="I746" s="354"/>
      <c r="J746" s="354"/>
      <c r="K746" s="354"/>
      <c r="L746" s="354"/>
      <c r="M746" s="354"/>
      <c r="N746" s="354"/>
      <c r="O746" s="354"/>
      <c r="P746" s="354"/>
      <c r="Q746" s="354"/>
      <c r="R746" s="370"/>
      <c r="S746" s="354"/>
      <c r="T746" s="354"/>
      <c r="U746" s="354"/>
      <c r="V746" s="354"/>
      <c r="W746" s="354"/>
      <c r="X746" s="354"/>
      <c r="Y746" s="354"/>
      <c r="Z746" s="354"/>
      <c r="AA746" s="354"/>
      <c r="AB746" s="354"/>
      <c r="AC746" s="354"/>
      <c r="AD746" s="354"/>
      <c r="AE746" s="354"/>
      <c r="AF746" s="354"/>
      <c r="AG746" s="354"/>
      <c r="AH746" s="354"/>
      <c r="AI746" s="354"/>
      <c r="AJ746" s="354"/>
      <c r="AK746" s="354"/>
      <c r="AL746" s="354"/>
      <c r="AM746" s="354"/>
      <c r="AN746" s="354"/>
      <c r="AO746" s="354"/>
      <c r="AP746" s="354"/>
      <c r="AQ746" s="354"/>
      <c r="AR746" s="354"/>
      <c r="AS746" s="354"/>
      <c r="AT746" s="354"/>
      <c r="AU746" s="354"/>
      <c r="AV746" s="354"/>
      <c r="AW746" s="354"/>
      <c r="AX746" s="354"/>
      <c r="AY746" s="354"/>
      <c r="AZ746" s="354"/>
    </row>
    <row r="747" spans="3:52" x14ac:dyDescent="0.25">
      <c r="C747" s="354"/>
      <c r="D747" s="354"/>
      <c r="E747" s="354"/>
      <c r="F747" s="354"/>
      <c r="G747" s="354"/>
      <c r="H747" s="354"/>
      <c r="I747" s="354"/>
      <c r="J747" s="354"/>
      <c r="K747" s="354"/>
      <c r="L747" s="354"/>
      <c r="M747" s="354"/>
      <c r="N747" s="354"/>
      <c r="O747" s="354"/>
      <c r="P747" s="354"/>
      <c r="Q747" s="354"/>
      <c r="R747" s="370"/>
      <c r="S747" s="354"/>
      <c r="T747" s="354"/>
      <c r="U747" s="354"/>
      <c r="V747" s="354"/>
      <c r="W747" s="354"/>
      <c r="X747" s="354"/>
      <c r="Y747" s="354"/>
      <c r="Z747" s="354"/>
      <c r="AA747" s="354"/>
      <c r="AB747" s="354"/>
      <c r="AC747" s="354"/>
      <c r="AD747" s="354"/>
      <c r="AE747" s="354"/>
      <c r="AF747" s="354"/>
      <c r="AG747" s="354"/>
      <c r="AH747" s="354"/>
      <c r="AI747" s="354"/>
      <c r="AJ747" s="354"/>
      <c r="AK747" s="354"/>
      <c r="AL747" s="354"/>
      <c r="AM747" s="354"/>
      <c r="AN747" s="354"/>
      <c r="AO747" s="354"/>
      <c r="AP747" s="354"/>
      <c r="AQ747" s="354"/>
      <c r="AR747" s="354"/>
      <c r="AS747" s="354"/>
      <c r="AT747" s="354"/>
      <c r="AU747" s="354"/>
      <c r="AV747" s="354"/>
      <c r="AW747" s="354"/>
      <c r="AX747" s="354"/>
      <c r="AY747" s="354"/>
      <c r="AZ747" s="354"/>
    </row>
    <row r="748" spans="3:52" x14ac:dyDescent="0.25">
      <c r="C748" s="354"/>
      <c r="D748" s="354"/>
      <c r="E748" s="354"/>
      <c r="F748" s="354"/>
      <c r="G748" s="354"/>
      <c r="H748" s="354"/>
      <c r="I748" s="354"/>
      <c r="J748" s="354"/>
      <c r="K748" s="354"/>
      <c r="L748" s="354"/>
      <c r="M748" s="354"/>
      <c r="N748" s="354"/>
      <c r="O748" s="354"/>
      <c r="P748" s="354"/>
      <c r="Q748" s="354"/>
      <c r="R748" s="370"/>
      <c r="S748" s="354"/>
      <c r="T748" s="354"/>
      <c r="U748" s="354"/>
      <c r="V748" s="354"/>
      <c r="W748" s="354"/>
      <c r="X748" s="354"/>
      <c r="Y748" s="354"/>
      <c r="Z748" s="354"/>
      <c r="AA748" s="354"/>
      <c r="AB748" s="354"/>
      <c r="AC748" s="354"/>
      <c r="AD748" s="354"/>
      <c r="AE748" s="354"/>
      <c r="AF748" s="354"/>
      <c r="AG748" s="354"/>
      <c r="AH748" s="354"/>
      <c r="AI748" s="354"/>
      <c r="AJ748" s="354"/>
      <c r="AK748" s="354"/>
      <c r="AL748" s="354"/>
      <c r="AM748" s="354"/>
      <c r="AN748" s="354"/>
      <c r="AO748" s="354"/>
      <c r="AP748" s="354"/>
      <c r="AQ748" s="354"/>
      <c r="AR748" s="354"/>
      <c r="AS748" s="354"/>
      <c r="AT748" s="354"/>
      <c r="AU748" s="354"/>
      <c r="AV748" s="354"/>
      <c r="AW748" s="354"/>
      <c r="AX748" s="354"/>
      <c r="AY748" s="354"/>
      <c r="AZ748" s="354"/>
    </row>
    <row r="749" spans="3:52" x14ac:dyDescent="0.25">
      <c r="C749" s="354"/>
      <c r="D749" s="354"/>
      <c r="E749" s="354"/>
      <c r="F749" s="354"/>
      <c r="G749" s="354"/>
      <c r="H749" s="354"/>
      <c r="I749" s="354"/>
      <c r="J749" s="354"/>
      <c r="K749" s="354"/>
      <c r="L749" s="354"/>
      <c r="M749" s="354"/>
      <c r="N749" s="354"/>
      <c r="O749" s="354"/>
      <c r="P749" s="354"/>
      <c r="Q749" s="354"/>
      <c r="R749" s="370"/>
      <c r="S749" s="354"/>
      <c r="T749" s="354"/>
      <c r="U749" s="354"/>
      <c r="V749" s="354"/>
      <c r="W749" s="354"/>
      <c r="X749" s="354"/>
      <c r="Y749" s="354"/>
      <c r="Z749" s="354"/>
      <c r="AA749" s="354"/>
      <c r="AB749" s="354"/>
      <c r="AC749" s="354"/>
      <c r="AD749" s="354"/>
      <c r="AE749" s="354"/>
      <c r="AF749" s="354"/>
      <c r="AG749" s="354"/>
      <c r="AH749" s="354"/>
      <c r="AI749" s="354"/>
      <c r="AJ749" s="354"/>
      <c r="AK749" s="354"/>
      <c r="AL749" s="354"/>
      <c r="AM749" s="354"/>
      <c r="AN749" s="354"/>
      <c r="AO749" s="354"/>
      <c r="AP749" s="354"/>
      <c r="AQ749" s="354"/>
      <c r="AR749" s="354"/>
      <c r="AS749" s="354"/>
      <c r="AT749" s="354"/>
      <c r="AU749" s="354"/>
      <c r="AV749" s="354"/>
      <c r="AW749" s="354"/>
      <c r="AX749" s="354"/>
      <c r="AY749" s="354"/>
      <c r="AZ749" s="354"/>
    </row>
    <row r="750" spans="3:52" x14ac:dyDescent="0.25">
      <c r="C750" s="354"/>
      <c r="D750" s="354"/>
      <c r="E750" s="354"/>
      <c r="F750" s="354"/>
      <c r="G750" s="354"/>
      <c r="H750" s="354"/>
      <c r="I750" s="354"/>
      <c r="J750" s="354"/>
      <c r="K750" s="354"/>
      <c r="L750" s="354"/>
      <c r="M750" s="354"/>
      <c r="N750" s="354"/>
      <c r="O750" s="354"/>
      <c r="P750" s="354"/>
      <c r="Q750" s="354"/>
      <c r="R750" s="370"/>
      <c r="S750" s="354"/>
      <c r="T750" s="354"/>
      <c r="U750" s="354"/>
      <c r="V750" s="354"/>
      <c r="W750" s="354"/>
      <c r="X750" s="354"/>
      <c r="Y750" s="354"/>
      <c r="Z750" s="354"/>
      <c r="AA750" s="354"/>
      <c r="AB750" s="354"/>
      <c r="AC750" s="354"/>
      <c r="AD750" s="354"/>
      <c r="AE750" s="354"/>
      <c r="AF750" s="354"/>
      <c r="AG750" s="354"/>
      <c r="AH750" s="354"/>
      <c r="AI750" s="354"/>
      <c r="AJ750" s="354"/>
      <c r="AK750" s="354"/>
      <c r="AL750" s="354"/>
      <c r="AM750" s="354"/>
      <c r="AN750" s="354"/>
      <c r="AO750" s="354"/>
      <c r="AP750" s="354"/>
      <c r="AQ750" s="354"/>
      <c r="AR750" s="354"/>
      <c r="AS750" s="354"/>
      <c r="AT750" s="354"/>
      <c r="AU750" s="354"/>
      <c r="AV750" s="354"/>
      <c r="AW750" s="354"/>
      <c r="AX750" s="354"/>
      <c r="AY750" s="354"/>
      <c r="AZ750" s="354"/>
    </row>
    <row r="751" spans="3:52" x14ac:dyDescent="0.25">
      <c r="C751" s="354"/>
      <c r="D751" s="354"/>
      <c r="E751" s="354"/>
      <c r="F751" s="354"/>
      <c r="G751" s="354"/>
      <c r="H751" s="354"/>
      <c r="I751" s="354"/>
      <c r="J751" s="354"/>
      <c r="K751" s="354"/>
      <c r="L751" s="354"/>
      <c r="M751" s="354"/>
      <c r="N751" s="354"/>
      <c r="O751" s="354"/>
      <c r="P751" s="354"/>
      <c r="Q751" s="354"/>
      <c r="R751" s="370"/>
      <c r="S751" s="354"/>
      <c r="T751" s="354"/>
      <c r="U751" s="354"/>
      <c r="V751" s="354"/>
      <c r="W751" s="354"/>
      <c r="X751" s="354"/>
      <c r="Y751" s="354"/>
      <c r="Z751" s="354"/>
      <c r="AA751" s="354"/>
      <c r="AB751" s="354"/>
      <c r="AC751" s="354"/>
      <c r="AD751" s="354"/>
      <c r="AE751" s="354"/>
      <c r="AF751" s="354"/>
      <c r="AG751" s="354"/>
      <c r="AH751" s="354"/>
      <c r="AI751" s="354"/>
      <c r="AJ751" s="354"/>
      <c r="AK751" s="354"/>
      <c r="AL751" s="354"/>
      <c r="AM751" s="354"/>
      <c r="AN751" s="354"/>
      <c r="AO751" s="354"/>
      <c r="AP751" s="354"/>
      <c r="AQ751" s="354"/>
      <c r="AR751" s="354"/>
      <c r="AS751" s="354"/>
      <c r="AT751" s="354"/>
      <c r="AU751" s="354"/>
      <c r="AV751" s="354"/>
      <c r="AW751" s="354"/>
      <c r="AX751" s="354"/>
      <c r="AY751" s="354"/>
      <c r="AZ751" s="354"/>
    </row>
    <row r="752" spans="3:52" x14ac:dyDescent="0.25">
      <c r="C752" s="354"/>
      <c r="D752" s="354"/>
      <c r="E752" s="354"/>
      <c r="F752" s="354"/>
      <c r="G752" s="354"/>
      <c r="H752" s="354"/>
      <c r="I752" s="354"/>
      <c r="J752" s="354"/>
      <c r="K752" s="354"/>
      <c r="L752" s="354"/>
      <c r="M752" s="354"/>
      <c r="N752" s="354"/>
      <c r="O752" s="354"/>
      <c r="P752" s="354"/>
      <c r="Q752" s="354"/>
      <c r="R752" s="370"/>
      <c r="S752" s="354"/>
      <c r="T752" s="354"/>
      <c r="U752" s="354"/>
      <c r="V752" s="354"/>
      <c r="W752" s="354"/>
      <c r="X752" s="354"/>
      <c r="Y752" s="354"/>
      <c r="Z752" s="354"/>
      <c r="AA752" s="354"/>
      <c r="AB752" s="354"/>
      <c r="AC752" s="354"/>
      <c r="AD752" s="354"/>
      <c r="AE752" s="354"/>
      <c r="AF752" s="354"/>
      <c r="AG752" s="354"/>
      <c r="AH752" s="354"/>
      <c r="AI752" s="354"/>
      <c r="AJ752" s="354"/>
      <c r="AK752" s="354"/>
      <c r="AL752" s="354"/>
      <c r="AM752" s="354"/>
      <c r="AN752" s="354"/>
      <c r="AO752" s="354"/>
      <c r="AP752" s="354"/>
      <c r="AQ752" s="354"/>
      <c r="AR752" s="354"/>
      <c r="AS752" s="354"/>
      <c r="AT752" s="354"/>
      <c r="AU752" s="354"/>
      <c r="AV752" s="354"/>
      <c r="AW752" s="354"/>
      <c r="AX752" s="354"/>
      <c r="AY752" s="354"/>
      <c r="AZ752" s="354"/>
    </row>
    <row r="753" spans="3:52" x14ac:dyDescent="0.25">
      <c r="C753" s="354"/>
      <c r="D753" s="354"/>
      <c r="E753" s="354"/>
      <c r="F753" s="354"/>
      <c r="G753" s="354"/>
      <c r="H753" s="354"/>
      <c r="I753" s="354"/>
      <c r="J753" s="354"/>
      <c r="K753" s="354"/>
      <c r="L753" s="354"/>
      <c r="M753" s="354"/>
      <c r="N753" s="354"/>
      <c r="O753" s="354"/>
      <c r="P753" s="354"/>
      <c r="Q753" s="354"/>
      <c r="R753" s="370"/>
      <c r="S753" s="354"/>
      <c r="T753" s="354"/>
      <c r="U753" s="354"/>
      <c r="V753" s="354"/>
      <c r="W753" s="354"/>
      <c r="X753" s="354"/>
      <c r="Y753" s="354"/>
      <c r="Z753" s="354"/>
      <c r="AA753" s="354"/>
      <c r="AB753" s="354"/>
      <c r="AC753" s="354"/>
      <c r="AD753" s="354"/>
      <c r="AE753" s="354"/>
      <c r="AF753" s="354"/>
      <c r="AG753" s="354"/>
      <c r="AH753" s="354"/>
      <c r="AI753" s="354"/>
      <c r="AJ753" s="354"/>
      <c r="AK753" s="354"/>
      <c r="AL753" s="354"/>
      <c r="AM753" s="354"/>
      <c r="AN753" s="354"/>
      <c r="AO753" s="354"/>
      <c r="AP753" s="354"/>
      <c r="AQ753" s="354"/>
      <c r="AR753" s="354"/>
      <c r="AS753" s="354"/>
      <c r="AT753" s="354"/>
      <c r="AU753" s="354"/>
      <c r="AV753" s="354"/>
      <c r="AW753" s="354"/>
      <c r="AX753" s="354"/>
      <c r="AY753" s="354"/>
      <c r="AZ753" s="354"/>
    </row>
    <row r="754" spans="3:52" x14ac:dyDescent="0.25">
      <c r="C754" s="354"/>
      <c r="D754" s="354"/>
      <c r="E754" s="354"/>
      <c r="F754" s="354"/>
      <c r="G754" s="354"/>
      <c r="H754" s="354"/>
      <c r="I754" s="354"/>
      <c r="J754" s="354"/>
      <c r="K754" s="354"/>
      <c r="L754" s="354"/>
      <c r="M754" s="354"/>
      <c r="N754" s="354"/>
      <c r="O754" s="354"/>
      <c r="P754" s="354"/>
      <c r="Q754" s="354"/>
      <c r="R754" s="370"/>
      <c r="S754" s="354"/>
      <c r="T754" s="354"/>
      <c r="U754" s="354"/>
      <c r="V754" s="354"/>
      <c r="W754" s="354"/>
      <c r="X754" s="354"/>
      <c r="Y754" s="354"/>
      <c r="Z754" s="354"/>
      <c r="AA754" s="354"/>
      <c r="AB754" s="354"/>
      <c r="AC754" s="354"/>
      <c r="AD754" s="354"/>
      <c r="AE754" s="354"/>
      <c r="AF754" s="354"/>
      <c r="AG754" s="354"/>
      <c r="AH754" s="354"/>
      <c r="AI754" s="354"/>
      <c r="AJ754" s="354"/>
      <c r="AK754" s="354"/>
      <c r="AL754" s="354"/>
      <c r="AM754" s="354"/>
      <c r="AN754" s="354"/>
      <c r="AO754" s="354"/>
      <c r="AP754" s="354"/>
      <c r="AQ754" s="354"/>
      <c r="AR754" s="354"/>
      <c r="AS754" s="354"/>
      <c r="AT754" s="354"/>
      <c r="AU754" s="354"/>
      <c r="AV754" s="354"/>
      <c r="AW754" s="354"/>
      <c r="AX754" s="354"/>
      <c r="AY754" s="354"/>
      <c r="AZ754" s="354"/>
    </row>
    <row r="755" spans="3:52" x14ac:dyDescent="0.25">
      <c r="C755" s="354"/>
      <c r="D755" s="354"/>
      <c r="E755" s="354"/>
      <c r="F755" s="354"/>
      <c r="G755" s="354"/>
      <c r="H755" s="354"/>
      <c r="I755" s="354"/>
      <c r="J755" s="354"/>
      <c r="K755" s="354"/>
      <c r="L755" s="354"/>
      <c r="M755" s="354"/>
      <c r="N755" s="354"/>
      <c r="O755" s="354"/>
      <c r="P755" s="354"/>
      <c r="Q755" s="354"/>
      <c r="R755" s="370"/>
      <c r="S755" s="354"/>
      <c r="T755" s="354"/>
      <c r="U755" s="354"/>
      <c r="V755" s="354"/>
      <c r="W755" s="354"/>
      <c r="X755" s="354"/>
      <c r="Y755" s="354"/>
      <c r="Z755" s="354"/>
      <c r="AA755" s="354"/>
      <c r="AB755" s="354"/>
      <c r="AC755" s="354"/>
      <c r="AD755" s="354"/>
      <c r="AE755" s="354"/>
      <c r="AF755" s="354"/>
      <c r="AG755" s="354"/>
      <c r="AH755" s="354"/>
      <c r="AI755" s="354"/>
      <c r="AJ755" s="354"/>
      <c r="AK755" s="354"/>
      <c r="AL755" s="354"/>
      <c r="AM755" s="354"/>
      <c r="AN755" s="354"/>
      <c r="AO755" s="354"/>
      <c r="AP755" s="354"/>
      <c r="AQ755" s="354"/>
      <c r="AR755" s="354"/>
      <c r="AS755" s="354"/>
      <c r="AT755" s="354"/>
      <c r="AU755" s="354"/>
      <c r="AV755" s="354"/>
      <c r="AW755" s="354"/>
      <c r="AX755" s="354"/>
      <c r="AY755" s="354"/>
      <c r="AZ755" s="354"/>
    </row>
    <row r="756" spans="3:52" x14ac:dyDescent="0.25">
      <c r="C756" s="354"/>
      <c r="D756" s="354"/>
      <c r="E756" s="354"/>
      <c r="F756" s="354"/>
      <c r="G756" s="354"/>
      <c r="H756" s="354"/>
      <c r="I756" s="354"/>
      <c r="J756" s="354"/>
      <c r="K756" s="354"/>
      <c r="L756" s="354"/>
      <c r="M756" s="354"/>
      <c r="N756" s="354"/>
      <c r="O756" s="354"/>
      <c r="P756" s="354"/>
      <c r="Q756" s="354"/>
      <c r="R756" s="370"/>
      <c r="S756" s="354"/>
      <c r="T756" s="354"/>
      <c r="U756" s="354"/>
      <c r="V756" s="354"/>
      <c r="W756" s="354"/>
      <c r="X756" s="354"/>
      <c r="Y756" s="354"/>
      <c r="Z756" s="354"/>
      <c r="AA756" s="354"/>
      <c r="AB756" s="354"/>
      <c r="AC756" s="354"/>
      <c r="AD756" s="354"/>
      <c r="AE756" s="354"/>
      <c r="AF756" s="354"/>
      <c r="AG756" s="354"/>
      <c r="AH756" s="354"/>
      <c r="AI756" s="354"/>
      <c r="AJ756" s="354"/>
      <c r="AK756" s="354"/>
      <c r="AL756" s="354"/>
      <c r="AM756" s="354"/>
      <c r="AN756" s="354"/>
      <c r="AO756" s="354"/>
      <c r="AP756" s="354"/>
      <c r="AQ756" s="354"/>
      <c r="AR756" s="354"/>
      <c r="AS756" s="354"/>
      <c r="AT756" s="354"/>
      <c r="AU756" s="354"/>
      <c r="AV756" s="354"/>
      <c r="AW756" s="354"/>
      <c r="AX756" s="354"/>
      <c r="AY756" s="354"/>
      <c r="AZ756" s="354"/>
    </row>
    <row r="757" spans="3:52" x14ac:dyDescent="0.25">
      <c r="C757" s="354"/>
      <c r="D757" s="354"/>
      <c r="E757" s="354"/>
      <c r="F757" s="354"/>
      <c r="G757" s="354"/>
      <c r="H757" s="354"/>
      <c r="I757" s="354"/>
      <c r="J757" s="354"/>
      <c r="K757" s="354"/>
      <c r="L757" s="354"/>
      <c r="M757" s="354"/>
      <c r="N757" s="354"/>
      <c r="O757" s="354"/>
      <c r="P757" s="354"/>
      <c r="Q757" s="354"/>
      <c r="R757" s="370"/>
      <c r="S757" s="354"/>
      <c r="T757" s="354"/>
      <c r="U757" s="354"/>
      <c r="V757" s="354"/>
      <c r="W757" s="354"/>
      <c r="X757" s="354"/>
      <c r="Y757" s="354"/>
      <c r="Z757" s="354"/>
      <c r="AA757" s="354"/>
      <c r="AB757" s="354"/>
      <c r="AC757" s="354"/>
      <c r="AD757" s="354"/>
      <c r="AE757" s="354"/>
      <c r="AF757" s="354"/>
      <c r="AG757" s="354"/>
      <c r="AH757" s="354"/>
      <c r="AI757" s="354"/>
      <c r="AJ757" s="354"/>
      <c r="AK757" s="354"/>
      <c r="AL757" s="354"/>
      <c r="AM757" s="354"/>
      <c r="AN757" s="354"/>
      <c r="AO757" s="354"/>
      <c r="AP757" s="354"/>
      <c r="AQ757" s="354"/>
      <c r="AR757" s="354"/>
      <c r="AS757" s="354"/>
      <c r="AT757" s="354"/>
      <c r="AU757" s="354"/>
      <c r="AV757" s="354"/>
      <c r="AW757" s="354"/>
      <c r="AX757" s="354"/>
      <c r="AY757" s="354"/>
      <c r="AZ757" s="354"/>
    </row>
    <row r="758" spans="3:52" x14ac:dyDescent="0.25">
      <c r="C758" s="354"/>
      <c r="D758" s="354"/>
      <c r="E758" s="354"/>
      <c r="F758" s="354"/>
      <c r="G758" s="354"/>
      <c r="H758" s="354"/>
      <c r="I758" s="354"/>
      <c r="J758" s="354"/>
      <c r="K758" s="354"/>
      <c r="L758" s="354"/>
      <c r="M758" s="354"/>
      <c r="N758" s="354"/>
      <c r="O758" s="354"/>
      <c r="P758" s="354"/>
      <c r="Q758" s="354"/>
      <c r="R758" s="370"/>
      <c r="S758" s="354"/>
      <c r="T758" s="354"/>
      <c r="U758" s="354"/>
      <c r="V758" s="354"/>
      <c r="W758" s="354"/>
      <c r="X758" s="354"/>
      <c r="Y758" s="354"/>
      <c r="Z758" s="354"/>
      <c r="AA758" s="354"/>
      <c r="AB758" s="354"/>
      <c r="AC758" s="354"/>
      <c r="AD758" s="354"/>
      <c r="AE758" s="354"/>
      <c r="AF758" s="354"/>
      <c r="AG758" s="354"/>
      <c r="AH758" s="354"/>
      <c r="AI758" s="354"/>
      <c r="AJ758" s="354"/>
      <c r="AK758" s="354"/>
      <c r="AL758" s="354"/>
      <c r="AM758" s="354"/>
      <c r="AN758" s="354"/>
      <c r="AO758" s="354"/>
      <c r="AP758" s="354"/>
      <c r="AQ758" s="354"/>
      <c r="AR758" s="354"/>
      <c r="AS758" s="354"/>
      <c r="AT758" s="354"/>
      <c r="AU758" s="354"/>
      <c r="AV758" s="354"/>
      <c r="AW758" s="354"/>
      <c r="AX758" s="354"/>
      <c r="AY758" s="354"/>
      <c r="AZ758" s="354"/>
    </row>
    <row r="759" spans="3:52" x14ac:dyDescent="0.25">
      <c r="C759" s="354"/>
      <c r="D759" s="354"/>
      <c r="E759" s="354"/>
      <c r="F759" s="354"/>
      <c r="G759" s="354"/>
      <c r="H759" s="354"/>
      <c r="I759" s="354"/>
      <c r="J759" s="354"/>
      <c r="K759" s="354"/>
      <c r="L759" s="354"/>
      <c r="M759" s="354"/>
      <c r="N759" s="354"/>
      <c r="O759" s="354"/>
      <c r="P759" s="354"/>
      <c r="Q759" s="354"/>
      <c r="R759" s="370"/>
      <c r="S759" s="354"/>
      <c r="T759" s="354"/>
      <c r="U759" s="354"/>
      <c r="V759" s="354"/>
      <c r="W759" s="354"/>
      <c r="X759" s="354"/>
      <c r="Y759" s="354"/>
      <c r="Z759" s="354"/>
      <c r="AA759" s="354"/>
      <c r="AB759" s="354"/>
      <c r="AC759" s="354"/>
      <c r="AD759" s="354"/>
      <c r="AE759" s="354"/>
      <c r="AF759" s="354"/>
      <c r="AG759" s="354"/>
      <c r="AH759" s="354"/>
      <c r="AI759" s="354"/>
      <c r="AJ759" s="354"/>
      <c r="AK759" s="354"/>
      <c r="AL759" s="354"/>
      <c r="AM759" s="354"/>
      <c r="AN759" s="354"/>
      <c r="AO759" s="354"/>
      <c r="AP759" s="354"/>
      <c r="AQ759" s="354"/>
      <c r="AR759" s="354"/>
      <c r="AS759" s="354"/>
      <c r="AT759" s="354"/>
      <c r="AU759" s="354"/>
      <c r="AV759" s="354"/>
      <c r="AW759" s="354"/>
      <c r="AX759" s="354"/>
      <c r="AY759" s="354"/>
      <c r="AZ759" s="354"/>
    </row>
    <row r="760" spans="3:52" x14ac:dyDescent="0.25">
      <c r="C760" s="354"/>
      <c r="D760" s="354"/>
      <c r="E760" s="354"/>
      <c r="F760" s="354"/>
      <c r="G760" s="354"/>
      <c r="H760" s="354"/>
      <c r="I760" s="354"/>
      <c r="J760" s="354"/>
      <c r="K760" s="354"/>
      <c r="L760" s="354"/>
      <c r="M760" s="354"/>
      <c r="N760" s="354"/>
      <c r="O760" s="354"/>
      <c r="P760" s="354"/>
      <c r="Q760" s="354"/>
      <c r="R760" s="370"/>
      <c r="S760" s="354"/>
      <c r="T760" s="354"/>
      <c r="U760" s="354"/>
      <c r="V760" s="354"/>
      <c r="W760" s="354"/>
      <c r="X760" s="354"/>
      <c r="Y760" s="354"/>
      <c r="Z760" s="354"/>
      <c r="AA760" s="354"/>
      <c r="AB760" s="354"/>
      <c r="AC760" s="354"/>
      <c r="AD760" s="354"/>
      <c r="AE760" s="354"/>
      <c r="AF760" s="354"/>
      <c r="AG760" s="354"/>
      <c r="AH760" s="354"/>
      <c r="AI760" s="354"/>
      <c r="AJ760" s="354"/>
      <c r="AK760" s="354"/>
      <c r="AL760" s="354"/>
      <c r="AM760" s="354"/>
      <c r="AN760" s="354"/>
      <c r="AO760" s="354"/>
      <c r="AP760" s="354"/>
      <c r="AQ760" s="354"/>
      <c r="AR760" s="354"/>
      <c r="AS760" s="354"/>
      <c r="AT760" s="354"/>
      <c r="AU760" s="354"/>
      <c r="AV760" s="354"/>
      <c r="AW760" s="354"/>
      <c r="AX760" s="354"/>
      <c r="AY760" s="354"/>
      <c r="AZ760" s="354"/>
    </row>
    <row r="761" spans="3:52" x14ac:dyDescent="0.25">
      <c r="C761" s="354"/>
      <c r="D761" s="354"/>
      <c r="E761" s="354"/>
      <c r="F761" s="354"/>
      <c r="G761" s="354"/>
      <c r="H761" s="354"/>
      <c r="I761" s="354"/>
      <c r="J761" s="354"/>
      <c r="K761" s="354"/>
      <c r="L761" s="354"/>
      <c r="M761" s="354"/>
      <c r="N761" s="354"/>
      <c r="O761" s="354"/>
      <c r="P761" s="354"/>
      <c r="Q761" s="354"/>
      <c r="R761" s="370"/>
      <c r="S761" s="354"/>
      <c r="T761" s="354"/>
      <c r="U761" s="354"/>
      <c r="V761" s="354"/>
      <c r="W761" s="354"/>
      <c r="X761" s="354"/>
      <c r="Y761" s="354"/>
      <c r="Z761" s="354"/>
      <c r="AA761" s="354"/>
      <c r="AB761" s="354"/>
      <c r="AC761" s="354"/>
      <c r="AD761" s="354"/>
      <c r="AE761" s="354"/>
      <c r="AF761" s="354"/>
      <c r="AG761" s="354"/>
      <c r="AH761" s="354"/>
      <c r="AI761" s="354"/>
      <c r="AJ761" s="354"/>
      <c r="AK761" s="354"/>
      <c r="AL761" s="354"/>
      <c r="AM761" s="354"/>
      <c r="AN761" s="354"/>
      <c r="AO761" s="354"/>
      <c r="AP761" s="354"/>
      <c r="AQ761" s="354"/>
      <c r="AR761" s="354"/>
      <c r="AS761" s="354"/>
      <c r="AT761" s="354"/>
      <c r="AU761" s="354"/>
      <c r="AV761" s="354"/>
      <c r="AW761" s="354"/>
      <c r="AX761" s="354"/>
      <c r="AY761" s="354"/>
      <c r="AZ761" s="354"/>
    </row>
    <row r="762" spans="3:52" x14ac:dyDescent="0.25">
      <c r="C762" s="354"/>
      <c r="D762" s="354"/>
      <c r="E762" s="354"/>
      <c r="F762" s="354"/>
      <c r="G762" s="354"/>
      <c r="H762" s="354"/>
      <c r="I762" s="354"/>
      <c r="J762" s="354"/>
      <c r="K762" s="354"/>
      <c r="L762" s="354"/>
      <c r="M762" s="354"/>
      <c r="N762" s="354"/>
      <c r="O762" s="354"/>
      <c r="P762" s="354"/>
      <c r="Q762" s="354"/>
      <c r="R762" s="370"/>
      <c r="S762" s="354"/>
      <c r="T762" s="354"/>
      <c r="U762" s="354"/>
      <c r="V762" s="354"/>
      <c r="W762" s="354"/>
      <c r="X762" s="354"/>
      <c r="Y762" s="354"/>
      <c r="Z762" s="354"/>
      <c r="AA762" s="354"/>
      <c r="AB762" s="354"/>
      <c r="AC762" s="354"/>
      <c r="AD762" s="354"/>
      <c r="AE762" s="354"/>
      <c r="AF762" s="354"/>
      <c r="AG762" s="354"/>
      <c r="AH762" s="354"/>
      <c r="AI762" s="354"/>
      <c r="AJ762" s="354"/>
      <c r="AK762" s="354"/>
      <c r="AL762" s="354"/>
      <c r="AM762" s="354"/>
      <c r="AN762" s="354"/>
      <c r="AO762" s="354"/>
      <c r="AP762" s="354"/>
      <c r="AQ762" s="354"/>
      <c r="AR762" s="354"/>
      <c r="AS762" s="354"/>
      <c r="AT762" s="354"/>
      <c r="AU762" s="354"/>
      <c r="AV762" s="354"/>
      <c r="AW762" s="354"/>
      <c r="AX762" s="354"/>
      <c r="AY762" s="354"/>
      <c r="AZ762" s="354"/>
    </row>
    <row r="763" spans="3:52" x14ac:dyDescent="0.25">
      <c r="C763" s="354"/>
      <c r="D763" s="354"/>
      <c r="E763" s="354"/>
      <c r="F763" s="354"/>
      <c r="G763" s="354"/>
      <c r="H763" s="354"/>
      <c r="I763" s="354"/>
      <c r="J763" s="354"/>
      <c r="K763" s="354"/>
      <c r="L763" s="354"/>
      <c r="M763" s="354"/>
      <c r="N763" s="354"/>
      <c r="O763" s="354"/>
      <c r="P763" s="354"/>
      <c r="Q763" s="354"/>
      <c r="R763" s="370"/>
      <c r="S763" s="354"/>
      <c r="T763" s="354"/>
      <c r="U763" s="354"/>
      <c r="V763" s="354"/>
      <c r="W763" s="354"/>
      <c r="X763" s="354"/>
      <c r="Y763" s="354"/>
      <c r="Z763" s="354"/>
      <c r="AA763" s="354"/>
      <c r="AB763" s="354"/>
      <c r="AC763" s="354"/>
      <c r="AD763" s="354"/>
      <c r="AE763" s="354"/>
      <c r="AF763" s="354"/>
      <c r="AG763" s="354"/>
      <c r="AH763" s="354"/>
      <c r="AI763" s="354"/>
      <c r="AJ763" s="354"/>
      <c r="AK763" s="354"/>
      <c r="AL763" s="354"/>
      <c r="AM763" s="354"/>
      <c r="AN763" s="354"/>
      <c r="AO763" s="354"/>
      <c r="AP763" s="354"/>
      <c r="AQ763" s="354"/>
      <c r="AR763" s="354"/>
      <c r="AS763" s="354"/>
      <c r="AT763" s="354"/>
      <c r="AU763" s="354"/>
      <c r="AV763" s="354"/>
      <c r="AW763" s="354"/>
      <c r="AX763" s="354"/>
      <c r="AY763" s="354"/>
      <c r="AZ763" s="354"/>
    </row>
    <row r="764" spans="3:52" x14ac:dyDescent="0.25">
      <c r="C764" s="354"/>
      <c r="D764" s="354"/>
      <c r="E764" s="354"/>
      <c r="F764" s="354"/>
      <c r="G764" s="354"/>
      <c r="H764" s="354"/>
      <c r="I764" s="354"/>
      <c r="J764" s="354"/>
      <c r="K764" s="354"/>
      <c r="L764" s="354"/>
      <c r="M764" s="354"/>
      <c r="N764" s="354"/>
      <c r="O764" s="354"/>
      <c r="P764" s="354"/>
      <c r="Q764" s="354"/>
      <c r="R764" s="370"/>
      <c r="S764" s="354"/>
      <c r="T764" s="354"/>
      <c r="U764" s="354"/>
      <c r="V764" s="354"/>
      <c r="W764" s="354"/>
      <c r="X764" s="354"/>
      <c r="Y764" s="354"/>
      <c r="Z764" s="354"/>
      <c r="AA764" s="354"/>
      <c r="AB764" s="354"/>
      <c r="AC764" s="354"/>
      <c r="AD764" s="354"/>
      <c r="AE764" s="354"/>
      <c r="AF764" s="354"/>
      <c r="AG764" s="354"/>
      <c r="AH764" s="354"/>
      <c r="AI764" s="354"/>
      <c r="AJ764" s="354"/>
      <c r="AK764" s="354"/>
      <c r="AL764" s="354"/>
      <c r="AM764" s="354"/>
      <c r="AN764" s="354"/>
      <c r="AO764" s="354"/>
      <c r="AP764" s="354"/>
      <c r="AQ764" s="354"/>
      <c r="AR764" s="354"/>
      <c r="AS764" s="354"/>
      <c r="AT764" s="354"/>
      <c r="AU764" s="354"/>
      <c r="AV764" s="354"/>
      <c r="AW764" s="354"/>
      <c r="AX764" s="354"/>
      <c r="AY764" s="354"/>
      <c r="AZ764" s="354"/>
    </row>
    <row r="765" spans="3:52" x14ac:dyDescent="0.25">
      <c r="C765" s="354"/>
      <c r="D765" s="354"/>
      <c r="E765" s="354"/>
      <c r="F765" s="354"/>
      <c r="G765" s="354"/>
      <c r="H765" s="354"/>
      <c r="I765" s="354"/>
      <c r="J765" s="354"/>
      <c r="K765" s="354"/>
      <c r="L765" s="354"/>
      <c r="M765" s="354"/>
      <c r="N765" s="354"/>
      <c r="O765" s="354"/>
      <c r="P765" s="354"/>
      <c r="Q765" s="354"/>
      <c r="R765" s="370"/>
      <c r="S765" s="354"/>
      <c r="T765" s="354"/>
      <c r="U765" s="354"/>
      <c r="V765" s="354"/>
      <c r="W765" s="354"/>
      <c r="X765" s="354"/>
      <c r="Y765" s="354"/>
      <c r="Z765" s="354"/>
      <c r="AA765" s="354"/>
      <c r="AB765" s="354"/>
      <c r="AC765" s="354"/>
      <c r="AD765" s="354"/>
      <c r="AE765" s="354"/>
      <c r="AF765" s="354"/>
      <c r="AG765" s="354"/>
      <c r="AH765" s="354"/>
      <c r="AI765" s="354"/>
      <c r="AJ765" s="354"/>
      <c r="AK765" s="354"/>
      <c r="AL765" s="354"/>
      <c r="AM765" s="354"/>
      <c r="AN765" s="354"/>
      <c r="AO765" s="354"/>
      <c r="AP765" s="354"/>
      <c r="AQ765" s="354"/>
      <c r="AR765" s="354"/>
      <c r="AS765" s="354"/>
      <c r="AT765" s="354"/>
      <c r="AU765" s="354"/>
      <c r="AV765" s="354"/>
      <c r="AW765" s="354"/>
      <c r="AX765" s="354"/>
      <c r="AY765" s="354"/>
      <c r="AZ765" s="354"/>
    </row>
    <row r="766" spans="3:52" x14ac:dyDescent="0.25">
      <c r="C766" s="354"/>
      <c r="D766" s="354"/>
      <c r="E766" s="354"/>
      <c r="F766" s="354"/>
      <c r="G766" s="354"/>
      <c r="H766" s="354"/>
      <c r="I766" s="354"/>
      <c r="J766" s="354"/>
      <c r="K766" s="354"/>
      <c r="L766" s="354"/>
      <c r="M766" s="354"/>
      <c r="N766" s="354"/>
      <c r="O766" s="354"/>
      <c r="P766" s="354"/>
      <c r="Q766" s="354"/>
      <c r="R766" s="370"/>
      <c r="S766" s="354"/>
      <c r="T766" s="354"/>
      <c r="U766" s="354"/>
      <c r="V766" s="354"/>
      <c r="W766" s="354"/>
      <c r="X766" s="354"/>
      <c r="Y766" s="354"/>
      <c r="Z766" s="354"/>
      <c r="AA766" s="354"/>
      <c r="AB766" s="354"/>
      <c r="AC766" s="354"/>
      <c r="AD766" s="354"/>
      <c r="AE766" s="354"/>
      <c r="AF766" s="354"/>
      <c r="AG766" s="354"/>
      <c r="AH766" s="354"/>
      <c r="AI766" s="354"/>
      <c r="AJ766" s="354"/>
      <c r="AK766" s="354"/>
      <c r="AL766" s="354"/>
      <c r="AM766" s="354"/>
      <c r="AN766" s="354"/>
      <c r="AO766" s="354"/>
      <c r="AP766" s="354"/>
      <c r="AQ766" s="354"/>
      <c r="AR766" s="354"/>
      <c r="AS766" s="354"/>
      <c r="AT766" s="354"/>
      <c r="AU766" s="354"/>
      <c r="AV766" s="354"/>
      <c r="AW766" s="354"/>
      <c r="AX766" s="354"/>
      <c r="AY766" s="354"/>
      <c r="AZ766" s="354"/>
    </row>
    <row r="767" spans="3:52" x14ac:dyDescent="0.25">
      <c r="C767" s="354"/>
      <c r="D767" s="354"/>
      <c r="E767" s="354"/>
      <c r="F767" s="354"/>
      <c r="G767" s="354"/>
      <c r="H767" s="354"/>
      <c r="I767" s="354"/>
      <c r="J767" s="354"/>
      <c r="K767" s="354"/>
      <c r="L767" s="354"/>
      <c r="M767" s="354"/>
      <c r="N767" s="354"/>
      <c r="O767" s="354"/>
      <c r="P767" s="354"/>
      <c r="Q767" s="354"/>
      <c r="R767" s="370"/>
      <c r="S767" s="354"/>
      <c r="T767" s="354"/>
      <c r="U767" s="354"/>
      <c r="V767" s="354"/>
      <c r="W767" s="354"/>
      <c r="X767" s="354"/>
      <c r="Y767" s="354"/>
      <c r="Z767" s="354"/>
      <c r="AA767" s="354"/>
      <c r="AB767" s="354"/>
      <c r="AC767" s="354"/>
      <c r="AD767" s="354"/>
      <c r="AE767" s="354"/>
      <c r="AF767" s="354"/>
      <c r="AG767" s="354"/>
      <c r="AH767" s="354"/>
      <c r="AI767" s="354"/>
      <c r="AJ767" s="354"/>
      <c r="AK767" s="354"/>
      <c r="AL767" s="354"/>
      <c r="AM767" s="354"/>
      <c r="AN767" s="354"/>
      <c r="AO767" s="354"/>
      <c r="AP767" s="354"/>
      <c r="AQ767" s="354"/>
      <c r="AR767" s="354"/>
      <c r="AS767" s="354"/>
      <c r="AT767" s="354"/>
      <c r="AU767" s="354"/>
      <c r="AV767" s="354"/>
      <c r="AW767" s="354"/>
      <c r="AX767" s="354"/>
      <c r="AY767" s="354"/>
      <c r="AZ767" s="354"/>
    </row>
    <row r="768" spans="3:52" x14ac:dyDescent="0.25">
      <c r="C768" s="354"/>
      <c r="D768" s="354"/>
      <c r="E768" s="354"/>
      <c r="F768" s="354"/>
      <c r="G768" s="354"/>
      <c r="H768" s="354"/>
      <c r="I768" s="354"/>
      <c r="J768" s="354"/>
      <c r="K768" s="354"/>
      <c r="L768" s="354"/>
      <c r="M768" s="354"/>
      <c r="N768" s="354"/>
      <c r="O768" s="354"/>
      <c r="P768" s="354"/>
      <c r="Q768" s="354"/>
      <c r="R768" s="370"/>
      <c r="S768" s="354"/>
      <c r="T768" s="354"/>
      <c r="U768" s="354"/>
      <c r="V768" s="354"/>
      <c r="W768" s="354"/>
      <c r="X768" s="354"/>
      <c r="Y768" s="354"/>
      <c r="Z768" s="354"/>
      <c r="AA768" s="354"/>
      <c r="AB768" s="354"/>
      <c r="AC768" s="354"/>
      <c r="AD768" s="354"/>
      <c r="AE768" s="354"/>
      <c r="AF768" s="354"/>
      <c r="AG768" s="354"/>
      <c r="AH768" s="354"/>
      <c r="AI768" s="354"/>
      <c r="AJ768" s="354"/>
      <c r="AK768" s="354"/>
      <c r="AL768" s="354"/>
      <c r="AM768" s="354"/>
      <c r="AN768" s="354"/>
      <c r="AO768" s="354"/>
      <c r="AP768" s="354"/>
      <c r="AQ768" s="354"/>
      <c r="AR768" s="354"/>
      <c r="AS768" s="354"/>
      <c r="AT768" s="354"/>
      <c r="AU768" s="354"/>
      <c r="AV768" s="354"/>
      <c r="AW768" s="354"/>
      <c r="AX768" s="354"/>
      <c r="AY768" s="354"/>
      <c r="AZ768" s="354"/>
    </row>
    <row r="769" spans="3:52" x14ac:dyDescent="0.25">
      <c r="C769" s="354"/>
      <c r="D769" s="354"/>
      <c r="E769" s="354"/>
      <c r="F769" s="354"/>
      <c r="G769" s="354"/>
      <c r="H769" s="354"/>
      <c r="I769" s="354"/>
      <c r="J769" s="354"/>
      <c r="K769" s="354"/>
      <c r="L769" s="354"/>
      <c r="M769" s="354"/>
      <c r="N769" s="354"/>
      <c r="O769" s="354"/>
      <c r="P769" s="354"/>
      <c r="Q769" s="354"/>
      <c r="R769" s="370"/>
      <c r="S769" s="354"/>
      <c r="T769" s="354"/>
      <c r="U769" s="354"/>
      <c r="V769" s="354"/>
      <c r="W769" s="354"/>
      <c r="X769" s="354"/>
      <c r="Y769" s="354"/>
      <c r="Z769" s="354"/>
      <c r="AA769" s="354"/>
      <c r="AB769" s="354"/>
      <c r="AC769" s="354"/>
      <c r="AD769" s="354"/>
      <c r="AE769" s="354"/>
      <c r="AF769" s="354"/>
      <c r="AG769" s="354"/>
      <c r="AH769" s="354"/>
      <c r="AI769" s="354"/>
      <c r="AJ769" s="354"/>
      <c r="AK769" s="354"/>
      <c r="AL769" s="354"/>
      <c r="AM769" s="354"/>
      <c r="AN769" s="354"/>
      <c r="AO769" s="354"/>
      <c r="AP769" s="354"/>
      <c r="AQ769" s="354"/>
      <c r="AR769" s="354"/>
      <c r="AS769" s="354"/>
      <c r="AT769" s="354"/>
      <c r="AU769" s="354"/>
      <c r="AV769" s="354"/>
      <c r="AW769" s="354"/>
      <c r="AX769" s="354"/>
      <c r="AY769" s="354"/>
      <c r="AZ769" s="354"/>
    </row>
    <row r="770" spans="3:52" x14ac:dyDescent="0.25">
      <c r="C770" s="354"/>
      <c r="D770" s="354"/>
      <c r="E770" s="354"/>
      <c r="F770" s="354"/>
      <c r="G770" s="354"/>
      <c r="H770" s="354"/>
      <c r="I770" s="354"/>
      <c r="J770" s="354"/>
      <c r="K770" s="354"/>
      <c r="L770" s="354"/>
      <c r="M770" s="354"/>
      <c r="N770" s="354"/>
      <c r="O770" s="354"/>
      <c r="P770" s="354"/>
      <c r="Q770" s="354"/>
      <c r="R770" s="370"/>
      <c r="S770" s="354"/>
      <c r="T770" s="354"/>
      <c r="U770" s="354"/>
      <c r="V770" s="354"/>
      <c r="W770" s="354"/>
      <c r="X770" s="354"/>
      <c r="Y770" s="354"/>
      <c r="Z770" s="354"/>
      <c r="AA770" s="354"/>
      <c r="AB770" s="354"/>
      <c r="AC770" s="354"/>
      <c r="AD770" s="354"/>
      <c r="AE770" s="354"/>
      <c r="AF770" s="354"/>
      <c r="AG770" s="354"/>
      <c r="AH770" s="354"/>
      <c r="AI770" s="354"/>
      <c r="AJ770" s="354"/>
      <c r="AK770" s="354"/>
      <c r="AL770" s="354"/>
      <c r="AM770" s="354"/>
      <c r="AN770" s="354"/>
      <c r="AO770" s="354"/>
      <c r="AP770" s="354"/>
      <c r="AQ770" s="354"/>
      <c r="AR770" s="354"/>
      <c r="AS770" s="354"/>
      <c r="AT770" s="354"/>
      <c r="AU770" s="354"/>
      <c r="AV770" s="354"/>
      <c r="AW770" s="354"/>
      <c r="AX770" s="354"/>
      <c r="AY770" s="354"/>
      <c r="AZ770" s="354"/>
    </row>
    <row r="771" spans="3:52" x14ac:dyDescent="0.25">
      <c r="C771" s="354"/>
      <c r="D771" s="354"/>
      <c r="E771" s="354"/>
      <c r="F771" s="354"/>
      <c r="G771" s="354"/>
      <c r="H771" s="354"/>
      <c r="I771" s="354"/>
      <c r="J771" s="354"/>
      <c r="K771" s="354"/>
      <c r="L771" s="354"/>
      <c r="M771" s="354"/>
      <c r="N771" s="354"/>
      <c r="O771" s="354"/>
      <c r="P771" s="354"/>
      <c r="Q771" s="354"/>
      <c r="R771" s="370"/>
      <c r="S771" s="354"/>
      <c r="T771" s="354"/>
      <c r="U771" s="354"/>
      <c r="V771" s="354"/>
      <c r="W771" s="354"/>
      <c r="X771" s="354"/>
      <c r="Y771" s="354"/>
      <c r="Z771" s="354"/>
      <c r="AA771" s="354"/>
      <c r="AB771" s="354"/>
      <c r="AC771" s="354"/>
      <c r="AD771" s="354"/>
      <c r="AE771" s="354"/>
      <c r="AF771" s="354"/>
      <c r="AG771" s="354"/>
      <c r="AH771" s="354"/>
      <c r="AI771" s="354"/>
      <c r="AJ771" s="354"/>
      <c r="AK771" s="354"/>
      <c r="AL771" s="354"/>
      <c r="AM771" s="354"/>
      <c r="AN771" s="354"/>
      <c r="AO771" s="354"/>
      <c r="AP771" s="354"/>
      <c r="AQ771" s="354"/>
      <c r="AR771" s="354"/>
      <c r="AS771" s="354"/>
      <c r="AT771" s="354"/>
      <c r="AU771" s="354"/>
      <c r="AV771" s="354"/>
      <c r="AW771" s="354"/>
      <c r="AX771" s="354"/>
      <c r="AY771" s="354"/>
      <c r="AZ771" s="354"/>
    </row>
    <row r="772" spans="3:52" x14ac:dyDescent="0.25">
      <c r="C772" s="354"/>
      <c r="D772" s="354"/>
      <c r="E772" s="354"/>
      <c r="F772" s="354"/>
      <c r="G772" s="354"/>
      <c r="H772" s="354"/>
      <c r="I772" s="354"/>
      <c r="J772" s="354"/>
      <c r="K772" s="354"/>
      <c r="L772" s="354"/>
      <c r="M772" s="354"/>
      <c r="N772" s="354"/>
      <c r="O772" s="354"/>
      <c r="P772" s="354"/>
      <c r="Q772" s="354"/>
      <c r="R772" s="370"/>
      <c r="S772" s="354"/>
      <c r="T772" s="354"/>
      <c r="U772" s="354"/>
      <c r="V772" s="354"/>
      <c r="W772" s="354"/>
      <c r="X772" s="354"/>
      <c r="Y772" s="354"/>
      <c r="Z772" s="354"/>
      <c r="AA772" s="354"/>
      <c r="AB772" s="354"/>
      <c r="AC772" s="354"/>
      <c r="AD772" s="354"/>
      <c r="AE772" s="354"/>
      <c r="AF772" s="354"/>
      <c r="AG772" s="354"/>
      <c r="AH772" s="354"/>
      <c r="AI772" s="354"/>
      <c r="AJ772" s="354"/>
      <c r="AK772" s="354"/>
      <c r="AL772" s="354"/>
      <c r="AM772" s="354"/>
      <c r="AN772" s="354"/>
      <c r="AO772" s="354"/>
      <c r="AP772" s="354"/>
      <c r="AQ772" s="354"/>
      <c r="AR772" s="354"/>
      <c r="AS772" s="354"/>
      <c r="AT772" s="354"/>
      <c r="AU772" s="354"/>
      <c r="AV772" s="354"/>
      <c r="AW772" s="354"/>
      <c r="AX772" s="354"/>
      <c r="AY772" s="354"/>
      <c r="AZ772" s="354"/>
    </row>
    <row r="773" spans="3:52" x14ac:dyDescent="0.25">
      <c r="C773" s="354"/>
      <c r="D773" s="354"/>
      <c r="E773" s="354"/>
      <c r="F773" s="354"/>
      <c r="G773" s="354"/>
      <c r="H773" s="354"/>
      <c r="I773" s="354"/>
      <c r="J773" s="354"/>
      <c r="K773" s="354"/>
      <c r="L773" s="354"/>
      <c r="M773" s="354"/>
      <c r="N773" s="354"/>
      <c r="O773" s="354"/>
      <c r="P773" s="354"/>
      <c r="Q773" s="354"/>
      <c r="R773" s="370"/>
      <c r="S773" s="354"/>
      <c r="T773" s="354"/>
      <c r="U773" s="354"/>
      <c r="V773" s="354"/>
      <c r="W773" s="354"/>
      <c r="X773" s="354"/>
      <c r="Y773" s="354"/>
      <c r="Z773" s="354"/>
      <c r="AA773" s="354"/>
      <c r="AB773" s="354"/>
      <c r="AC773" s="354"/>
      <c r="AD773" s="354"/>
      <c r="AE773" s="354"/>
      <c r="AF773" s="354"/>
      <c r="AG773" s="354"/>
      <c r="AH773" s="354"/>
      <c r="AI773" s="354"/>
      <c r="AJ773" s="354"/>
      <c r="AK773" s="354"/>
      <c r="AL773" s="354"/>
      <c r="AM773" s="354"/>
      <c r="AN773" s="354"/>
      <c r="AO773" s="354"/>
      <c r="AP773" s="354"/>
      <c r="AQ773" s="354"/>
      <c r="AR773" s="354"/>
      <c r="AS773" s="354"/>
      <c r="AT773" s="354"/>
      <c r="AU773" s="354"/>
      <c r="AV773" s="354"/>
      <c r="AW773" s="354"/>
      <c r="AX773" s="354"/>
      <c r="AY773" s="354"/>
      <c r="AZ773" s="354"/>
    </row>
    <row r="774" spans="3:52" x14ac:dyDescent="0.25">
      <c r="C774" s="354"/>
      <c r="D774" s="354"/>
      <c r="E774" s="354"/>
      <c r="F774" s="354"/>
      <c r="G774" s="354"/>
      <c r="H774" s="354"/>
      <c r="I774" s="354"/>
      <c r="J774" s="354"/>
      <c r="K774" s="354"/>
      <c r="L774" s="354"/>
      <c r="M774" s="354"/>
      <c r="N774" s="354"/>
      <c r="O774" s="354"/>
      <c r="P774" s="354"/>
      <c r="Q774" s="354"/>
      <c r="R774" s="370"/>
      <c r="S774" s="354"/>
      <c r="T774" s="354"/>
      <c r="U774" s="354"/>
      <c r="V774" s="354"/>
      <c r="W774" s="354"/>
      <c r="X774" s="354"/>
      <c r="Y774" s="354"/>
      <c r="Z774" s="354"/>
      <c r="AA774" s="354"/>
      <c r="AB774" s="354"/>
      <c r="AC774" s="354"/>
      <c r="AD774" s="354"/>
      <c r="AE774" s="354"/>
      <c r="AF774" s="354"/>
      <c r="AG774" s="354"/>
      <c r="AH774" s="354"/>
      <c r="AI774" s="354"/>
      <c r="AJ774" s="354"/>
      <c r="AK774" s="354"/>
      <c r="AL774" s="354"/>
      <c r="AM774" s="354"/>
      <c r="AN774" s="354"/>
      <c r="AO774" s="354"/>
      <c r="AP774" s="354"/>
      <c r="AQ774" s="354"/>
      <c r="AR774" s="354"/>
      <c r="AS774" s="354"/>
      <c r="AT774" s="354"/>
      <c r="AU774" s="354"/>
      <c r="AV774" s="354"/>
      <c r="AW774" s="354"/>
      <c r="AX774" s="354"/>
      <c r="AY774" s="354"/>
      <c r="AZ774" s="354"/>
    </row>
    <row r="775" spans="3:52" x14ac:dyDescent="0.25">
      <c r="C775" s="354"/>
      <c r="D775" s="354"/>
      <c r="E775" s="354"/>
      <c r="F775" s="354"/>
      <c r="G775" s="354"/>
      <c r="H775" s="354"/>
      <c r="I775" s="354"/>
      <c r="J775" s="354"/>
      <c r="K775" s="354"/>
      <c r="L775" s="354"/>
      <c r="M775" s="354"/>
      <c r="N775" s="354"/>
      <c r="O775" s="354"/>
      <c r="P775" s="354"/>
      <c r="Q775" s="354"/>
      <c r="R775" s="370"/>
      <c r="S775" s="354"/>
      <c r="T775" s="354"/>
      <c r="U775" s="354"/>
      <c r="V775" s="354"/>
      <c r="W775" s="354"/>
      <c r="X775" s="354"/>
      <c r="Y775" s="354"/>
      <c r="Z775" s="354"/>
      <c r="AA775" s="354"/>
      <c r="AB775" s="354"/>
      <c r="AC775" s="354"/>
      <c r="AD775" s="354"/>
      <c r="AE775" s="354"/>
      <c r="AF775" s="354"/>
      <c r="AG775" s="354"/>
      <c r="AH775" s="354"/>
      <c r="AI775" s="354"/>
      <c r="AJ775" s="354"/>
      <c r="AK775" s="354"/>
      <c r="AL775" s="354"/>
      <c r="AM775" s="354"/>
      <c r="AN775" s="354"/>
      <c r="AO775" s="354"/>
      <c r="AP775" s="354"/>
      <c r="AQ775" s="354"/>
      <c r="AR775" s="354"/>
      <c r="AS775" s="354"/>
      <c r="AT775" s="354"/>
      <c r="AU775" s="354"/>
      <c r="AV775" s="354"/>
      <c r="AW775" s="354"/>
      <c r="AX775" s="354"/>
      <c r="AY775" s="354"/>
      <c r="AZ775" s="354"/>
    </row>
    <row r="776" spans="3:52" x14ac:dyDescent="0.25">
      <c r="C776" s="354"/>
      <c r="D776" s="354"/>
      <c r="E776" s="354"/>
      <c r="F776" s="354"/>
      <c r="G776" s="354"/>
      <c r="H776" s="354"/>
      <c r="I776" s="354"/>
      <c r="J776" s="354"/>
      <c r="K776" s="354"/>
      <c r="L776" s="354"/>
      <c r="M776" s="354"/>
      <c r="N776" s="354"/>
      <c r="O776" s="354"/>
      <c r="P776" s="354"/>
      <c r="Q776" s="354"/>
      <c r="R776" s="370"/>
      <c r="S776" s="354"/>
      <c r="T776" s="354"/>
      <c r="U776" s="354"/>
      <c r="V776" s="354"/>
      <c r="W776" s="354"/>
      <c r="X776" s="354"/>
      <c r="Y776" s="354"/>
      <c r="Z776" s="354"/>
      <c r="AA776" s="354"/>
      <c r="AB776" s="354"/>
      <c r="AC776" s="354"/>
      <c r="AD776" s="354"/>
      <c r="AE776" s="354"/>
      <c r="AF776" s="354"/>
      <c r="AG776" s="354"/>
      <c r="AH776" s="354"/>
      <c r="AI776" s="354"/>
      <c r="AJ776" s="354"/>
      <c r="AK776" s="354"/>
      <c r="AL776" s="354"/>
      <c r="AM776" s="354"/>
      <c r="AN776" s="354"/>
      <c r="AO776" s="354"/>
      <c r="AP776" s="354"/>
      <c r="AQ776" s="354"/>
      <c r="AR776" s="354"/>
      <c r="AS776" s="354"/>
      <c r="AT776" s="354"/>
      <c r="AU776" s="354"/>
      <c r="AV776" s="354"/>
      <c r="AW776" s="354"/>
      <c r="AX776" s="354"/>
      <c r="AY776" s="354"/>
      <c r="AZ776" s="354"/>
    </row>
    <row r="777" spans="3:52" x14ac:dyDescent="0.25">
      <c r="C777" s="354"/>
      <c r="D777" s="354"/>
      <c r="E777" s="354"/>
      <c r="F777" s="354"/>
      <c r="G777" s="354"/>
      <c r="H777" s="354"/>
      <c r="I777" s="354"/>
      <c r="J777" s="354"/>
      <c r="K777" s="354"/>
      <c r="L777" s="354"/>
      <c r="M777" s="354"/>
      <c r="N777" s="354"/>
      <c r="O777" s="354"/>
      <c r="P777" s="354"/>
      <c r="Q777" s="354"/>
      <c r="R777" s="370"/>
      <c r="S777" s="354"/>
      <c r="T777" s="354"/>
      <c r="U777" s="354"/>
      <c r="V777" s="354"/>
      <c r="W777" s="354"/>
      <c r="X777" s="354"/>
      <c r="Y777" s="354"/>
      <c r="Z777" s="354"/>
      <c r="AA777" s="354"/>
      <c r="AB777" s="354"/>
      <c r="AC777" s="354"/>
      <c r="AD777" s="354"/>
      <c r="AE777" s="354"/>
      <c r="AF777" s="354"/>
      <c r="AG777" s="354"/>
      <c r="AH777" s="354"/>
      <c r="AI777" s="354"/>
      <c r="AJ777" s="354"/>
      <c r="AK777" s="354"/>
      <c r="AL777" s="354"/>
      <c r="AM777" s="354"/>
      <c r="AN777" s="354"/>
      <c r="AO777" s="354"/>
      <c r="AP777" s="354"/>
      <c r="AQ777" s="354"/>
      <c r="AR777" s="354"/>
      <c r="AS777" s="354"/>
      <c r="AT777" s="354"/>
      <c r="AU777" s="354"/>
      <c r="AV777" s="354"/>
      <c r="AW777" s="354"/>
      <c r="AX777" s="354"/>
      <c r="AY777" s="354"/>
      <c r="AZ777" s="354"/>
    </row>
    <row r="778" spans="3:52" x14ac:dyDescent="0.25">
      <c r="C778" s="354"/>
      <c r="D778" s="354"/>
      <c r="E778" s="354"/>
      <c r="F778" s="354"/>
      <c r="G778" s="354"/>
      <c r="H778" s="354"/>
      <c r="I778" s="354"/>
      <c r="J778" s="354"/>
      <c r="K778" s="354"/>
      <c r="L778" s="354"/>
      <c r="M778" s="354"/>
      <c r="N778" s="354"/>
      <c r="O778" s="354"/>
      <c r="P778" s="354"/>
      <c r="Q778" s="354"/>
      <c r="R778" s="370"/>
      <c r="S778" s="354"/>
      <c r="T778" s="354"/>
      <c r="U778" s="354"/>
      <c r="V778" s="354"/>
      <c r="W778" s="354"/>
      <c r="X778" s="354"/>
      <c r="Y778" s="354"/>
      <c r="Z778" s="354"/>
      <c r="AA778" s="354"/>
      <c r="AB778" s="354"/>
      <c r="AC778" s="354"/>
      <c r="AD778" s="354"/>
      <c r="AE778" s="354"/>
      <c r="AF778" s="354"/>
      <c r="AG778" s="354"/>
      <c r="AH778" s="354"/>
      <c r="AI778" s="354"/>
      <c r="AJ778" s="354"/>
      <c r="AK778" s="354"/>
      <c r="AL778" s="354"/>
      <c r="AM778" s="354"/>
      <c r="AN778" s="354"/>
      <c r="AO778" s="354"/>
      <c r="AP778" s="354"/>
      <c r="AQ778" s="354"/>
      <c r="AR778" s="354"/>
      <c r="AS778" s="354"/>
      <c r="AT778" s="354"/>
      <c r="AU778" s="354"/>
      <c r="AV778" s="354"/>
      <c r="AW778" s="354"/>
      <c r="AX778" s="354"/>
      <c r="AY778" s="354"/>
      <c r="AZ778" s="354"/>
    </row>
    <row r="779" spans="3:52" x14ac:dyDescent="0.25">
      <c r="C779" s="354"/>
      <c r="D779" s="354"/>
      <c r="E779" s="354"/>
      <c r="F779" s="354"/>
      <c r="G779" s="354"/>
      <c r="H779" s="354"/>
      <c r="I779" s="354"/>
      <c r="J779" s="354"/>
      <c r="K779" s="354"/>
      <c r="L779" s="354"/>
      <c r="M779" s="354"/>
      <c r="N779" s="354"/>
      <c r="O779" s="354"/>
      <c r="P779" s="354"/>
      <c r="Q779" s="354"/>
      <c r="R779" s="370"/>
      <c r="S779" s="354"/>
      <c r="T779" s="354"/>
      <c r="U779" s="354"/>
      <c r="V779" s="354"/>
      <c r="W779" s="354"/>
      <c r="X779" s="354"/>
      <c r="Y779" s="354"/>
      <c r="Z779" s="354"/>
      <c r="AA779" s="354"/>
      <c r="AB779" s="354"/>
      <c r="AC779" s="354"/>
      <c r="AD779" s="354"/>
      <c r="AE779" s="354"/>
      <c r="AF779" s="354"/>
      <c r="AG779" s="354"/>
      <c r="AH779" s="354"/>
      <c r="AI779" s="354"/>
      <c r="AJ779" s="354"/>
      <c r="AK779" s="354"/>
      <c r="AL779" s="354"/>
      <c r="AM779" s="354"/>
      <c r="AN779" s="354"/>
      <c r="AO779" s="354"/>
      <c r="AP779" s="354"/>
      <c r="AQ779" s="354"/>
      <c r="AR779" s="354"/>
      <c r="AS779" s="354"/>
      <c r="AT779" s="354"/>
      <c r="AU779" s="354"/>
      <c r="AV779" s="354"/>
      <c r="AW779" s="354"/>
      <c r="AX779" s="354"/>
      <c r="AY779" s="354"/>
      <c r="AZ779" s="354"/>
    </row>
    <row r="780" spans="3:52" x14ac:dyDescent="0.25">
      <c r="C780" s="354"/>
      <c r="D780" s="354"/>
      <c r="E780" s="354"/>
      <c r="F780" s="354"/>
      <c r="G780" s="354"/>
      <c r="H780" s="354"/>
      <c r="I780" s="354"/>
      <c r="J780" s="354"/>
      <c r="K780" s="354"/>
      <c r="L780" s="354"/>
      <c r="M780" s="354"/>
      <c r="N780" s="354"/>
      <c r="O780" s="354"/>
      <c r="P780" s="354"/>
      <c r="Q780" s="354"/>
      <c r="R780" s="370"/>
      <c r="S780" s="354"/>
      <c r="T780" s="354"/>
      <c r="U780" s="354"/>
      <c r="V780" s="354"/>
      <c r="W780" s="354"/>
      <c r="X780" s="354"/>
      <c r="Y780" s="354"/>
      <c r="Z780" s="354"/>
      <c r="AA780" s="354"/>
      <c r="AB780" s="354"/>
      <c r="AC780" s="354"/>
      <c r="AD780" s="354"/>
      <c r="AE780" s="354"/>
      <c r="AF780" s="354"/>
      <c r="AG780" s="354"/>
      <c r="AH780" s="354"/>
      <c r="AI780" s="354"/>
      <c r="AJ780" s="354"/>
      <c r="AK780" s="354"/>
      <c r="AL780" s="354"/>
      <c r="AM780" s="354"/>
      <c r="AN780" s="354"/>
      <c r="AO780" s="354"/>
      <c r="AP780" s="354"/>
      <c r="AQ780" s="354"/>
      <c r="AR780" s="354"/>
      <c r="AS780" s="354"/>
      <c r="AT780" s="354"/>
      <c r="AU780" s="354"/>
      <c r="AV780" s="354"/>
      <c r="AW780" s="354"/>
      <c r="AX780" s="354"/>
      <c r="AY780" s="354"/>
      <c r="AZ780" s="354"/>
    </row>
    <row r="781" spans="3:52" x14ac:dyDescent="0.25">
      <c r="C781" s="354"/>
      <c r="D781" s="354"/>
      <c r="E781" s="354"/>
      <c r="F781" s="354"/>
      <c r="G781" s="354"/>
      <c r="H781" s="354"/>
      <c r="I781" s="354"/>
      <c r="J781" s="354"/>
      <c r="K781" s="354"/>
      <c r="L781" s="354"/>
      <c r="M781" s="354"/>
      <c r="N781" s="354"/>
      <c r="O781" s="354"/>
      <c r="P781" s="354"/>
      <c r="Q781" s="354"/>
      <c r="R781" s="370"/>
      <c r="S781" s="354"/>
      <c r="T781" s="354"/>
      <c r="U781" s="354"/>
      <c r="V781" s="354"/>
      <c r="W781" s="354"/>
      <c r="X781" s="354"/>
      <c r="Y781" s="354"/>
      <c r="Z781" s="354"/>
      <c r="AA781" s="354"/>
      <c r="AB781" s="354"/>
      <c r="AC781" s="354"/>
      <c r="AD781" s="354"/>
      <c r="AE781" s="354"/>
      <c r="AF781" s="354"/>
      <c r="AG781" s="354"/>
      <c r="AH781" s="354"/>
      <c r="AI781" s="354"/>
      <c r="AJ781" s="354"/>
      <c r="AK781" s="354"/>
      <c r="AL781" s="354"/>
      <c r="AM781" s="354"/>
      <c r="AN781" s="354"/>
      <c r="AO781" s="354"/>
      <c r="AP781" s="354"/>
      <c r="AQ781" s="354"/>
      <c r="AR781" s="354"/>
      <c r="AS781" s="354"/>
      <c r="AT781" s="354"/>
      <c r="AU781" s="354"/>
      <c r="AV781" s="354"/>
      <c r="AW781" s="354"/>
      <c r="AX781" s="354"/>
      <c r="AY781" s="354"/>
      <c r="AZ781" s="354"/>
    </row>
    <row r="782" spans="3:52" x14ac:dyDescent="0.25">
      <c r="C782" s="354"/>
      <c r="D782" s="354"/>
      <c r="E782" s="354"/>
      <c r="F782" s="354"/>
      <c r="G782" s="354"/>
      <c r="H782" s="354"/>
      <c r="I782" s="354"/>
      <c r="J782" s="354"/>
      <c r="K782" s="354"/>
      <c r="L782" s="354"/>
      <c r="M782" s="354"/>
      <c r="N782" s="354"/>
      <c r="O782" s="354"/>
      <c r="P782" s="354"/>
      <c r="Q782" s="354"/>
      <c r="R782" s="370"/>
      <c r="S782" s="354"/>
      <c r="T782" s="354"/>
      <c r="U782" s="354"/>
      <c r="V782" s="354"/>
      <c r="W782" s="354"/>
      <c r="X782" s="354"/>
      <c r="Y782" s="354"/>
      <c r="Z782" s="354"/>
      <c r="AA782" s="354"/>
      <c r="AB782" s="354"/>
      <c r="AC782" s="354"/>
      <c r="AD782" s="354"/>
      <c r="AE782" s="354"/>
      <c r="AF782" s="354"/>
      <c r="AG782" s="354"/>
      <c r="AH782" s="354"/>
      <c r="AI782" s="354"/>
      <c r="AJ782" s="354"/>
      <c r="AK782" s="354"/>
      <c r="AL782" s="354"/>
      <c r="AM782" s="354"/>
      <c r="AN782" s="354"/>
      <c r="AO782" s="354"/>
      <c r="AP782" s="354"/>
      <c r="AQ782" s="354"/>
      <c r="AR782" s="354"/>
      <c r="AS782" s="354"/>
      <c r="AT782" s="354"/>
      <c r="AU782" s="354"/>
      <c r="AV782" s="354"/>
      <c r="AW782" s="354"/>
      <c r="AX782" s="354"/>
      <c r="AY782" s="354"/>
      <c r="AZ782" s="354"/>
    </row>
    <row r="783" spans="3:52" x14ac:dyDescent="0.25">
      <c r="C783" s="354"/>
      <c r="D783" s="354"/>
      <c r="E783" s="354"/>
      <c r="F783" s="354"/>
      <c r="G783" s="354"/>
      <c r="H783" s="354"/>
      <c r="I783" s="354"/>
      <c r="J783" s="354"/>
      <c r="K783" s="354"/>
      <c r="L783" s="354"/>
      <c r="M783" s="354"/>
      <c r="N783" s="354"/>
      <c r="O783" s="354"/>
      <c r="P783" s="354"/>
      <c r="Q783" s="354"/>
      <c r="R783" s="370"/>
      <c r="S783" s="354"/>
      <c r="T783" s="354"/>
      <c r="U783" s="354"/>
      <c r="V783" s="354"/>
      <c r="W783" s="354"/>
      <c r="X783" s="354"/>
      <c r="Y783" s="354"/>
      <c r="Z783" s="354"/>
      <c r="AA783" s="354"/>
      <c r="AB783" s="354"/>
      <c r="AC783" s="354"/>
      <c r="AD783" s="354"/>
      <c r="AE783" s="354"/>
      <c r="AF783" s="354"/>
      <c r="AG783" s="354"/>
      <c r="AH783" s="354"/>
      <c r="AI783" s="354"/>
      <c r="AJ783" s="354"/>
      <c r="AK783" s="354"/>
      <c r="AL783" s="354"/>
      <c r="AM783" s="354"/>
      <c r="AN783" s="354"/>
      <c r="AO783" s="354"/>
      <c r="AP783" s="354"/>
      <c r="AQ783" s="354"/>
      <c r="AR783" s="354"/>
      <c r="AS783" s="354"/>
      <c r="AT783" s="354"/>
      <c r="AU783" s="354"/>
      <c r="AV783" s="354"/>
      <c r="AW783" s="354"/>
      <c r="AX783" s="354"/>
      <c r="AY783" s="354"/>
      <c r="AZ783" s="354"/>
    </row>
    <row r="784" spans="3:52" x14ac:dyDescent="0.25">
      <c r="C784" s="354"/>
      <c r="D784" s="354"/>
      <c r="E784" s="354"/>
      <c r="F784" s="354"/>
      <c r="G784" s="354"/>
      <c r="H784" s="354"/>
      <c r="I784" s="354"/>
      <c r="J784" s="354"/>
      <c r="K784" s="354"/>
      <c r="L784" s="354"/>
      <c r="M784" s="354"/>
      <c r="N784" s="354"/>
      <c r="O784" s="354"/>
      <c r="P784" s="354"/>
      <c r="Q784" s="354"/>
      <c r="R784" s="370"/>
      <c r="S784" s="354"/>
      <c r="T784" s="354"/>
      <c r="U784" s="354"/>
      <c r="V784" s="354"/>
      <c r="W784" s="354"/>
      <c r="X784" s="354"/>
      <c r="Y784" s="354"/>
      <c r="Z784" s="354"/>
      <c r="AA784" s="354"/>
      <c r="AB784" s="354"/>
      <c r="AC784" s="354"/>
      <c r="AD784" s="354"/>
      <c r="AE784" s="354"/>
      <c r="AF784" s="354"/>
      <c r="AG784" s="354"/>
      <c r="AH784" s="354"/>
      <c r="AI784" s="354"/>
      <c r="AJ784" s="354"/>
      <c r="AK784" s="354"/>
      <c r="AL784" s="354"/>
      <c r="AM784" s="354"/>
      <c r="AN784" s="354"/>
      <c r="AO784" s="354"/>
      <c r="AP784" s="354"/>
      <c r="AQ784" s="354"/>
      <c r="AR784" s="354"/>
      <c r="AS784" s="354"/>
      <c r="AT784" s="354"/>
      <c r="AU784" s="354"/>
      <c r="AV784" s="354"/>
      <c r="AW784" s="354"/>
      <c r="AX784" s="354"/>
      <c r="AY784" s="354"/>
      <c r="AZ784" s="354"/>
    </row>
    <row r="785" spans="3:52" x14ac:dyDescent="0.25">
      <c r="C785" s="354"/>
      <c r="D785" s="354"/>
      <c r="E785" s="354"/>
      <c r="F785" s="354"/>
      <c r="G785" s="354"/>
      <c r="H785" s="354"/>
      <c r="I785" s="354"/>
      <c r="J785" s="354"/>
      <c r="K785" s="354"/>
      <c r="L785" s="354"/>
      <c r="M785" s="354"/>
      <c r="N785" s="354"/>
      <c r="O785" s="354"/>
      <c r="P785" s="354"/>
      <c r="Q785" s="354"/>
      <c r="R785" s="370"/>
      <c r="S785" s="354"/>
      <c r="T785" s="354"/>
      <c r="U785" s="354"/>
      <c r="V785" s="354"/>
      <c r="W785" s="354"/>
      <c r="X785" s="354"/>
      <c r="Y785" s="354"/>
      <c r="Z785" s="354"/>
      <c r="AA785" s="354"/>
      <c r="AB785" s="354"/>
      <c r="AC785" s="354"/>
      <c r="AD785" s="354"/>
      <c r="AE785" s="354"/>
      <c r="AF785" s="354"/>
      <c r="AG785" s="354"/>
      <c r="AH785" s="354"/>
      <c r="AI785" s="354"/>
      <c r="AJ785" s="354"/>
      <c r="AK785" s="354"/>
      <c r="AL785" s="354"/>
      <c r="AM785" s="354"/>
      <c r="AN785" s="354"/>
      <c r="AO785" s="354"/>
      <c r="AP785" s="354"/>
      <c r="AQ785" s="354"/>
      <c r="AR785" s="354"/>
      <c r="AS785" s="354"/>
      <c r="AT785" s="354"/>
      <c r="AU785" s="354"/>
      <c r="AV785" s="354"/>
      <c r="AW785" s="354"/>
      <c r="AX785" s="354"/>
      <c r="AY785" s="354"/>
      <c r="AZ785" s="354"/>
    </row>
    <row r="786" spans="3:52" x14ac:dyDescent="0.25">
      <c r="C786" s="354"/>
      <c r="D786" s="354"/>
      <c r="E786" s="354"/>
      <c r="F786" s="354"/>
      <c r="G786" s="354"/>
      <c r="H786" s="354"/>
      <c r="I786" s="354"/>
      <c r="J786" s="354"/>
      <c r="K786" s="354"/>
      <c r="L786" s="354"/>
      <c r="M786" s="354"/>
      <c r="N786" s="354"/>
      <c r="O786" s="354"/>
      <c r="P786" s="354"/>
      <c r="Q786" s="354"/>
      <c r="R786" s="370"/>
      <c r="S786" s="354"/>
      <c r="T786" s="354"/>
      <c r="U786" s="354"/>
      <c r="V786" s="354"/>
      <c r="W786" s="354"/>
      <c r="X786" s="354"/>
      <c r="Y786" s="354"/>
      <c r="Z786" s="354"/>
      <c r="AA786" s="354"/>
      <c r="AB786" s="354"/>
      <c r="AC786" s="354"/>
      <c r="AD786" s="354"/>
      <c r="AE786" s="354"/>
      <c r="AF786" s="354"/>
      <c r="AG786" s="354"/>
      <c r="AH786" s="354"/>
      <c r="AI786" s="354"/>
      <c r="AJ786" s="354"/>
      <c r="AK786" s="354"/>
      <c r="AL786" s="354"/>
      <c r="AM786" s="354"/>
      <c r="AN786" s="354"/>
      <c r="AO786" s="354"/>
      <c r="AP786" s="354"/>
      <c r="AQ786" s="354"/>
      <c r="AR786" s="354"/>
      <c r="AS786" s="354"/>
      <c r="AT786" s="354"/>
      <c r="AU786" s="354"/>
      <c r="AV786" s="354"/>
      <c r="AW786" s="354"/>
      <c r="AX786" s="354"/>
      <c r="AY786" s="354"/>
      <c r="AZ786" s="354"/>
    </row>
    <row r="787" spans="3:52" x14ac:dyDescent="0.25">
      <c r="C787" s="354"/>
      <c r="D787" s="354"/>
      <c r="E787" s="354"/>
      <c r="F787" s="354"/>
      <c r="G787" s="354"/>
      <c r="H787" s="354"/>
      <c r="I787" s="354"/>
      <c r="J787" s="354"/>
      <c r="K787" s="354"/>
      <c r="L787" s="354"/>
      <c r="M787" s="354"/>
      <c r="N787" s="354"/>
      <c r="O787" s="354"/>
      <c r="P787" s="354"/>
      <c r="Q787" s="354"/>
      <c r="R787" s="370"/>
      <c r="S787" s="354"/>
      <c r="T787" s="354"/>
      <c r="U787" s="354"/>
      <c r="V787" s="354"/>
      <c r="W787" s="354"/>
      <c r="X787" s="354"/>
      <c r="Y787" s="354"/>
      <c r="Z787" s="354"/>
      <c r="AA787" s="354"/>
      <c r="AB787" s="354"/>
      <c r="AC787" s="354"/>
      <c r="AD787" s="354"/>
      <c r="AE787" s="354"/>
      <c r="AF787" s="354"/>
      <c r="AG787" s="354"/>
      <c r="AH787" s="354"/>
      <c r="AI787" s="354"/>
      <c r="AJ787" s="354"/>
      <c r="AK787" s="354"/>
      <c r="AL787" s="354"/>
      <c r="AM787" s="354"/>
      <c r="AN787" s="354"/>
      <c r="AO787" s="354"/>
      <c r="AP787" s="354"/>
      <c r="AQ787" s="354"/>
      <c r="AR787" s="354"/>
      <c r="AS787" s="354"/>
      <c r="AT787" s="354"/>
      <c r="AU787" s="354"/>
      <c r="AV787" s="354"/>
      <c r="AW787" s="354"/>
      <c r="AX787" s="354"/>
      <c r="AY787" s="354"/>
      <c r="AZ787" s="354"/>
    </row>
    <row r="788" spans="3:52" x14ac:dyDescent="0.25">
      <c r="C788" s="354"/>
      <c r="D788" s="354"/>
      <c r="E788" s="354"/>
      <c r="F788" s="354"/>
      <c r="G788" s="354"/>
      <c r="H788" s="354"/>
      <c r="I788" s="354"/>
      <c r="J788" s="354"/>
      <c r="K788" s="354"/>
      <c r="L788" s="354"/>
      <c r="M788" s="354"/>
      <c r="N788" s="354"/>
      <c r="O788" s="354"/>
      <c r="P788" s="354"/>
      <c r="Q788" s="354"/>
      <c r="R788" s="370"/>
      <c r="S788" s="354"/>
      <c r="T788" s="354"/>
      <c r="U788" s="354"/>
      <c r="V788" s="354"/>
      <c r="W788" s="354"/>
      <c r="X788" s="354"/>
      <c r="Y788" s="354"/>
      <c r="Z788" s="354"/>
      <c r="AA788" s="354"/>
      <c r="AB788" s="354"/>
      <c r="AC788" s="354"/>
      <c r="AD788" s="354"/>
      <c r="AE788" s="354"/>
      <c r="AF788" s="354"/>
      <c r="AG788" s="354"/>
      <c r="AH788" s="354"/>
      <c r="AI788" s="354"/>
      <c r="AJ788" s="354"/>
      <c r="AK788" s="354"/>
      <c r="AL788" s="354"/>
      <c r="AM788" s="354"/>
      <c r="AN788" s="354"/>
      <c r="AO788" s="354"/>
      <c r="AP788" s="354"/>
      <c r="AQ788" s="354"/>
      <c r="AR788" s="354"/>
      <c r="AS788" s="354"/>
      <c r="AT788" s="354"/>
      <c r="AU788" s="354"/>
      <c r="AV788" s="354"/>
      <c r="AW788" s="354"/>
      <c r="AX788" s="354"/>
      <c r="AY788" s="354"/>
      <c r="AZ788" s="354"/>
    </row>
    <row r="789" spans="3:52" x14ac:dyDescent="0.25">
      <c r="C789" s="354"/>
      <c r="D789" s="354"/>
      <c r="E789" s="354"/>
      <c r="F789" s="354"/>
      <c r="G789" s="354"/>
      <c r="H789" s="354"/>
      <c r="I789" s="354"/>
      <c r="J789" s="354"/>
      <c r="K789" s="354"/>
      <c r="L789" s="354"/>
      <c r="M789" s="354"/>
      <c r="N789" s="354"/>
      <c r="O789" s="354"/>
      <c r="P789" s="354"/>
      <c r="Q789" s="354"/>
      <c r="R789" s="370"/>
      <c r="S789" s="354"/>
      <c r="T789" s="354"/>
      <c r="U789" s="354"/>
      <c r="V789" s="354"/>
      <c r="W789" s="354"/>
      <c r="X789" s="354"/>
      <c r="Y789" s="354"/>
      <c r="Z789" s="354"/>
      <c r="AA789" s="354"/>
      <c r="AB789" s="354"/>
      <c r="AC789" s="354"/>
      <c r="AD789" s="354"/>
      <c r="AE789" s="354"/>
      <c r="AF789" s="354"/>
      <c r="AG789" s="354"/>
      <c r="AH789" s="354"/>
      <c r="AI789" s="354"/>
      <c r="AJ789" s="354"/>
      <c r="AK789" s="354"/>
      <c r="AL789" s="354"/>
      <c r="AM789" s="354"/>
      <c r="AN789" s="354"/>
      <c r="AO789" s="354"/>
      <c r="AP789" s="354"/>
      <c r="AQ789" s="354"/>
      <c r="AR789" s="354"/>
      <c r="AS789" s="354"/>
      <c r="AT789" s="354"/>
      <c r="AU789" s="354"/>
      <c r="AV789" s="354"/>
      <c r="AW789" s="354"/>
      <c r="AX789" s="354"/>
      <c r="AY789" s="354"/>
      <c r="AZ789" s="354"/>
    </row>
    <row r="790" spans="3:52" x14ac:dyDescent="0.25">
      <c r="C790" s="354"/>
      <c r="D790" s="354"/>
      <c r="E790" s="354"/>
      <c r="F790" s="354"/>
      <c r="G790" s="354"/>
      <c r="H790" s="354"/>
      <c r="I790" s="354"/>
      <c r="J790" s="354"/>
      <c r="K790" s="354"/>
      <c r="L790" s="354"/>
      <c r="M790" s="354"/>
      <c r="N790" s="354"/>
      <c r="O790" s="354"/>
      <c r="P790" s="354"/>
      <c r="Q790" s="354"/>
      <c r="R790" s="370"/>
      <c r="S790" s="354"/>
      <c r="T790" s="354"/>
      <c r="U790" s="354"/>
      <c r="V790" s="354"/>
      <c r="W790" s="354"/>
      <c r="X790" s="354"/>
      <c r="Y790" s="354"/>
      <c r="Z790" s="354"/>
      <c r="AA790" s="354"/>
      <c r="AB790" s="354"/>
      <c r="AC790" s="354"/>
      <c r="AD790" s="354"/>
      <c r="AE790" s="354"/>
      <c r="AF790" s="354"/>
      <c r="AG790" s="354"/>
      <c r="AH790" s="354"/>
      <c r="AI790" s="354"/>
      <c r="AJ790" s="354"/>
      <c r="AK790" s="354"/>
      <c r="AL790" s="354"/>
      <c r="AM790" s="354"/>
      <c r="AN790" s="354"/>
      <c r="AO790" s="354"/>
      <c r="AP790" s="354"/>
      <c r="AQ790" s="354"/>
      <c r="AR790" s="354"/>
      <c r="AS790" s="354"/>
      <c r="AT790" s="354"/>
      <c r="AU790" s="354"/>
      <c r="AV790" s="354"/>
      <c r="AW790" s="354"/>
      <c r="AX790" s="354"/>
      <c r="AY790" s="354"/>
      <c r="AZ790" s="354"/>
    </row>
    <row r="791" spans="3:52" x14ac:dyDescent="0.25">
      <c r="C791" s="354"/>
      <c r="D791" s="354"/>
      <c r="E791" s="354"/>
      <c r="F791" s="354"/>
      <c r="G791" s="354"/>
      <c r="H791" s="354"/>
      <c r="I791" s="354"/>
      <c r="J791" s="354"/>
      <c r="K791" s="354"/>
      <c r="L791" s="354"/>
      <c r="M791" s="354"/>
      <c r="N791" s="354"/>
      <c r="O791" s="354"/>
      <c r="P791" s="354"/>
      <c r="Q791" s="354"/>
      <c r="R791" s="370"/>
      <c r="S791" s="354"/>
      <c r="T791" s="354"/>
      <c r="U791" s="354"/>
      <c r="V791" s="354"/>
      <c r="W791" s="354"/>
      <c r="X791" s="354"/>
      <c r="Y791" s="354"/>
      <c r="Z791" s="354"/>
      <c r="AA791" s="354"/>
      <c r="AB791" s="354"/>
      <c r="AC791" s="354"/>
      <c r="AD791" s="354"/>
      <c r="AE791" s="354"/>
      <c r="AF791" s="354"/>
      <c r="AG791" s="354"/>
      <c r="AH791" s="354"/>
      <c r="AI791" s="354"/>
      <c r="AJ791" s="354"/>
      <c r="AK791" s="354"/>
      <c r="AL791" s="354"/>
      <c r="AM791" s="354"/>
      <c r="AN791" s="354"/>
      <c r="AO791" s="354"/>
      <c r="AP791" s="354"/>
      <c r="AQ791" s="354"/>
      <c r="AR791" s="354"/>
      <c r="AS791" s="354"/>
      <c r="AT791" s="354"/>
      <c r="AU791" s="354"/>
      <c r="AV791" s="354"/>
      <c r="AW791" s="354"/>
      <c r="AX791" s="354"/>
      <c r="AY791" s="354"/>
      <c r="AZ791" s="354"/>
    </row>
    <row r="792" spans="3:52" x14ac:dyDescent="0.25">
      <c r="C792" s="354"/>
      <c r="D792" s="354"/>
      <c r="E792" s="354"/>
      <c r="F792" s="354"/>
      <c r="G792" s="354"/>
      <c r="H792" s="354"/>
      <c r="I792" s="354"/>
      <c r="J792" s="354"/>
      <c r="K792" s="354"/>
      <c r="L792" s="354"/>
      <c r="M792" s="354"/>
      <c r="N792" s="354"/>
      <c r="O792" s="354"/>
      <c r="P792" s="354"/>
      <c r="Q792" s="354"/>
      <c r="R792" s="370"/>
      <c r="S792" s="354"/>
      <c r="T792" s="354"/>
      <c r="U792" s="354"/>
      <c r="V792" s="354"/>
      <c r="W792" s="354"/>
      <c r="X792" s="354"/>
      <c r="Y792" s="354"/>
      <c r="Z792" s="354"/>
      <c r="AA792" s="354"/>
      <c r="AB792" s="354"/>
      <c r="AC792" s="354"/>
      <c r="AD792" s="354"/>
      <c r="AE792" s="354"/>
      <c r="AF792" s="354"/>
      <c r="AG792" s="354"/>
      <c r="AH792" s="354"/>
      <c r="AI792" s="354"/>
      <c r="AJ792" s="354"/>
      <c r="AK792" s="354"/>
      <c r="AL792" s="354"/>
      <c r="AM792" s="354"/>
      <c r="AN792" s="354"/>
      <c r="AO792" s="354"/>
      <c r="AP792" s="354"/>
      <c r="AQ792" s="354"/>
      <c r="AR792" s="354"/>
      <c r="AS792" s="354"/>
      <c r="AT792" s="354"/>
      <c r="AU792" s="354"/>
      <c r="AV792" s="354"/>
      <c r="AW792" s="354"/>
      <c r="AX792" s="354"/>
      <c r="AY792" s="354"/>
      <c r="AZ792" s="354"/>
    </row>
    <row r="793" spans="3:52" x14ac:dyDescent="0.25">
      <c r="C793" s="354"/>
      <c r="D793" s="354"/>
      <c r="E793" s="354"/>
      <c r="F793" s="354"/>
      <c r="G793" s="354"/>
      <c r="H793" s="354"/>
      <c r="I793" s="354"/>
      <c r="J793" s="354"/>
      <c r="K793" s="354"/>
      <c r="L793" s="354"/>
      <c r="M793" s="354"/>
      <c r="N793" s="354"/>
      <c r="O793" s="354"/>
      <c r="P793" s="354"/>
      <c r="Q793" s="354"/>
      <c r="R793" s="370"/>
      <c r="S793" s="354"/>
      <c r="T793" s="354"/>
      <c r="U793" s="354"/>
      <c r="V793" s="354"/>
      <c r="W793" s="354"/>
      <c r="X793" s="354"/>
      <c r="Y793" s="354"/>
      <c r="Z793" s="354"/>
      <c r="AA793" s="354"/>
      <c r="AB793" s="354"/>
      <c r="AC793" s="354"/>
      <c r="AD793" s="354"/>
      <c r="AE793" s="354"/>
      <c r="AF793" s="354"/>
      <c r="AG793" s="354"/>
      <c r="AH793" s="354"/>
      <c r="AI793" s="354"/>
      <c r="AJ793" s="354"/>
      <c r="AK793" s="354"/>
      <c r="AL793" s="354"/>
      <c r="AM793" s="354"/>
      <c r="AN793" s="354"/>
      <c r="AO793" s="354"/>
      <c r="AP793" s="354"/>
      <c r="AQ793" s="354"/>
      <c r="AR793" s="354"/>
      <c r="AS793" s="354"/>
      <c r="AT793" s="354"/>
      <c r="AU793" s="354"/>
      <c r="AV793" s="354"/>
      <c r="AW793" s="354"/>
      <c r="AX793" s="354"/>
      <c r="AY793" s="354"/>
      <c r="AZ793" s="354"/>
    </row>
    <row r="794" spans="3:52" x14ac:dyDescent="0.25">
      <c r="C794" s="354"/>
      <c r="D794" s="354"/>
      <c r="E794" s="354"/>
      <c r="F794" s="354"/>
      <c r="G794" s="354"/>
      <c r="H794" s="354"/>
      <c r="I794" s="354"/>
      <c r="J794" s="354"/>
      <c r="K794" s="354"/>
      <c r="L794" s="354"/>
      <c r="M794" s="354"/>
      <c r="N794" s="354"/>
      <c r="O794" s="354"/>
      <c r="P794" s="354"/>
      <c r="Q794" s="354"/>
      <c r="R794" s="370"/>
      <c r="S794" s="354"/>
      <c r="T794" s="354"/>
      <c r="U794" s="354"/>
      <c r="V794" s="354"/>
      <c r="W794" s="354"/>
      <c r="X794" s="354"/>
      <c r="Y794" s="354"/>
      <c r="Z794" s="354"/>
      <c r="AA794" s="354"/>
      <c r="AB794" s="354"/>
      <c r="AC794" s="354"/>
      <c r="AD794" s="354"/>
      <c r="AE794" s="354"/>
      <c r="AF794" s="354"/>
      <c r="AG794" s="354"/>
      <c r="AH794" s="354"/>
      <c r="AI794" s="354"/>
      <c r="AJ794" s="354"/>
      <c r="AK794" s="354"/>
      <c r="AL794" s="354"/>
      <c r="AM794" s="354"/>
      <c r="AN794" s="354"/>
      <c r="AO794" s="354"/>
      <c r="AP794" s="354"/>
      <c r="AQ794" s="354"/>
      <c r="AR794" s="354"/>
      <c r="AS794" s="354"/>
      <c r="AT794" s="354"/>
      <c r="AU794" s="354"/>
      <c r="AV794" s="354"/>
      <c r="AW794" s="354"/>
      <c r="AX794" s="354"/>
      <c r="AY794" s="354"/>
      <c r="AZ794" s="354"/>
    </row>
    <row r="795" spans="3:52" x14ac:dyDescent="0.25">
      <c r="C795" s="354"/>
      <c r="D795" s="354"/>
      <c r="E795" s="354"/>
      <c r="F795" s="354"/>
      <c r="G795" s="354"/>
      <c r="H795" s="354"/>
      <c r="I795" s="354"/>
      <c r="J795" s="354"/>
      <c r="K795" s="354"/>
      <c r="L795" s="354"/>
      <c r="M795" s="354"/>
      <c r="N795" s="354"/>
      <c r="O795" s="354"/>
      <c r="P795" s="354"/>
      <c r="Q795" s="354"/>
      <c r="R795" s="370"/>
      <c r="S795" s="354"/>
      <c r="T795" s="354"/>
      <c r="U795" s="354"/>
      <c r="V795" s="354"/>
      <c r="W795" s="354"/>
      <c r="X795" s="354"/>
      <c r="Y795" s="354"/>
      <c r="Z795" s="354"/>
      <c r="AA795" s="354"/>
      <c r="AB795" s="354"/>
      <c r="AC795" s="354"/>
      <c r="AD795" s="354"/>
      <c r="AE795" s="354"/>
      <c r="AF795" s="354"/>
      <c r="AG795" s="354"/>
      <c r="AH795" s="354"/>
      <c r="AI795" s="354"/>
      <c r="AJ795" s="354"/>
      <c r="AK795" s="354"/>
      <c r="AL795" s="354"/>
      <c r="AM795" s="354"/>
      <c r="AN795" s="354"/>
      <c r="AO795" s="354"/>
      <c r="AP795" s="354"/>
      <c r="AQ795" s="354"/>
      <c r="AR795" s="354"/>
      <c r="AS795" s="354"/>
      <c r="AT795" s="354"/>
      <c r="AU795" s="354"/>
      <c r="AV795" s="354"/>
      <c r="AW795" s="354"/>
      <c r="AX795" s="354"/>
      <c r="AY795" s="354"/>
      <c r="AZ795" s="354"/>
    </row>
    <row r="796" spans="3:52" x14ac:dyDescent="0.25">
      <c r="C796" s="354"/>
      <c r="D796" s="354"/>
      <c r="E796" s="354"/>
      <c r="F796" s="354"/>
      <c r="G796" s="354"/>
      <c r="H796" s="354"/>
      <c r="I796" s="354"/>
      <c r="J796" s="354"/>
      <c r="K796" s="354"/>
      <c r="L796" s="354"/>
      <c r="M796" s="354"/>
      <c r="N796" s="354"/>
      <c r="O796" s="354"/>
      <c r="P796" s="354"/>
      <c r="Q796" s="354"/>
      <c r="R796" s="370"/>
      <c r="S796" s="354"/>
      <c r="T796" s="354"/>
      <c r="U796" s="354"/>
      <c r="V796" s="354"/>
      <c r="W796" s="354"/>
      <c r="X796" s="354"/>
      <c r="Y796" s="354"/>
      <c r="Z796" s="354"/>
      <c r="AA796" s="354"/>
      <c r="AB796" s="354"/>
      <c r="AC796" s="354"/>
      <c r="AD796" s="354"/>
      <c r="AE796" s="354"/>
      <c r="AF796" s="354"/>
      <c r="AG796" s="354"/>
      <c r="AH796" s="354"/>
      <c r="AI796" s="354"/>
      <c r="AJ796" s="354"/>
      <c r="AK796" s="354"/>
      <c r="AL796" s="354"/>
      <c r="AM796" s="354"/>
      <c r="AN796" s="354"/>
      <c r="AO796" s="354"/>
      <c r="AP796" s="354"/>
      <c r="AQ796" s="354"/>
      <c r="AR796" s="354"/>
      <c r="AS796" s="354"/>
      <c r="AT796" s="354"/>
      <c r="AU796" s="354"/>
      <c r="AV796" s="354"/>
      <c r="AW796" s="354"/>
      <c r="AX796" s="354"/>
      <c r="AY796" s="354"/>
      <c r="AZ796" s="354"/>
    </row>
    <row r="797" spans="3:52" x14ac:dyDescent="0.25">
      <c r="C797" s="354"/>
      <c r="D797" s="354"/>
      <c r="E797" s="354"/>
      <c r="F797" s="354"/>
      <c r="G797" s="354"/>
      <c r="H797" s="354"/>
      <c r="I797" s="354"/>
      <c r="J797" s="354"/>
      <c r="K797" s="354"/>
      <c r="L797" s="354"/>
      <c r="M797" s="354"/>
      <c r="N797" s="354"/>
      <c r="O797" s="354"/>
      <c r="P797" s="354"/>
      <c r="Q797" s="354"/>
      <c r="R797" s="370"/>
      <c r="S797" s="354"/>
      <c r="T797" s="354"/>
      <c r="U797" s="354"/>
      <c r="V797" s="354"/>
      <c r="W797" s="354"/>
      <c r="X797" s="354"/>
      <c r="Y797" s="354"/>
      <c r="Z797" s="354"/>
      <c r="AA797" s="354"/>
      <c r="AB797" s="354"/>
      <c r="AC797" s="354"/>
      <c r="AD797" s="354"/>
      <c r="AE797" s="354"/>
      <c r="AF797" s="354"/>
      <c r="AG797" s="354"/>
      <c r="AH797" s="354"/>
      <c r="AI797" s="354"/>
      <c r="AJ797" s="354"/>
      <c r="AK797" s="354"/>
      <c r="AL797" s="354"/>
      <c r="AM797" s="354"/>
      <c r="AN797" s="354"/>
      <c r="AO797" s="354"/>
      <c r="AP797" s="354"/>
      <c r="AQ797" s="354"/>
      <c r="AR797" s="354"/>
      <c r="AS797" s="354"/>
      <c r="AT797" s="354"/>
      <c r="AU797" s="354"/>
      <c r="AV797" s="354"/>
      <c r="AW797" s="354"/>
      <c r="AX797" s="354"/>
      <c r="AY797" s="354"/>
      <c r="AZ797" s="354"/>
    </row>
    <row r="798" spans="3:52" x14ac:dyDescent="0.25">
      <c r="C798" s="354"/>
      <c r="D798" s="354"/>
      <c r="E798" s="354"/>
      <c r="F798" s="354"/>
      <c r="G798" s="354"/>
      <c r="H798" s="354"/>
      <c r="I798" s="354"/>
      <c r="J798" s="354"/>
      <c r="K798" s="354"/>
      <c r="L798" s="354"/>
      <c r="M798" s="354"/>
      <c r="N798" s="354"/>
      <c r="O798" s="354"/>
      <c r="P798" s="354"/>
      <c r="Q798" s="354"/>
      <c r="R798" s="370"/>
      <c r="S798" s="354"/>
      <c r="T798" s="354"/>
      <c r="U798" s="354"/>
      <c r="V798" s="354"/>
      <c r="W798" s="354"/>
      <c r="X798" s="354"/>
      <c r="Y798" s="354"/>
      <c r="Z798" s="354"/>
      <c r="AA798" s="354"/>
      <c r="AB798" s="354"/>
      <c r="AC798" s="354"/>
      <c r="AD798" s="354"/>
      <c r="AE798" s="354"/>
      <c r="AF798" s="354"/>
      <c r="AG798" s="354"/>
      <c r="AH798" s="354"/>
      <c r="AI798" s="354"/>
      <c r="AJ798" s="354"/>
      <c r="AK798" s="354"/>
      <c r="AL798" s="354"/>
      <c r="AM798" s="354"/>
      <c r="AN798" s="354"/>
      <c r="AO798" s="354"/>
      <c r="AP798" s="354"/>
      <c r="AQ798" s="354"/>
      <c r="AR798" s="354"/>
      <c r="AS798" s="354"/>
      <c r="AT798" s="354"/>
      <c r="AU798" s="354"/>
      <c r="AV798" s="354"/>
      <c r="AW798" s="354"/>
      <c r="AX798" s="354"/>
      <c r="AY798" s="354"/>
      <c r="AZ798" s="354"/>
    </row>
    <row r="799" spans="3:52" x14ac:dyDescent="0.25">
      <c r="C799" s="354"/>
      <c r="D799" s="354"/>
      <c r="E799" s="354"/>
      <c r="F799" s="354"/>
      <c r="G799" s="354"/>
      <c r="H799" s="354"/>
      <c r="I799" s="354"/>
      <c r="J799" s="354"/>
      <c r="K799" s="354"/>
      <c r="L799" s="354"/>
      <c r="M799" s="354"/>
      <c r="N799" s="354"/>
      <c r="O799" s="354"/>
      <c r="P799" s="354"/>
      <c r="Q799" s="354"/>
      <c r="R799" s="370"/>
      <c r="S799" s="354"/>
      <c r="T799" s="354"/>
      <c r="U799" s="354"/>
      <c r="V799" s="354"/>
      <c r="W799" s="354"/>
      <c r="X799" s="354"/>
      <c r="Y799" s="354"/>
      <c r="Z799" s="354"/>
      <c r="AA799" s="354"/>
      <c r="AB799" s="354"/>
      <c r="AC799" s="354"/>
      <c r="AD799" s="354"/>
      <c r="AE799" s="354"/>
      <c r="AF799" s="354"/>
      <c r="AG799" s="354"/>
      <c r="AH799" s="354"/>
      <c r="AI799" s="354"/>
      <c r="AJ799" s="354"/>
      <c r="AK799" s="354"/>
      <c r="AL799" s="354"/>
      <c r="AM799" s="354"/>
      <c r="AN799" s="354"/>
      <c r="AO799" s="354"/>
      <c r="AP799" s="354"/>
      <c r="AQ799" s="354"/>
      <c r="AR799" s="354"/>
      <c r="AS799" s="354"/>
      <c r="AT799" s="354"/>
      <c r="AU799" s="354"/>
      <c r="AV799" s="354"/>
      <c r="AW799" s="354"/>
      <c r="AX799" s="354"/>
      <c r="AY799" s="354"/>
      <c r="AZ799" s="354"/>
    </row>
    <row r="800" spans="3:52" x14ac:dyDescent="0.25">
      <c r="C800" s="354"/>
      <c r="D800" s="354"/>
      <c r="E800" s="354"/>
      <c r="F800" s="354"/>
      <c r="G800" s="354"/>
      <c r="H800" s="354"/>
      <c r="I800" s="354"/>
      <c r="J800" s="354"/>
      <c r="K800" s="354"/>
      <c r="L800" s="354"/>
      <c r="M800" s="354"/>
      <c r="N800" s="354"/>
      <c r="O800" s="354"/>
      <c r="P800" s="354"/>
      <c r="Q800" s="354"/>
      <c r="R800" s="370"/>
      <c r="S800" s="354"/>
      <c r="T800" s="354"/>
      <c r="U800" s="354"/>
      <c r="V800" s="354"/>
      <c r="W800" s="354"/>
      <c r="X800" s="354"/>
      <c r="Y800" s="354"/>
      <c r="Z800" s="354"/>
      <c r="AA800" s="354"/>
      <c r="AB800" s="354"/>
      <c r="AC800" s="354"/>
      <c r="AD800" s="354"/>
      <c r="AE800" s="354"/>
      <c r="AF800" s="354"/>
      <c r="AG800" s="354"/>
      <c r="AH800" s="354"/>
      <c r="AI800" s="354"/>
      <c r="AJ800" s="354"/>
      <c r="AK800" s="354"/>
      <c r="AL800" s="354"/>
      <c r="AM800" s="354"/>
      <c r="AN800" s="354"/>
      <c r="AO800" s="354"/>
      <c r="AP800" s="354"/>
      <c r="AQ800" s="354"/>
      <c r="AR800" s="354"/>
      <c r="AS800" s="354"/>
      <c r="AT800" s="354"/>
      <c r="AU800" s="354"/>
      <c r="AV800" s="354"/>
      <c r="AW800" s="354"/>
      <c r="AX800" s="354"/>
      <c r="AY800" s="354"/>
      <c r="AZ800" s="354"/>
    </row>
    <row r="801" spans="3:52" x14ac:dyDescent="0.25">
      <c r="C801" s="354"/>
      <c r="D801" s="354"/>
      <c r="E801" s="354"/>
      <c r="F801" s="354"/>
      <c r="G801" s="354"/>
      <c r="H801" s="354"/>
      <c r="I801" s="354"/>
      <c r="J801" s="354"/>
      <c r="K801" s="354"/>
      <c r="L801" s="354"/>
      <c r="M801" s="354"/>
      <c r="N801" s="354"/>
      <c r="O801" s="354"/>
      <c r="P801" s="354"/>
      <c r="Q801" s="354"/>
      <c r="R801" s="370"/>
      <c r="S801" s="354"/>
      <c r="T801" s="354"/>
      <c r="U801" s="354"/>
      <c r="V801" s="354"/>
      <c r="W801" s="354"/>
      <c r="X801" s="354"/>
      <c r="Y801" s="354"/>
      <c r="Z801" s="354"/>
      <c r="AA801" s="354"/>
      <c r="AB801" s="354"/>
      <c r="AC801" s="354"/>
      <c r="AD801" s="354"/>
      <c r="AE801" s="354"/>
      <c r="AF801" s="354"/>
      <c r="AG801" s="354"/>
      <c r="AH801" s="354"/>
      <c r="AI801" s="354"/>
      <c r="AJ801" s="354"/>
      <c r="AK801" s="354"/>
      <c r="AL801" s="354"/>
      <c r="AM801" s="354"/>
      <c r="AN801" s="354"/>
      <c r="AO801" s="354"/>
      <c r="AP801" s="354"/>
      <c r="AQ801" s="354"/>
      <c r="AR801" s="354"/>
      <c r="AS801" s="354"/>
      <c r="AT801" s="354"/>
      <c r="AU801" s="354"/>
      <c r="AV801" s="354"/>
      <c r="AW801" s="354"/>
      <c r="AX801" s="354"/>
      <c r="AY801" s="354"/>
      <c r="AZ801" s="354"/>
    </row>
    <row r="802" spans="3:52" x14ac:dyDescent="0.25">
      <c r="C802" s="354"/>
      <c r="D802" s="354"/>
      <c r="E802" s="354"/>
      <c r="F802" s="354"/>
      <c r="G802" s="354"/>
      <c r="H802" s="354"/>
      <c r="I802" s="354"/>
      <c r="J802" s="354"/>
      <c r="K802" s="354"/>
      <c r="L802" s="354"/>
      <c r="M802" s="354"/>
      <c r="N802" s="354"/>
      <c r="O802" s="354"/>
      <c r="P802" s="354"/>
      <c r="Q802" s="354"/>
      <c r="R802" s="370"/>
      <c r="S802" s="354"/>
      <c r="T802" s="354"/>
      <c r="U802" s="354"/>
      <c r="V802" s="354"/>
      <c r="W802" s="354"/>
      <c r="X802" s="354"/>
      <c r="Y802" s="354"/>
      <c r="Z802" s="354"/>
      <c r="AA802" s="354"/>
      <c r="AB802" s="354"/>
      <c r="AC802" s="354"/>
      <c r="AD802" s="354"/>
      <c r="AE802" s="354"/>
      <c r="AF802" s="354"/>
      <c r="AG802" s="354"/>
      <c r="AH802" s="354"/>
      <c r="AI802" s="354"/>
      <c r="AJ802" s="354"/>
      <c r="AK802" s="354"/>
      <c r="AL802" s="354"/>
      <c r="AM802" s="354"/>
      <c r="AN802" s="354"/>
      <c r="AO802" s="354"/>
      <c r="AP802" s="354"/>
      <c r="AQ802" s="354"/>
      <c r="AR802" s="354"/>
      <c r="AS802" s="354"/>
      <c r="AT802" s="354"/>
      <c r="AU802" s="354"/>
      <c r="AV802" s="354"/>
      <c r="AW802" s="354"/>
      <c r="AX802" s="354"/>
      <c r="AY802" s="354"/>
      <c r="AZ802" s="354"/>
    </row>
    <row r="803" spans="3:52" x14ac:dyDescent="0.25">
      <c r="C803" s="354"/>
      <c r="D803" s="354"/>
      <c r="E803" s="354"/>
      <c r="F803" s="354"/>
      <c r="G803" s="354"/>
      <c r="H803" s="354"/>
      <c r="I803" s="354"/>
      <c r="J803" s="354"/>
      <c r="K803" s="354"/>
      <c r="L803" s="354"/>
      <c r="M803" s="354"/>
      <c r="N803" s="354"/>
      <c r="O803" s="354"/>
      <c r="P803" s="354"/>
      <c r="Q803" s="354"/>
      <c r="R803" s="370"/>
      <c r="S803" s="354"/>
      <c r="T803" s="354"/>
      <c r="U803" s="354"/>
      <c r="V803" s="354"/>
      <c r="W803" s="354"/>
      <c r="X803" s="354"/>
      <c r="Y803" s="354"/>
      <c r="Z803" s="354"/>
      <c r="AA803" s="354"/>
      <c r="AB803" s="354"/>
      <c r="AC803" s="354"/>
      <c r="AD803" s="354"/>
      <c r="AE803" s="354"/>
      <c r="AF803" s="354"/>
      <c r="AG803" s="354"/>
      <c r="AH803" s="354"/>
      <c r="AI803" s="354"/>
      <c r="AJ803" s="354"/>
      <c r="AK803" s="354"/>
      <c r="AL803" s="354"/>
      <c r="AM803" s="354"/>
      <c r="AN803" s="354"/>
      <c r="AO803" s="354"/>
      <c r="AP803" s="354"/>
      <c r="AQ803" s="354"/>
      <c r="AR803" s="354"/>
      <c r="AS803" s="354"/>
      <c r="AT803" s="354"/>
      <c r="AU803" s="354"/>
      <c r="AV803" s="354"/>
      <c r="AW803" s="354"/>
      <c r="AX803" s="354"/>
      <c r="AY803" s="354"/>
      <c r="AZ803" s="354"/>
    </row>
    <row r="804" spans="3:52" x14ac:dyDescent="0.25">
      <c r="C804" s="354"/>
      <c r="D804" s="354"/>
      <c r="E804" s="354"/>
      <c r="F804" s="354"/>
      <c r="G804" s="354"/>
      <c r="H804" s="354"/>
      <c r="I804" s="354"/>
      <c r="J804" s="354"/>
      <c r="K804" s="354"/>
      <c r="L804" s="354"/>
      <c r="M804" s="354"/>
      <c r="N804" s="354"/>
      <c r="O804" s="354"/>
      <c r="P804" s="354"/>
      <c r="Q804" s="354"/>
      <c r="R804" s="370"/>
      <c r="S804" s="354"/>
      <c r="T804" s="354"/>
      <c r="U804" s="354"/>
      <c r="V804" s="354"/>
      <c r="W804" s="354"/>
      <c r="X804" s="354"/>
      <c r="Y804" s="354"/>
      <c r="Z804" s="354"/>
      <c r="AA804" s="354"/>
      <c r="AB804" s="354"/>
      <c r="AC804" s="354"/>
      <c r="AD804" s="354"/>
      <c r="AE804" s="354"/>
      <c r="AF804" s="354"/>
      <c r="AG804" s="354"/>
      <c r="AH804" s="354"/>
      <c r="AI804" s="354"/>
      <c r="AJ804" s="354"/>
      <c r="AK804" s="354"/>
      <c r="AL804" s="354"/>
      <c r="AM804" s="354"/>
      <c r="AN804" s="354"/>
      <c r="AO804" s="354"/>
      <c r="AP804" s="354"/>
      <c r="AQ804" s="354"/>
      <c r="AR804" s="354"/>
      <c r="AS804" s="354"/>
      <c r="AT804" s="354"/>
      <c r="AU804" s="354"/>
      <c r="AV804" s="354"/>
      <c r="AW804" s="354"/>
      <c r="AX804" s="354"/>
      <c r="AY804" s="354"/>
      <c r="AZ804" s="354"/>
    </row>
    <row r="805" spans="3:52" x14ac:dyDescent="0.25">
      <c r="C805" s="354"/>
      <c r="D805" s="354"/>
      <c r="E805" s="354"/>
      <c r="F805" s="354"/>
      <c r="G805" s="354"/>
      <c r="H805" s="354"/>
      <c r="I805" s="354"/>
      <c r="J805" s="354"/>
      <c r="K805" s="354"/>
      <c r="L805" s="354"/>
      <c r="M805" s="354"/>
      <c r="N805" s="354"/>
      <c r="O805" s="354"/>
      <c r="P805" s="354"/>
      <c r="Q805" s="354"/>
      <c r="R805" s="370"/>
      <c r="S805" s="354"/>
      <c r="T805" s="354"/>
      <c r="U805" s="354"/>
      <c r="V805" s="354"/>
      <c r="W805" s="354"/>
      <c r="X805" s="354"/>
      <c r="Y805" s="354"/>
      <c r="Z805" s="354"/>
      <c r="AA805" s="354"/>
      <c r="AB805" s="354"/>
      <c r="AC805" s="354"/>
      <c r="AD805" s="354"/>
      <c r="AE805" s="354"/>
      <c r="AF805" s="354"/>
      <c r="AG805" s="354"/>
      <c r="AH805" s="354"/>
      <c r="AI805" s="354"/>
      <c r="AJ805" s="354"/>
      <c r="AK805" s="354"/>
      <c r="AL805" s="354"/>
      <c r="AM805" s="354"/>
      <c r="AN805" s="354"/>
      <c r="AO805" s="354"/>
      <c r="AP805" s="354"/>
      <c r="AQ805" s="354"/>
      <c r="AR805" s="354"/>
      <c r="AS805" s="354"/>
      <c r="AT805" s="354"/>
      <c r="AU805" s="354"/>
      <c r="AV805" s="354"/>
      <c r="AW805" s="354"/>
      <c r="AX805" s="354"/>
      <c r="AY805" s="354"/>
      <c r="AZ805" s="354"/>
    </row>
    <row r="806" spans="3:52" x14ac:dyDescent="0.25">
      <c r="C806" s="354"/>
      <c r="D806" s="354"/>
      <c r="E806" s="354"/>
      <c r="F806" s="354"/>
      <c r="G806" s="354"/>
      <c r="H806" s="354"/>
      <c r="I806" s="354"/>
      <c r="J806" s="354"/>
      <c r="K806" s="354"/>
      <c r="L806" s="354"/>
      <c r="M806" s="354"/>
      <c r="N806" s="354"/>
      <c r="O806" s="354"/>
      <c r="P806" s="354"/>
      <c r="Q806" s="354"/>
      <c r="R806" s="370"/>
      <c r="S806" s="354"/>
      <c r="T806" s="354"/>
      <c r="U806" s="354"/>
      <c r="V806" s="354"/>
      <c r="W806" s="354"/>
      <c r="X806" s="354"/>
      <c r="Y806" s="354"/>
      <c r="Z806" s="354"/>
      <c r="AA806" s="354"/>
      <c r="AB806" s="354"/>
      <c r="AC806" s="354"/>
      <c r="AD806" s="354"/>
      <c r="AE806" s="354"/>
      <c r="AF806" s="354"/>
      <c r="AG806" s="354"/>
      <c r="AH806" s="354"/>
      <c r="AI806" s="354"/>
      <c r="AJ806" s="354"/>
      <c r="AK806" s="354"/>
      <c r="AL806" s="354"/>
      <c r="AM806" s="354"/>
      <c r="AN806" s="354"/>
      <c r="AO806" s="354"/>
      <c r="AP806" s="354"/>
      <c r="AQ806" s="354"/>
      <c r="AR806" s="354"/>
      <c r="AS806" s="354"/>
      <c r="AT806" s="354"/>
      <c r="AU806" s="354"/>
      <c r="AV806" s="354"/>
      <c r="AW806" s="354"/>
      <c r="AX806" s="354"/>
      <c r="AY806" s="354"/>
      <c r="AZ806" s="354"/>
    </row>
    <row r="807" spans="3:52" x14ac:dyDescent="0.25">
      <c r="C807" s="354"/>
      <c r="D807" s="354"/>
      <c r="E807" s="354"/>
      <c r="F807" s="354"/>
      <c r="G807" s="354"/>
      <c r="H807" s="354"/>
      <c r="I807" s="354"/>
      <c r="J807" s="354"/>
      <c r="K807" s="354"/>
      <c r="L807" s="354"/>
      <c r="M807" s="354"/>
      <c r="N807" s="354"/>
      <c r="O807" s="354"/>
      <c r="P807" s="354"/>
      <c r="Q807" s="354"/>
      <c r="R807" s="370"/>
      <c r="S807" s="354"/>
      <c r="T807" s="354"/>
      <c r="U807" s="354"/>
      <c r="V807" s="354"/>
      <c r="W807" s="354"/>
      <c r="X807" s="354"/>
      <c r="Y807" s="354"/>
      <c r="Z807" s="354"/>
      <c r="AA807" s="354"/>
      <c r="AB807" s="354"/>
      <c r="AC807" s="354"/>
      <c r="AD807" s="354"/>
      <c r="AE807" s="354"/>
      <c r="AF807" s="354"/>
      <c r="AG807" s="354"/>
      <c r="AH807" s="354"/>
      <c r="AI807" s="354"/>
      <c r="AJ807" s="354"/>
      <c r="AK807" s="354"/>
      <c r="AL807" s="354"/>
      <c r="AM807" s="354"/>
      <c r="AN807" s="354"/>
      <c r="AO807" s="354"/>
      <c r="AP807" s="354"/>
      <c r="AQ807" s="354"/>
      <c r="AR807" s="354"/>
      <c r="AS807" s="354"/>
      <c r="AT807" s="354"/>
      <c r="AU807" s="354"/>
      <c r="AV807" s="354"/>
      <c r="AW807" s="354"/>
      <c r="AX807" s="354"/>
      <c r="AY807" s="354"/>
      <c r="AZ807" s="354"/>
    </row>
    <row r="808" spans="3:52" x14ac:dyDescent="0.25">
      <c r="C808" s="354"/>
      <c r="D808" s="354"/>
      <c r="E808" s="354"/>
      <c r="F808" s="354"/>
      <c r="G808" s="354"/>
      <c r="H808" s="354"/>
      <c r="I808" s="354"/>
      <c r="J808" s="354"/>
      <c r="K808" s="354"/>
      <c r="L808" s="354"/>
      <c r="M808" s="354"/>
      <c r="N808" s="354"/>
      <c r="O808" s="354"/>
      <c r="P808" s="354"/>
      <c r="Q808" s="354"/>
      <c r="R808" s="370"/>
      <c r="S808" s="354"/>
      <c r="T808" s="354"/>
      <c r="U808" s="354"/>
      <c r="V808" s="354"/>
      <c r="W808" s="354"/>
      <c r="X808" s="354"/>
      <c r="Y808" s="354"/>
      <c r="Z808" s="354"/>
      <c r="AA808" s="354"/>
      <c r="AB808" s="354"/>
      <c r="AC808" s="354"/>
      <c r="AD808" s="354"/>
      <c r="AE808" s="354"/>
      <c r="AF808" s="354"/>
      <c r="AG808" s="354"/>
      <c r="AH808" s="354"/>
      <c r="AI808" s="354"/>
      <c r="AJ808" s="354"/>
      <c r="AK808" s="354"/>
      <c r="AL808" s="354"/>
      <c r="AM808" s="354"/>
      <c r="AN808" s="354"/>
      <c r="AO808" s="354"/>
      <c r="AP808" s="354"/>
      <c r="AQ808" s="354"/>
      <c r="AR808" s="354"/>
      <c r="AS808" s="354"/>
      <c r="AT808" s="354"/>
      <c r="AU808" s="354"/>
      <c r="AV808" s="354"/>
      <c r="AW808" s="354"/>
      <c r="AX808" s="354"/>
      <c r="AY808" s="354"/>
      <c r="AZ808" s="354"/>
    </row>
    <row r="809" spans="3:52" x14ac:dyDescent="0.25">
      <c r="C809" s="354"/>
      <c r="D809" s="354"/>
      <c r="E809" s="354"/>
      <c r="F809" s="354"/>
      <c r="G809" s="354"/>
      <c r="H809" s="354"/>
      <c r="I809" s="354"/>
      <c r="J809" s="354"/>
      <c r="K809" s="354"/>
      <c r="L809" s="354"/>
      <c r="M809" s="354"/>
      <c r="N809" s="354"/>
      <c r="O809" s="354"/>
      <c r="P809" s="354"/>
      <c r="Q809" s="354"/>
      <c r="R809" s="370"/>
      <c r="S809" s="354"/>
      <c r="T809" s="354"/>
      <c r="U809" s="354"/>
      <c r="V809" s="354"/>
      <c r="W809" s="354"/>
      <c r="X809" s="354"/>
      <c r="Y809" s="354"/>
      <c r="Z809" s="354"/>
      <c r="AA809" s="354"/>
      <c r="AB809" s="354"/>
      <c r="AC809" s="354"/>
      <c r="AD809" s="354"/>
      <c r="AE809" s="354"/>
      <c r="AF809" s="354"/>
      <c r="AG809" s="354"/>
      <c r="AH809" s="354"/>
      <c r="AI809" s="354"/>
      <c r="AJ809" s="354"/>
      <c r="AK809" s="354"/>
      <c r="AL809" s="354"/>
      <c r="AM809" s="354"/>
      <c r="AN809" s="354"/>
      <c r="AO809" s="354"/>
      <c r="AP809" s="354"/>
      <c r="AQ809" s="354"/>
      <c r="AR809" s="354"/>
      <c r="AS809" s="354"/>
      <c r="AT809" s="354"/>
      <c r="AU809" s="354"/>
      <c r="AV809" s="354"/>
      <c r="AW809" s="354"/>
      <c r="AX809" s="354"/>
      <c r="AY809" s="354"/>
      <c r="AZ809" s="354"/>
    </row>
    <row r="810" spans="3:52" x14ac:dyDescent="0.25">
      <c r="C810" s="354"/>
      <c r="D810" s="354"/>
      <c r="E810" s="354"/>
      <c r="F810" s="354"/>
      <c r="G810" s="354"/>
      <c r="H810" s="354"/>
      <c r="I810" s="354"/>
      <c r="J810" s="354"/>
      <c r="K810" s="354"/>
      <c r="L810" s="354"/>
      <c r="M810" s="354"/>
      <c r="N810" s="354"/>
      <c r="O810" s="354"/>
      <c r="P810" s="354"/>
      <c r="Q810" s="354"/>
      <c r="R810" s="370"/>
      <c r="S810" s="354"/>
      <c r="T810" s="354"/>
      <c r="U810" s="354"/>
      <c r="V810" s="354"/>
      <c r="W810" s="354"/>
      <c r="X810" s="354"/>
      <c r="Y810" s="354"/>
      <c r="Z810" s="354"/>
      <c r="AA810" s="354"/>
      <c r="AB810" s="354"/>
      <c r="AC810" s="354"/>
      <c r="AD810" s="354"/>
      <c r="AE810" s="354"/>
      <c r="AF810" s="354"/>
      <c r="AG810" s="354"/>
      <c r="AH810" s="354"/>
      <c r="AI810" s="354"/>
      <c r="AJ810" s="354"/>
      <c r="AK810" s="354"/>
      <c r="AL810" s="354"/>
      <c r="AM810" s="354"/>
      <c r="AN810" s="354"/>
      <c r="AO810" s="354"/>
      <c r="AP810" s="354"/>
      <c r="AQ810" s="354"/>
      <c r="AR810" s="354"/>
      <c r="AS810" s="354"/>
      <c r="AT810" s="354"/>
      <c r="AU810" s="354"/>
      <c r="AV810" s="354"/>
      <c r="AW810" s="354"/>
      <c r="AX810" s="354"/>
      <c r="AY810" s="354"/>
      <c r="AZ810" s="354"/>
    </row>
    <row r="811" spans="3:52" x14ac:dyDescent="0.25">
      <c r="C811" s="354"/>
      <c r="D811" s="354"/>
      <c r="E811" s="354"/>
      <c r="F811" s="354"/>
      <c r="G811" s="354"/>
      <c r="H811" s="354"/>
      <c r="I811" s="354"/>
      <c r="J811" s="354"/>
      <c r="K811" s="354"/>
      <c r="L811" s="354"/>
      <c r="M811" s="354"/>
      <c r="N811" s="354"/>
      <c r="O811" s="354"/>
      <c r="P811" s="354"/>
      <c r="Q811" s="354"/>
      <c r="R811" s="370"/>
      <c r="S811" s="354"/>
      <c r="T811" s="354"/>
      <c r="U811" s="354"/>
      <c r="V811" s="354"/>
      <c r="W811" s="354"/>
      <c r="X811" s="354"/>
      <c r="Y811" s="354"/>
      <c r="Z811" s="354"/>
      <c r="AA811" s="354"/>
      <c r="AB811" s="354"/>
      <c r="AC811" s="354"/>
      <c r="AD811" s="354"/>
      <c r="AE811" s="354"/>
      <c r="AF811" s="354"/>
      <c r="AG811" s="354"/>
      <c r="AH811" s="354"/>
      <c r="AI811" s="354"/>
      <c r="AJ811" s="354"/>
      <c r="AK811" s="354"/>
      <c r="AL811" s="354"/>
      <c r="AM811" s="354"/>
      <c r="AN811" s="354"/>
      <c r="AO811" s="354"/>
      <c r="AP811" s="354"/>
      <c r="AQ811" s="354"/>
      <c r="AR811" s="354"/>
      <c r="AS811" s="354"/>
      <c r="AT811" s="354"/>
      <c r="AU811" s="354"/>
      <c r="AV811" s="354"/>
      <c r="AW811" s="354"/>
      <c r="AX811" s="354"/>
      <c r="AY811" s="354"/>
      <c r="AZ811" s="354"/>
    </row>
    <row r="812" spans="3:52" x14ac:dyDescent="0.25">
      <c r="C812" s="354"/>
      <c r="D812" s="354"/>
      <c r="E812" s="354"/>
      <c r="F812" s="354"/>
      <c r="G812" s="354"/>
      <c r="H812" s="354"/>
      <c r="I812" s="354"/>
      <c r="J812" s="354"/>
      <c r="K812" s="354"/>
      <c r="L812" s="354"/>
      <c r="M812" s="354"/>
      <c r="N812" s="354"/>
      <c r="O812" s="354"/>
      <c r="P812" s="354"/>
      <c r="Q812" s="354"/>
      <c r="R812" s="370"/>
      <c r="S812" s="354"/>
      <c r="T812" s="354"/>
      <c r="U812" s="354"/>
      <c r="V812" s="354"/>
      <c r="W812" s="354"/>
      <c r="X812" s="354"/>
      <c r="Y812" s="354"/>
      <c r="Z812" s="354"/>
      <c r="AA812" s="354"/>
      <c r="AB812" s="354"/>
      <c r="AC812" s="354"/>
      <c r="AD812" s="354"/>
      <c r="AE812" s="354"/>
      <c r="AF812" s="354"/>
      <c r="AG812" s="354"/>
      <c r="AH812" s="354"/>
      <c r="AI812" s="354"/>
      <c r="AJ812" s="354"/>
      <c r="AK812" s="354"/>
      <c r="AL812" s="354"/>
      <c r="AM812" s="354"/>
      <c r="AN812" s="354"/>
      <c r="AO812" s="354"/>
      <c r="AP812" s="354"/>
      <c r="AQ812" s="354"/>
      <c r="AR812" s="354"/>
      <c r="AS812" s="354"/>
      <c r="AT812" s="354"/>
      <c r="AU812" s="354"/>
      <c r="AV812" s="354"/>
      <c r="AW812" s="354"/>
      <c r="AX812" s="354"/>
      <c r="AY812" s="354"/>
      <c r="AZ812" s="354"/>
    </row>
    <row r="813" spans="3:52" x14ac:dyDescent="0.25">
      <c r="C813" s="354"/>
      <c r="D813" s="354"/>
      <c r="E813" s="354"/>
      <c r="F813" s="354"/>
      <c r="G813" s="354"/>
      <c r="H813" s="354"/>
      <c r="I813" s="354"/>
      <c r="J813" s="354"/>
      <c r="K813" s="354"/>
      <c r="L813" s="354"/>
      <c r="M813" s="354"/>
      <c r="N813" s="354"/>
      <c r="O813" s="354"/>
      <c r="P813" s="354"/>
      <c r="Q813" s="354"/>
      <c r="R813" s="370"/>
      <c r="S813" s="354"/>
      <c r="T813" s="354"/>
      <c r="U813" s="354"/>
      <c r="V813" s="354"/>
      <c r="W813" s="354"/>
      <c r="X813" s="354"/>
      <c r="Y813" s="354"/>
      <c r="Z813" s="354"/>
      <c r="AA813" s="354"/>
      <c r="AB813" s="354"/>
      <c r="AC813" s="354"/>
      <c r="AD813" s="354"/>
      <c r="AE813" s="354"/>
      <c r="AF813" s="354"/>
      <c r="AG813" s="354"/>
      <c r="AH813" s="354"/>
      <c r="AI813" s="354"/>
      <c r="AJ813" s="354"/>
      <c r="AK813" s="354"/>
      <c r="AL813" s="354"/>
      <c r="AM813" s="354"/>
      <c r="AN813" s="354"/>
      <c r="AO813" s="354"/>
      <c r="AP813" s="354"/>
      <c r="AQ813" s="354"/>
      <c r="AR813" s="354"/>
      <c r="AS813" s="354"/>
      <c r="AT813" s="354"/>
      <c r="AU813" s="354"/>
      <c r="AV813" s="354"/>
      <c r="AW813" s="354"/>
      <c r="AX813" s="354"/>
      <c r="AY813" s="354"/>
      <c r="AZ813" s="354"/>
    </row>
    <row r="814" spans="3:52" x14ac:dyDescent="0.25">
      <c r="C814" s="354"/>
      <c r="D814" s="354"/>
      <c r="E814" s="354"/>
      <c r="F814" s="354"/>
      <c r="G814" s="354"/>
      <c r="H814" s="354"/>
      <c r="I814" s="354"/>
      <c r="J814" s="354"/>
      <c r="K814" s="354"/>
      <c r="L814" s="354"/>
      <c r="M814" s="354"/>
      <c r="N814" s="354"/>
      <c r="O814" s="354"/>
      <c r="P814" s="354"/>
      <c r="Q814" s="354"/>
      <c r="R814" s="370"/>
      <c r="S814" s="354"/>
      <c r="T814" s="354"/>
      <c r="U814" s="354"/>
      <c r="V814" s="354"/>
      <c r="W814" s="354"/>
      <c r="X814" s="354"/>
      <c r="Y814" s="354"/>
      <c r="Z814" s="354"/>
      <c r="AA814" s="354"/>
      <c r="AB814" s="354"/>
      <c r="AC814" s="354"/>
      <c r="AD814" s="354"/>
      <c r="AE814" s="354"/>
      <c r="AF814" s="354"/>
      <c r="AG814" s="354"/>
      <c r="AH814" s="354"/>
      <c r="AI814" s="354"/>
      <c r="AJ814" s="354"/>
      <c r="AK814" s="354"/>
      <c r="AL814" s="354"/>
      <c r="AM814" s="354"/>
      <c r="AN814" s="354"/>
      <c r="AO814" s="354"/>
      <c r="AP814" s="354"/>
      <c r="AQ814" s="354"/>
      <c r="AR814" s="354"/>
      <c r="AS814" s="354"/>
      <c r="AT814" s="354"/>
      <c r="AU814" s="354"/>
      <c r="AV814" s="354"/>
      <c r="AW814" s="354"/>
      <c r="AX814" s="354"/>
      <c r="AY814" s="354"/>
      <c r="AZ814" s="354"/>
    </row>
    <row r="815" spans="3:52" x14ac:dyDescent="0.25">
      <c r="C815" s="354"/>
      <c r="D815" s="354"/>
      <c r="E815" s="354"/>
      <c r="F815" s="354"/>
      <c r="G815" s="354"/>
      <c r="H815" s="354"/>
      <c r="I815" s="354"/>
      <c r="J815" s="354"/>
      <c r="K815" s="354"/>
      <c r="L815" s="354"/>
      <c r="M815" s="354"/>
      <c r="N815" s="354"/>
      <c r="O815" s="354"/>
      <c r="P815" s="354"/>
      <c r="Q815" s="354"/>
      <c r="R815" s="370"/>
      <c r="S815" s="354"/>
      <c r="T815" s="354"/>
      <c r="U815" s="354"/>
      <c r="V815" s="354"/>
      <c r="W815" s="354"/>
      <c r="X815" s="354"/>
      <c r="Y815" s="354"/>
      <c r="Z815" s="354"/>
      <c r="AA815" s="354"/>
      <c r="AB815" s="354"/>
      <c r="AC815" s="354"/>
      <c r="AD815" s="354"/>
      <c r="AE815" s="354"/>
      <c r="AF815" s="354"/>
      <c r="AG815" s="354"/>
      <c r="AH815" s="354"/>
      <c r="AI815" s="354"/>
      <c r="AJ815" s="354"/>
      <c r="AK815" s="354"/>
      <c r="AL815" s="354"/>
      <c r="AM815" s="354"/>
      <c r="AN815" s="354"/>
      <c r="AO815" s="354"/>
      <c r="AP815" s="354"/>
      <c r="AQ815" s="354"/>
      <c r="AR815" s="354"/>
      <c r="AS815" s="354"/>
      <c r="AT815" s="354"/>
      <c r="AU815" s="354"/>
      <c r="AV815" s="354"/>
      <c r="AW815" s="354"/>
      <c r="AX815" s="354"/>
      <c r="AY815" s="354"/>
      <c r="AZ815" s="354"/>
    </row>
    <row r="816" spans="3:52" x14ac:dyDescent="0.25">
      <c r="C816" s="354"/>
      <c r="D816" s="354"/>
      <c r="E816" s="354"/>
      <c r="F816" s="354"/>
      <c r="G816" s="354"/>
      <c r="H816" s="354"/>
      <c r="I816" s="354"/>
      <c r="J816" s="354"/>
      <c r="K816" s="354"/>
      <c r="L816" s="354"/>
      <c r="M816" s="354"/>
      <c r="N816" s="354"/>
      <c r="O816" s="354"/>
      <c r="P816" s="354"/>
      <c r="Q816" s="354"/>
      <c r="R816" s="370"/>
      <c r="S816" s="354"/>
      <c r="T816" s="354"/>
      <c r="U816" s="354"/>
      <c r="V816" s="354"/>
      <c r="W816" s="354"/>
      <c r="X816" s="354"/>
      <c r="Y816" s="354"/>
      <c r="Z816" s="354"/>
      <c r="AA816" s="354"/>
      <c r="AB816" s="354"/>
      <c r="AC816" s="354"/>
      <c r="AD816" s="354"/>
      <c r="AE816" s="354"/>
      <c r="AF816" s="354"/>
      <c r="AG816" s="354"/>
      <c r="AH816" s="354"/>
      <c r="AI816" s="354"/>
      <c r="AJ816" s="354"/>
      <c r="AK816" s="354"/>
      <c r="AL816" s="354"/>
      <c r="AM816" s="354"/>
      <c r="AN816" s="354"/>
      <c r="AO816" s="354"/>
      <c r="AP816" s="354"/>
      <c r="AQ816" s="354"/>
      <c r="AR816" s="354"/>
      <c r="AS816" s="354"/>
      <c r="AT816" s="354"/>
      <c r="AU816" s="354"/>
      <c r="AV816" s="354"/>
      <c r="AW816" s="354"/>
      <c r="AX816" s="354"/>
      <c r="AY816" s="354"/>
      <c r="AZ816" s="354"/>
    </row>
    <row r="817" spans="3:52" x14ac:dyDescent="0.25">
      <c r="C817" s="354"/>
      <c r="D817" s="354"/>
      <c r="E817" s="354"/>
      <c r="F817" s="354"/>
      <c r="G817" s="354"/>
      <c r="H817" s="354"/>
      <c r="I817" s="354"/>
      <c r="J817" s="354"/>
      <c r="K817" s="354"/>
      <c r="L817" s="354"/>
      <c r="M817" s="354"/>
      <c r="N817" s="354"/>
      <c r="O817" s="354"/>
      <c r="P817" s="354"/>
      <c r="Q817" s="354"/>
      <c r="R817" s="370"/>
      <c r="S817" s="354"/>
      <c r="T817" s="354"/>
      <c r="U817" s="354"/>
      <c r="V817" s="354"/>
      <c r="W817" s="354"/>
      <c r="X817" s="354"/>
      <c r="Y817" s="354"/>
      <c r="Z817" s="354"/>
      <c r="AA817" s="354"/>
      <c r="AB817" s="354"/>
      <c r="AC817" s="354"/>
      <c r="AD817" s="354"/>
      <c r="AE817" s="354"/>
      <c r="AF817" s="354"/>
      <c r="AG817" s="354"/>
      <c r="AH817" s="354"/>
      <c r="AI817" s="354"/>
      <c r="AJ817" s="354"/>
      <c r="AK817" s="354"/>
      <c r="AL817" s="354"/>
      <c r="AM817" s="354"/>
      <c r="AN817" s="354"/>
      <c r="AO817" s="354"/>
      <c r="AP817" s="354"/>
      <c r="AQ817" s="354"/>
      <c r="AR817" s="354"/>
      <c r="AS817" s="354"/>
      <c r="AT817" s="354"/>
      <c r="AU817" s="354"/>
      <c r="AV817" s="354"/>
      <c r="AW817" s="354"/>
      <c r="AX817" s="354"/>
      <c r="AY817" s="354"/>
      <c r="AZ817" s="354"/>
    </row>
    <row r="818" spans="3:52" x14ac:dyDescent="0.25">
      <c r="C818" s="354"/>
      <c r="D818" s="354"/>
      <c r="E818" s="354"/>
      <c r="F818" s="354"/>
      <c r="G818" s="354"/>
      <c r="H818" s="354"/>
      <c r="I818" s="354"/>
      <c r="J818" s="354"/>
      <c r="K818" s="354"/>
      <c r="L818" s="354"/>
      <c r="M818" s="354"/>
      <c r="N818" s="354"/>
      <c r="O818" s="354"/>
      <c r="P818" s="354"/>
      <c r="Q818" s="354"/>
      <c r="R818" s="370"/>
      <c r="S818" s="354"/>
      <c r="T818" s="354"/>
      <c r="U818" s="354"/>
      <c r="V818" s="354"/>
      <c r="W818" s="354"/>
      <c r="X818" s="354"/>
      <c r="Y818" s="354"/>
      <c r="Z818" s="354"/>
      <c r="AA818" s="354"/>
      <c r="AB818" s="354"/>
      <c r="AC818" s="354"/>
      <c r="AD818" s="354"/>
      <c r="AE818" s="354"/>
      <c r="AF818" s="354"/>
      <c r="AG818" s="354"/>
      <c r="AH818" s="354"/>
      <c r="AI818" s="354"/>
      <c r="AJ818" s="354"/>
      <c r="AK818" s="354"/>
      <c r="AL818" s="354"/>
      <c r="AM818" s="354"/>
      <c r="AN818" s="354"/>
      <c r="AO818" s="354"/>
      <c r="AP818" s="354"/>
      <c r="AQ818" s="354"/>
      <c r="AR818" s="354"/>
      <c r="AS818" s="354"/>
      <c r="AT818" s="354"/>
      <c r="AU818" s="354"/>
      <c r="AV818" s="354"/>
      <c r="AW818" s="354"/>
      <c r="AX818" s="354"/>
      <c r="AY818" s="354"/>
      <c r="AZ818" s="354"/>
    </row>
    <row r="819" spans="3:52" x14ac:dyDescent="0.25">
      <c r="C819" s="354"/>
      <c r="D819" s="354"/>
      <c r="E819" s="354"/>
      <c r="F819" s="354"/>
      <c r="G819" s="354"/>
      <c r="H819" s="354"/>
      <c r="I819" s="354"/>
      <c r="J819" s="354"/>
      <c r="K819" s="354"/>
      <c r="L819" s="354"/>
      <c r="M819" s="354"/>
      <c r="N819" s="354"/>
      <c r="O819" s="354"/>
      <c r="P819" s="354"/>
      <c r="Q819" s="354"/>
      <c r="R819" s="370"/>
      <c r="S819" s="354"/>
      <c r="T819" s="354"/>
      <c r="U819" s="354"/>
      <c r="V819" s="354"/>
      <c r="W819" s="354"/>
      <c r="X819" s="354"/>
      <c r="Y819" s="354"/>
      <c r="Z819" s="354"/>
      <c r="AA819" s="354"/>
      <c r="AB819" s="354"/>
      <c r="AC819" s="354"/>
      <c r="AD819" s="354"/>
      <c r="AE819" s="354"/>
      <c r="AF819" s="354"/>
      <c r="AG819" s="354"/>
      <c r="AH819" s="354"/>
      <c r="AI819" s="354"/>
      <c r="AJ819" s="354"/>
      <c r="AK819" s="354"/>
      <c r="AL819" s="354"/>
      <c r="AM819" s="354"/>
      <c r="AN819" s="354"/>
      <c r="AO819" s="354"/>
      <c r="AP819" s="354"/>
      <c r="AQ819" s="354"/>
      <c r="AR819" s="354"/>
      <c r="AS819" s="354"/>
      <c r="AT819" s="354"/>
      <c r="AU819" s="354"/>
      <c r="AV819" s="354"/>
      <c r="AW819" s="354"/>
      <c r="AX819" s="354"/>
      <c r="AY819" s="354"/>
      <c r="AZ819" s="354"/>
    </row>
    <row r="820" spans="3:52" x14ac:dyDescent="0.25">
      <c r="C820" s="354"/>
      <c r="D820" s="354"/>
      <c r="E820" s="354"/>
      <c r="F820" s="354"/>
      <c r="G820" s="354"/>
      <c r="H820" s="354"/>
      <c r="I820" s="354"/>
      <c r="J820" s="354"/>
      <c r="K820" s="354"/>
      <c r="L820" s="354"/>
      <c r="M820" s="354"/>
      <c r="N820" s="354"/>
      <c r="O820" s="354"/>
      <c r="P820" s="354"/>
      <c r="Q820" s="354"/>
      <c r="R820" s="370"/>
      <c r="S820" s="354"/>
      <c r="T820" s="354"/>
      <c r="U820" s="354"/>
      <c r="V820" s="354"/>
      <c r="W820" s="354"/>
      <c r="X820" s="354"/>
      <c r="Y820" s="354"/>
      <c r="Z820" s="354"/>
      <c r="AA820" s="354"/>
      <c r="AB820" s="354"/>
      <c r="AC820" s="354"/>
      <c r="AD820" s="354"/>
      <c r="AE820" s="354"/>
      <c r="AF820" s="354"/>
      <c r="AG820" s="354"/>
      <c r="AH820" s="354"/>
      <c r="AI820" s="354"/>
      <c r="AJ820" s="354"/>
      <c r="AK820" s="354"/>
      <c r="AL820" s="354"/>
      <c r="AM820" s="354"/>
      <c r="AN820" s="354"/>
      <c r="AO820" s="354"/>
      <c r="AP820" s="354"/>
      <c r="AQ820" s="354"/>
      <c r="AR820" s="354"/>
      <c r="AS820" s="354"/>
      <c r="AT820" s="354"/>
      <c r="AU820" s="354"/>
      <c r="AV820" s="354"/>
      <c r="AW820" s="354"/>
      <c r="AX820" s="354"/>
      <c r="AY820" s="354"/>
      <c r="AZ820" s="354"/>
    </row>
    <row r="821" spans="3:52" x14ac:dyDescent="0.25">
      <c r="C821" s="354"/>
      <c r="D821" s="354"/>
      <c r="E821" s="354"/>
      <c r="F821" s="354"/>
      <c r="G821" s="354"/>
      <c r="H821" s="354"/>
      <c r="I821" s="354"/>
      <c r="J821" s="354"/>
      <c r="K821" s="354"/>
      <c r="L821" s="354"/>
      <c r="M821" s="354"/>
      <c r="N821" s="354"/>
      <c r="O821" s="354"/>
      <c r="P821" s="354"/>
      <c r="Q821" s="354"/>
      <c r="R821" s="370"/>
      <c r="S821" s="354"/>
      <c r="T821" s="354"/>
      <c r="U821" s="354"/>
      <c r="V821" s="354"/>
      <c r="W821" s="354"/>
      <c r="X821" s="354"/>
      <c r="Y821" s="354"/>
      <c r="Z821" s="354"/>
      <c r="AA821" s="354"/>
      <c r="AB821" s="354"/>
      <c r="AC821" s="354"/>
      <c r="AD821" s="354"/>
      <c r="AE821" s="354"/>
      <c r="AF821" s="354"/>
      <c r="AG821" s="354"/>
      <c r="AH821" s="354"/>
      <c r="AI821" s="354"/>
      <c r="AJ821" s="354"/>
      <c r="AK821" s="354"/>
      <c r="AL821" s="354"/>
      <c r="AM821" s="354"/>
      <c r="AN821" s="354"/>
      <c r="AO821" s="354"/>
      <c r="AP821" s="354"/>
      <c r="AQ821" s="354"/>
      <c r="AR821" s="354"/>
      <c r="AS821" s="354"/>
      <c r="AT821" s="354"/>
      <c r="AU821" s="354"/>
      <c r="AV821" s="354"/>
      <c r="AW821" s="354"/>
      <c r="AX821" s="354"/>
      <c r="AY821" s="354"/>
      <c r="AZ821" s="354"/>
    </row>
    <row r="822" spans="3:52" x14ac:dyDescent="0.25">
      <c r="C822" s="354"/>
      <c r="D822" s="354"/>
      <c r="E822" s="354"/>
      <c r="F822" s="354"/>
      <c r="G822" s="354"/>
      <c r="H822" s="354"/>
      <c r="I822" s="354"/>
      <c r="J822" s="354"/>
      <c r="K822" s="354"/>
      <c r="L822" s="354"/>
      <c r="M822" s="354"/>
      <c r="N822" s="354"/>
      <c r="O822" s="354"/>
      <c r="P822" s="354"/>
      <c r="Q822" s="354"/>
      <c r="R822" s="370"/>
      <c r="S822" s="354"/>
      <c r="T822" s="354"/>
      <c r="U822" s="354"/>
      <c r="V822" s="354"/>
      <c r="W822" s="354"/>
      <c r="X822" s="354"/>
      <c r="Y822" s="354"/>
      <c r="Z822" s="354"/>
      <c r="AA822" s="354"/>
      <c r="AB822" s="354"/>
      <c r="AC822" s="354"/>
      <c r="AD822" s="354"/>
      <c r="AE822" s="354"/>
      <c r="AF822" s="354"/>
      <c r="AG822" s="354"/>
      <c r="AH822" s="354"/>
      <c r="AI822" s="354"/>
      <c r="AJ822" s="354"/>
      <c r="AK822" s="354"/>
      <c r="AL822" s="354"/>
      <c r="AM822" s="354"/>
      <c r="AN822" s="354"/>
      <c r="AO822" s="354"/>
      <c r="AP822" s="354"/>
      <c r="AQ822" s="354"/>
      <c r="AR822" s="354"/>
      <c r="AS822" s="354"/>
      <c r="AT822" s="354"/>
      <c r="AU822" s="354"/>
      <c r="AV822" s="354"/>
      <c r="AW822" s="354"/>
      <c r="AX822" s="354"/>
      <c r="AY822" s="354"/>
      <c r="AZ822" s="354"/>
    </row>
    <row r="823" spans="3:52" x14ac:dyDescent="0.25">
      <c r="C823" s="354"/>
      <c r="D823" s="354"/>
      <c r="E823" s="354"/>
      <c r="F823" s="354"/>
      <c r="G823" s="354"/>
      <c r="H823" s="354"/>
      <c r="I823" s="354"/>
      <c r="J823" s="354"/>
      <c r="K823" s="354"/>
      <c r="L823" s="354"/>
      <c r="M823" s="354"/>
      <c r="N823" s="354"/>
      <c r="O823" s="354"/>
      <c r="P823" s="354"/>
      <c r="Q823" s="354"/>
      <c r="R823" s="370"/>
      <c r="S823" s="354"/>
      <c r="T823" s="354"/>
      <c r="U823" s="354"/>
      <c r="V823" s="354"/>
      <c r="W823" s="354"/>
      <c r="X823" s="354"/>
      <c r="Y823" s="354"/>
      <c r="Z823" s="354"/>
      <c r="AA823" s="354"/>
      <c r="AB823" s="354"/>
      <c r="AC823" s="354"/>
      <c r="AD823" s="354"/>
      <c r="AE823" s="354"/>
      <c r="AF823" s="354"/>
      <c r="AG823" s="354"/>
      <c r="AH823" s="354"/>
      <c r="AI823" s="354"/>
      <c r="AJ823" s="354"/>
      <c r="AK823" s="354"/>
      <c r="AL823" s="354"/>
      <c r="AM823" s="354"/>
      <c r="AN823" s="354"/>
      <c r="AO823" s="354"/>
      <c r="AP823" s="354"/>
      <c r="AQ823" s="354"/>
      <c r="AR823" s="354"/>
      <c r="AS823" s="354"/>
      <c r="AT823" s="354"/>
      <c r="AU823" s="354"/>
      <c r="AV823" s="354"/>
      <c r="AW823" s="354"/>
      <c r="AX823" s="354"/>
      <c r="AY823" s="354"/>
      <c r="AZ823" s="354"/>
    </row>
    <row r="824" spans="3:52" x14ac:dyDescent="0.25">
      <c r="C824" s="354"/>
      <c r="D824" s="354"/>
      <c r="E824" s="354"/>
      <c r="F824" s="354"/>
      <c r="G824" s="354"/>
      <c r="H824" s="354"/>
      <c r="I824" s="354"/>
      <c r="J824" s="354"/>
      <c r="K824" s="354"/>
      <c r="L824" s="354"/>
      <c r="M824" s="354"/>
      <c r="N824" s="354"/>
      <c r="O824" s="354"/>
      <c r="P824" s="354"/>
      <c r="Q824" s="354"/>
      <c r="R824" s="370"/>
      <c r="S824" s="354"/>
      <c r="T824" s="354"/>
      <c r="U824" s="354"/>
      <c r="V824" s="354"/>
      <c r="W824" s="354"/>
      <c r="X824" s="354"/>
      <c r="Y824" s="354"/>
      <c r="Z824" s="354"/>
      <c r="AA824" s="354"/>
      <c r="AB824" s="354"/>
      <c r="AC824" s="354"/>
      <c r="AD824" s="354"/>
      <c r="AE824" s="354"/>
      <c r="AF824" s="354"/>
      <c r="AG824" s="354"/>
      <c r="AH824" s="354"/>
      <c r="AI824" s="354"/>
      <c r="AJ824" s="354"/>
      <c r="AK824" s="354"/>
      <c r="AL824" s="354"/>
      <c r="AM824" s="354"/>
      <c r="AN824" s="354"/>
      <c r="AO824" s="354"/>
      <c r="AP824" s="354"/>
      <c r="AQ824" s="354"/>
      <c r="AR824" s="354"/>
      <c r="AS824" s="354"/>
      <c r="AT824" s="354"/>
      <c r="AU824" s="354"/>
      <c r="AV824" s="354"/>
      <c r="AW824" s="354"/>
      <c r="AX824" s="354"/>
      <c r="AY824" s="354"/>
      <c r="AZ824" s="354"/>
    </row>
    <row r="825" spans="3:52" x14ac:dyDescent="0.25">
      <c r="C825" s="354"/>
      <c r="D825" s="354"/>
      <c r="E825" s="354"/>
      <c r="F825" s="354"/>
      <c r="G825" s="354"/>
      <c r="H825" s="354"/>
      <c r="I825" s="354"/>
      <c r="J825" s="354"/>
      <c r="K825" s="354"/>
      <c r="L825" s="354"/>
      <c r="M825" s="354"/>
      <c r="N825" s="354"/>
      <c r="O825" s="354"/>
      <c r="P825" s="354"/>
      <c r="Q825" s="354"/>
      <c r="R825" s="370"/>
      <c r="S825" s="354"/>
      <c r="T825" s="354"/>
      <c r="U825" s="354"/>
      <c r="V825" s="354"/>
      <c r="W825" s="354"/>
      <c r="X825" s="354"/>
      <c r="Y825" s="354"/>
      <c r="Z825" s="354"/>
      <c r="AA825" s="354"/>
      <c r="AB825" s="354"/>
      <c r="AC825" s="354"/>
      <c r="AD825" s="354"/>
      <c r="AE825" s="354"/>
      <c r="AF825" s="354"/>
      <c r="AG825" s="354"/>
      <c r="AH825" s="354"/>
      <c r="AI825" s="354"/>
      <c r="AJ825" s="354"/>
      <c r="AK825" s="354"/>
      <c r="AL825" s="354"/>
      <c r="AM825" s="354"/>
      <c r="AN825" s="354"/>
      <c r="AO825" s="354"/>
      <c r="AP825" s="354"/>
      <c r="AQ825" s="354"/>
      <c r="AR825" s="354"/>
      <c r="AS825" s="354"/>
      <c r="AT825" s="354"/>
      <c r="AU825" s="354"/>
      <c r="AV825" s="354"/>
      <c r="AW825" s="354"/>
      <c r="AX825" s="354"/>
      <c r="AY825" s="354"/>
      <c r="AZ825" s="354"/>
    </row>
    <row r="826" spans="3:52" x14ac:dyDescent="0.25">
      <c r="C826" s="354"/>
      <c r="D826" s="354"/>
      <c r="E826" s="354"/>
      <c r="F826" s="354"/>
      <c r="G826" s="354"/>
      <c r="H826" s="354"/>
      <c r="I826" s="354"/>
      <c r="J826" s="354"/>
      <c r="K826" s="354"/>
      <c r="L826" s="354"/>
      <c r="M826" s="354"/>
      <c r="N826" s="354"/>
      <c r="O826" s="354"/>
      <c r="P826" s="354"/>
      <c r="Q826" s="354"/>
      <c r="R826" s="370"/>
      <c r="S826" s="354"/>
      <c r="T826" s="354"/>
      <c r="U826" s="354"/>
      <c r="V826" s="354"/>
      <c r="W826" s="354"/>
      <c r="X826" s="354"/>
      <c r="Y826" s="354"/>
      <c r="Z826" s="354"/>
      <c r="AA826" s="354"/>
      <c r="AB826" s="354"/>
      <c r="AC826" s="354"/>
      <c r="AD826" s="354"/>
      <c r="AE826" s="354"/>
      <c r="AF826" s="354"/>
      <c r="AG826" s="354"/>
      <c r="AH826" s="354"/>
      <c r="AI826" s="354"/>
      <c r="AJ826" s="354"/>
      <c r="AK826" s="354"/>
      <c r="AL826" s="354"/>
      <c r="AM826" s="354"/>
      <c r="AN826" s="354"/>
      <c r="AO826" s="354"/>
      <c r="AP826" s="354"/>
      <c r="AQ826" s="354"/>
      <c r="AR826" s="354"/>
      <c r="AS826" s="354"/>
      <c r="AT826" s="354"/>
      <c r="AU826" s="354"/>
      <c r="AV826" s="354"/>
      <c r="AW826" s="354"/>
      <c r="AX826" s="354"/>
      <c r="AY826" s="354"/>
      <c r="AZ826" s="354"/>
    </row>
    <row r="827" spans="3:52" x14ac:dyDescent="0.25">
      <c r="C827" s="354"/>
      <c r="D827" s="354"/>
      <c r="E827" s="354"/>
      <c r="F827" s="354"/>
      <c r="G827" s="354"/>
      <c r="H827" s="354"/>
      <c r="I827" s="354"/>
      <c r="J827" s="354"/>
      <c r="K827" s="354"/>
      <c r="L827" s="354"/>
      <c r="M827" s="354"/>
      <c r="N827" s="354"/>
      <c r="O827" s="354"/>
      <c r="P827" s="354"/>
      <c r="Q827" s="354"/>
      <c r="R827" s="370"/>
      <c r="S827" s="354"/>
      <c r="T827" s="354"/>
      <c r="U827" s="354"/>
      <c r="V827" s="354"/>
      <c r="W827" s="354"/>
      <c r="X827" s="354"/>
      <c r="Y827" s="354"/>
      <c r="Z827" s="354"/>
      <c r="AA827" s="354"/>
      <c r="AB827" s="354"/>
      <c r="AC827" s="354"/>
      <c r="AD827" s="354"/>
      <c r="AE827" s="354"/>
      <c r="AF827" s="354"/>
      <c r="AG827" s="354"/>
      <c r="AH827" s="354"/>
      <c r="AI827" s="354"/>
      <c r="AJ827" s="354"/>
      <c r="AK827" s="354"/>
      <c r="AL827" s="354"/>
      <c r="AM827" s="354"/>
      <c r="AN827" s="354"/>
      <c r="AO827" s="354"/>
      <c r="AP827" s="354"/>
      <c r="AQ827" s="354"/>
      <c r="AR827" s="354"/>
      <c r="AS827" s="354"/>
      <c r="AT827" s="354"/>
      <c r="AU827" s="354"/>
      <c r="AV827" s="354"/>
      <c r="AW827" s="354"/>
      <c r="AX827" s="354"/>
      <c r="AY827" s="354"/>
      <c r="AZ827" s="354"/>
    </row>
    <row r="828" spans="3:52" x14ac:dyDescent="0.25">
      <c r="C828" s="354"/>
      <c r="D828" s="354"/>
      <c r="E828" s="354"/>
      <c r="F828" s="354"/>
      <c r="G828" s="354"/>
      <c r="H828" s="354"/>
      <c r="I828" s="354"/>
      <c r="J828" s="354"/>
      <c r="K828" s="354"/>
      <c r="L828" s="354"/>
      <c r="M828" s="354"/>
      <c r="N828" s="354"/>
      <c r="O828" s="354"/>
      <c r="P828" s="354"/>
      <c r="Q828" s="354"/>
      <c r="R828" s="370"/>
      <c r="S828" s="354"/>
      <c r="T828" s="354"/>
      <c r="U828" s="354"/>
      <c r="V828" s="354"/>
      <c r="W828" s="354"/>
      <c r="X828" s="354"/>
      <c r="Y828" s="354"/>
      <c r="Z828" s="354"/>
      <c r="AA828" s="354"/>
      <c r="AB828" s="354"/>
      <c r="AC828" s="354"/>
      <c r="AD828" s="354"/>
      <c r="AE828" s="354"/>
      <c r="AF828" s="354"/>
      <c r="AG828" s="354"/>
      <c r="AH828" s="354"/>
      <c r="AI828" s="354"/>
      <c r="AJ828" s="354"/>
      <c r="AK828" s="354"/>
      <c r="AL828" s="354"/>
      <c r="AM828" s="354"/>
      <c r="AN828" s="354"/>
      <c r="AO828" s="354"/>
      <c r="AP828" s="354"/>
      <c r="AQ828" s="354"/>
      <c r="AR828" s="354"/>
      <c r="AS828" s="354"/>
      <c r="AT828" s="354"/>
      <c r="AU828" s="354"/>
      <c r="AV828" s="354"/>
      <c r="AW828" s="354"/>
      <c r="AX828" s="354"/>
      <c r="AY828" s="354"/>
      <c r="AZ828" s="354"/>
    </row>
    <row r="829" spans="3:52" x14ac:dyDescent="0.25">
      <c r="C829" s="354"/>
      <c r="D829" s="354"/>
      <c r="E829" s="354"/>
      <c r="F829" s="354"/>
      <c r="G829" s="354"/>
      <c r="H829" s="354"/>
      <c r="I829" s="354"/>
      <c r="J829" s="354"/>
      <c r="K829" s="354"/>
      <c r="L829" s="354"/>
      <c r="M829" s="354"/>
      <c r="N829" s="354"/>
      <c r="O829" s="354"/>
      <c r="P829" s="354"/>
      <c r="Q829" s="354"/>
      <c r="R829" s="370"/>
      <c r="S829" s="354"/>
      <c r="T829" s="354"/>
      <c r="U829" s="354"/>
      <c r="V829" s="354"/>
      <c r="W829" s="354"/>
      <c r="X829" s="354"/>
      <c r="Y829" s="354"/>
      <c r="Z829" s="354"/>
      <c r="AA829" s="354"/>
      <c r="AB829" s="354"/>
      <c r="AC829" s="354"/>
      <c r="AD829" s="354"/>
      <c r="AE829" s="354"/>
      <c r="AF829" s="354"/>
      <c r="AG829" s="354"/>
      <c r="AH829" s="354"/>
      <c r="AI829" s="354"/>
      <c r="AJ829" s="354"/>
      <c r="AK829" s="354"/>
      <c r="AL829" s="354"/>
      <c r="AM829" s="354"/>
      <c r="AN829" s="354"/>
      <c r="AO829" s="354"/>
      <c r="AP829" s="354"/>
      <c r="AQ829" s="354"/>
      <c r="AR829" s="354"/>
      <c r="AS829" s="354"/>
      <c r="AT829" s="354"/>
      <c r="AU829" s="354"/>
      <c r="AV829" s="354"/>
      <c r="AW829" s="354"/>
      <c r="AX829" s="354"/>
      <c r="AY829" s="354"/>
      <c r="AZ829" s="354"/>
    </row>
    <row r="830" spans="3:52" x14ac:dyDescent="0.25">
      <c r="C830" s="354"/>
      <c r="D830" s="354"/>
      <c r="E830" s="354"/>
      <c r="F830" s="354"/>
      <c r="G830" s="354"/>
      <c r="H830" s="354"/>
      <c r="I830" s="354"/>
      <c r="J830" s="354"/>
      <c r="K830" s="354"/>
      <c r="L830" s="354"/>
      <c r="M830" s="354"/>
      <c r="N830" s="354"/>
      <c r="O830" s="354"/>
      <c r="P830" s="354"/>
      <c r="Q830" s="354"/>
      <c r="R830" s="370"/>
      <c r="S830" s="354"/>
      <c r="T830" s="354"/>
      <c r="U830" s="354"/>
      <c r="V830" s="354"/>
      <c r="W830" s="354"/>
      <c r="X830" s="354"/>
      <c r="Y830" s="354"/>
      <c r="Z830" s="354"/>
      <c r="AA830" s="354"/>
      <c r="AB830" s="354"/>
      <c r="AC830" s="354"/>
      <c r="AD830" s="354"/>
      <c r="AE830" s="354"/>
      <c r="AF830" s="354"/>
      <c r="AG830" s="354"/>
      <c r="AH830" s="354"/>
      <c r="AI830" s="354"/>
      <c r="AJ830" s="354"/>
      <c r="AK830" s="354"/>
      <c r="AL830" s="354"/>
      <c r="AM830" s="354"/>
      <c r="AN830" s="354"/>
      <c r="AO830" s="354"/>
      <c r="AP830" s="354"/>
      <c r="AQ830" s="354"/>
      <c r="AR830" s="354"/>
      <c r="AS830" s="354"/>
      <c r="AT830" s="354"/>
      <c r="AU830" s="354"/>
      <c r="AV830" s="354"/>
      <c r="AW830" s="354"/>
      <c r="AX830" s="354"/>
      <c r="AY830" s="354"/>
      <c r="AZ830" s="354"/>
    </row>
    <row r="831" spans="3:52" x14ac:dyDescent="0.25">
      <c r="C831" s="354"/>
      <c r="D831" s="354"/>
      <c r="E831" s="354"/>
      <c r="F831" s="354"/>
      <c r="G831" s="354"/>
      <c r="H831" s="354"/>
      <c r="I831" s="354"/>
      <c r="J831" s="354"/>
      <c r="K831" s="354"/>
      <c r="L831" s="354"/>
      <c r="M831" s="354"/>
      <c r="N831" s="354"/>
      <c r="O831" s="354"/>
      <c r="P831" s="354"/>
      <c r="Q831" s="354"/>
      <c r="R831" s="370"/>
      <c r="S831" s="354"/>
      <c r="T831" s="354"/>
      <c r="U831" s="354"/>
      <c r="V831" s="354"/>
      <c r="W831" s="354"/>
      <c r="X831" s="354"/>
      <c r="Y831" s="354"/>
      <c r="Z831" s="354"/>
      <c r="AA831" s="354"/>
      <c r="AB831" s="354"/>
      <c r="AC831" s="354"/>
      <c r="AD831" s="354"/>
      <c r="AE831" s="354"/>
      <c r="AF831" s="354"/>
      <c r="AG831" s="354"/>
      <c r="AH831" s="354"/>
      <c r="AI831" s="354"/>
      <c r="AJ831" s="354"/>
      <c r="AK831" s="354"/>
      <c r="AL831" s="354"/>
      <c r="AM831" s="354"/>
      <c r="AN831" s="354"/>
      <c r="AO831" s="354"/>
      <c r="AP831" s="354"/>
      <c r="AQ831" s="354"/>
      <c r="AR831" s="354"/>
      <c r="AS831" s="354"/>
      <c r="AT831" s="354"/>
      <c r="AU831" s="354"/>
      <c r="AV831" s="354"/>
      <c r="AW831" s="354"/>
      <c r="AX831" s="354"/>
      <c r="AY831" s="354"/>
      <c r="AZ831" s="354"/>
    </row>
    <row r="832" spans="3:52" x14ac:dyDescent="0.25">
      <c r="C832" s="354"/>
      <c r="D832" s="354"/>
      <c r="E832" s="354"/>
      <c r="F832" s="354"/>
      <c r="G832" s="354"/>
      <c r="H832" s="354"/>
      <c r="I832" s="354"/>
      <c r="J832" s="354"/>
      <c r="K832" s="354"/>
      <c r="L832" s="354"/>
      <c r="M832" s="354"/>
      <c r="N832" s="354"/>
      <c r="O832" s="354"/>
      <c r="P832" s="354"/>
      <c r="Q832" s="354"/>
      <c r="R832" s="370"/>
      <c r="S832" s="354"/>
      <c r="T832" s="354"/>
      <c r="U832" s="354"/>
      <c r="V832" s="354"/>
      <c r="W832" s="354"/>
      <c r="X832" s="354"/>
      <c r="Y832" s="354"/>
      <c r="Z832" s="354"/>
      <c r="AA832" s="354"/>
      <c r="AB832" s="354"/>
      <c r="AC832" s="354"/>
      <c r="AD832" s="354"/>
      <c r="AE832" s="354"/>
      <c r="AF832" s="354"/>
      <c r="AG832" s="354"/>
      <c r="AH832" s="354"/>
      <c r="AI832" s="354"/>
      <c r="AJ832" s="354"/>
      <c r="AK832" s="354"/>
      <c r="AL832" s="354"/>
      <c r="AM832" s="354"/>
      <c r="AN832" s="354"/>
      <c r="AO832" s="354"/>
      <c r="AP832" s="354"/>
      <c r="AQ832" s="354"/>
      <c r="AR832" s="354"/>
      <c r="AS832" s="354"/>
      <c r="AT832" s="354"/>
      <c r="AU832" s="354"/>
      <c r="AV832" s="354"/>
      <c r="AW832" s="354"/>
      <c r="AX832" s="354"/>
      <c r="AY832" s="354"/>
      <c r="AZ832" s="354"/>
    </row>
    <row r="833" spans="3:52" x14ac:dyDescent="0.25">
      <c r="C833" s="354"/>
      <c r="D833" s="354"/>
      <c r="E833" s="354"/>
      <c r="F833" s="354"/>
      <c r="G833" s="354"/>
      <c r="H833" s="354"/>
      <c r="I833" s="354"/>
      <c r="J833" s="354"/>
      <c r="K833" s="354"/>
      <c r="L833" s="354"/>
      <c r="M833" s="354"/>
      <c r="N833" s="354"/>
      <c r="O833" s="354"/>
      <c r="P833" s="354"/>
      <c r="Q833" s="354"/>
      <c r="R833" s="370"/>
      <c r="S833" s="354"/>
      <c r="T833" s="354"/>
      <c r="U833" s="354"/>
      <c r="V833" s="354"/>
      <c r="W833" s="354"/>
      <c r="X833" s="354"/>
      <c r="Y833" s="354"/>
      <c r="Z833" s="354"/>
      <c r="AA833" s="354"/>
      <c r="AB833" s="354"/>
      <c r="AC833" s="354"/>
      <c r="AD833" s="354"/>
      <c r="AE833" s="354"/>
      <c r="AF833" s="354"/>
      <c r="AG833" s="354"/>
      <c r="AH833" s="354"/>
      <c r="AI833" s="354"/>
      <c r="AJ833" s="354"/>
      <c r="AK833" s="354"/>
      <c r="AL833" s="354"/>
      <c r="AM833" s="354"/>
      <c r="AN833" s="354"/>
      <c r="AO833" s="354"/>
      <c r="AP833" s="354"/>
      <c r="AQ833" s="354"/>
      <c r="AR833" s="354"/>
      <c r="AS833" s="354"/>
      <c r="AT833" s="354"/>
      <c r="AU833" s="354"/>
      <c r="AV833" s="354"/>
      <c r="AW833" s="354"/>
      <c r="AX833" s="354"/>
      <c r="AY833" s="354"/>
      <c r="AZ833" s="354"/>
    </row>
    <row r="834" spans="3:52" x14ac:dyDescent="0.25">
      <c r="C834" s="354"/>
      <c r="D834" s="354"/>
      <c r="E834" s="354"/>
      <c r="F834" s="354"/>
      <c r="G834" s="354"/>
      <c r="H834" s="354"/>
      <c r="I834" s="354"/>
      <c r="J834" s="354"/>
      <c r="K834" s="354"/>
      <c r="L834" s="354"/>
      <c r="M834" s="354"/>
      <c r="N834" s="354"/>
      <c r="O834" s="354"/>
      <c r="P834" s="354"/>
      <c r="Q834" s="354"/>
      <c r="R834" s="370"/>
      <c r="S834" s="354"/>
      <c r="T834" s="354"/>
      <c r="U834" s="354"/>
      <c r="V834" s="354"/>
      <c r="W834" s="354"/>
      <c r="X834" s="354"/>
      <c r="Y834" s="354"/>
      <c r="Z834" s="354"/>
      <c r="AA834" s="354"/>
      <c r="AB834" s="354"/>
      <c r="AC834" s="354"/>
      <c r="AD834" s="354"/>
      <c r="AE834" s="354"/>
      <c r="AF834" s="354"/>
      <c r="AG834" s="354"/>
      <c r="AH834" s="354"/>
      <c r="AI834" s="354"/>
      <c r="AJ834" s="354"/>
      <c r="AK834" s="354"/>
      <c r="AL834" s="354"/>
      <c r="AM834" s="354"/>
      <c r="AN834" s="354"/>
      <c r="AO834" s="354"/>
      <c r="AP834" s="354"/>
      <c r="AQ834" s="354"/>
      <c r="AR834" s="354"/>
      <c r="AS834" s="354"/>
      <c r="AT834" s="354"/>
      <c r="AU834" s="354"/>
      <c r="AV834" s="354"/>
      <c r="AW834" s="354"/>
      <c r="AX834" s="354"/>
      <c r="AY834" s="354"/>
      <c r="AZ834" s="354"/>
    </row>
    <row r="835" spans="3:52" x14ac:dyDescent="0.25">
      <c r="C835" s="354"/>
      <c r="D835" s="354"/>
      <c r="E835" s="354"/>
      <c r="F835" s="354"/>
      <c r="G835" s="354"/>
      <c r="H835" s="354"/>
      <c r="I835" s="354"/>
      <c r="J835" s="354"/>
      <c r="K835" s="354"/>
      <c r="L835" s="354"/>
      <c r="M835" s="354"/>
      <c r="N835" s="354"/>
      <c r="O835" s="354"/>
      <c r="P835" s="354"/>
      <c r="Q835" s="354"/>
      <c r="R835" s="370"/>
      <c r="S835" s="354"/>
      <c r="T835" s="354"/>
      <c r="U835" s="354"/>
      <c r="V835" s="354"/>
      <c r="W835" s="354"/>
      <c r="X835" s="354"/>
      <c r="Y835" s="354"/>
      <c r="Z835" s="354"/>
      <c r="AA835" s="354"/>
      <c r="AB835" s="354"/>
      <c r="AC835" s="354"/>
      <c r="AD835" s="354"/>
      <c r="AE835" s="354"/>
      <c r="AF835" s="354"/>
      <c r="AG835" s="354"/>
      <c r="AH835" s="354"/>
      <c r="AI835" s="354"/>
      <c r="AJ835" s="354"/>
      <c r="AK835" s="354"/>
      <c r="AL835" s="354"/>
      <c r="AM835" s="354"/>
      <c r="AN835" s="354"/>
      <c r="AO835" s="354"/>
      <c r="AP835" s="354"/>
      <c r="AQ835" s="354"/>
      <c r="AR835" s="354"/>
      <c r="AS835" s="354"/>
      <c r="AT835" s="354"/>
      <c r="AU835" s="354"/>
      <c r="AV835" s="354"/>
      <c r="AW835" s="354"/>
      <c r="AX835" s="354"/>
      <c r="AY835" s="354"/>
      <c r="AZ835" s="354"/>
    </row>
    <row r="836" spans="3:52" x14ac:dyDescent="0.25">
      <c r="C836" s="354"/>
      <c r="D836" s="354"/>
      <c r="E836" s="354"/>
      <c r="F836" s="354"/>
      <c r="G836" s="354"/>
      <c r="H836" s="354"/>
      <c r="I836" s="354"/>
      <c r="J836" s="354"/>
      <c r="K836" s="354"/>
      <c r="L836" s="354"/>
      <c r="M836" s="354"/>
      <c r="N836" s="354"/>
      <c r="O836" s="354"/>
      <c r="P836" s="354"/>
      <c r="Q836" s="354"/>
      <c r="R836" s="370"/>
      <c r="S836" s="354"/>
      <c r="T836" s="354"/>
      <c r="U836" s="354"/>
      <c r="V836" s="354"/>
      <c r="W836" s="354"/>
      <c r="X836" s="354"/>
      <c r="Y836" s="354"/>
      <c r="Z836" s="354"/>
      <c r="AA836" s="354"/>
      <c r="AB836" s="354"/>
      <c r="AC836" s="354"/>
      <c r="AD836" s="354"/>
      <c r="AE836" s="354"/>
      <c r="AF836" s="354"/>
      <c r="AG836" s="354"/>
      <c r="AH836" s="354"/>
      <c r="AI836" s="354"/>
      <c r="AJ836" s="354"/>
      <c r="AK836" s="354"/>
      <c r="AL836" s="354"/>
      <c r="AM836" s="354"/>
      <c r="AN836" s="354"/>
      <c r="AO836" s="354"/>
      <c r="AP836" s="354"/>
      <c r="AQ836" s="354"/>
      <c r="AR836" s="354"/>
      <c r="AS836" s="354"/>
      <c r="AT836" s="354"/>
      <c r="AU836" s="354"/>
      <c r="AV836" s="354"/>
      <c r="AW836" s="354"/>
      <c r="AX836" s="354"/>
      <c r="AY836" s="354"/>
      <c r="AZ836" s="354"/>
    </row>
    <row r="837" spans="3:52" x14ac:dyDescent="0.25">
      <c r="C837" s="354"/>
      <c r="D837" s="354"/>
      <c r="E837" s="354"/>
      <c r="F837" s="354"/>
      <c r="G837" s="354"/>
      <c r="H837" s="354"/>
      <c r="I837" s="354"/>
      <c r="J837" s="354"/>
      <c r="K837" s="354"/>
      <c r="L837" s="354"/>
      <c r="M837" s="354"/>
      <c r="N837" s="354"/>
      <c r="O837" s="354"/>
      <c r="P837" s="354"/>
      <c r="Q837" s="354"/>
      <c r="R837" s="370"/>
      <c r="S837" s="354"/>
      <c r="T837" s="354"/>
      <c r="U837" s="354"/>
      <c r="V837" s="354"/>
      <c r="W837" s="354"/>
      <c r="X837" s="354"/>
      <c r="Y837" s="354"/>
      <c r="Z837" s="354"/>
      <c r="AA837" s="354"/>
      <c r="AB837" s="354"/>
      <c r="AC837" s="354"/>
      <c r="AD837" s="354"/>
      <c r="AE837" s="354"/>
      <c r="AF837" s="354"/>
      <c r="AG837" s="354"/>
      <c r="AH837" s="354"/>
      <c r="AI837" s="354"/>
      <c r="AJ837" s="354"/>
      <c r="AK837" s="354"/>
      <c r="AL837" s="354"/>
      <c r="AM837" s="354"/>
      <c r="AN837" s="354"/>
      <c r="AO837" s="354"/>
      <c r="AP837" s="354"/>
      <c r="AQ837" s="354"/>
      <c r="AR837" s="354"/>
      <c r="AS837" s="354"/>
      <c r="AT837" s="354"/>
      <c r="AU837" s="354"/>
      <c r="AV837" s="354"/>
      <c r="AW837" s="354"/>
      <c r="AX837" s="354"/>
      <c r="AY837" s="354"/>
      <c r="AZ837" s="354"/>
    </row>
    <row r="838" spans="3:52" x14ac:dyDescent="0.25">
      <c r="C838" s="354"/>
      <c r="D838" s="354"/>
      <c r="E838" s="354"/>
      <c r="F838" s="354"/>
      <c r="G838" s="354"/>
      <c r="H838" s="354"/>
      <c r="I838" s="354"/>
      <c r="J838" s="354"/>
      <c r="K838" s="354"/>
      <c r="L838" s="354"/>
      <c r="M838" s="354"/>
      <c r="N838" s="354"/>
      <c r="O838" s="354"/>
      <c r="P838" s="354"/>
      <c r="Q838" s="354"/>
      <c r="R838" s="370"/>
      <c r="S838" s="354"/>
      <c r="T838" s="354"/>
      <c r="U838" s="354"/>
      <c r="V838" s="354"/>
      <c r="W838" s="354"/>
      <c r="X838" s="354"/>
      <c r="Y838" s="354"/>
      <c r="Z838" s="354"/>
      <c r="AA838" s="354"/>
      <c r="AB838" s="354"/>
      <c r="AC838" s="354"/>
      <c r="AD838" s="354"/>
      <c r="AE838" s="354"/>
      <c r="AF838" s="354"/>
      <c r="AG838" s="354"/>
      <c r="AH838" s="354"/>
      <c r="AI838" s="354"/>
      <c r="AJ838" s="354"/>
      <c r="AK838" s="354"/>
      <c r="AL838" s="354"/>
      <c r="AM838" s="354"/>
      <c r="AN838" s="354"/>
      <c r="AO838" s="354"/>
      <c r="AP838" s="354"/>
      <c r="AQ838" s="354"/>
      <c r="AR838" s="354"/>
      <c r="AS838" s="354"/>
      <c r="AT838" s="354"/>
      <c r="AU838" s="354"/>
      <c r="AV838" s="354"/>
      <c r="AW838" s="354"/>
      <c r="AX838" s="354"/>
      <c r="AY838" s="354"/>
      <c r="AZ838" s="354"/>
    </row>
    <row r="839" spans="3:52" x14ac:dyDescent="0.25">
      <c r="C839" s="354"/>
      <c r="D839" s="354"/>
      <c r="E839" s="354"/>
      <c r="F839" s="354"/>
      <c r="G839" s="354"/>
      <c r="H839" s="354"/>
      <c r="I839" s="354"/>
      <c r="J839" s="354"/>
      <c r="K839" s="354"/>
      <c r="L839" s="354"/>
      <c r="M839" s="354"/>
      <c r="N839" s="354"/>
      <c r="O839" s="354"/>
      <c r="P839" s="354"/>
      <c r="Q839" s="354"/>
      <c r="R839" s="370"/>
      <c r="S839" s="354"/>
      <c r="T839" s="354"/>
      <c r="U839" s="354"/>
      <c r="V839" s="354"/>
      <c r="W839" s="354"/>
      <c r="X839" s="354"/>
      <c r="Y839" s="354"/>
      <c r="Z839" s="354"/>
      <c r="AA839" s="354"/>
      <c r="AB839" s="354"/>
      <c r="AC839" s="354"/>
      <c r="AD839" s="354"/>
      <c r="AE839" s="354"/>
      <c r="AF839" s="354"/>
      <c r="AG839" s="354"/>
      <c r="AH839" s="354"/>
      <c r="AI839" s="354"/>
      <c r="AJ839" s="354"/>
      <c r="AK839" s="354"/>
      <c r="AL839" s="354"/>
      <c r="AM839" s="354"/>
      <c r="AN839" s="354"/>
      <c r="AO839" s="354"/>
      <c r="AP839" s="354"/>
      <c r="AQ839" s="354"/>
      <c r="AR839" s="354"/>
      <c r="AS839" s="354"/>
      <c r="AT839" s="354"/>
      <c r="AU839" s="354"/>
      <c r="AV839" s="354"/>
      <c r="AW839" s="354"/>
      <c r="AX839" s="354"/>
      <c r="AY839" s="354"/>
      <c r="AZ839" s="354"/>
    </row>
    <row r="840" spans="3:52" x14ac:dyDescent="0.25">
      <c r="C840" s="354"/>
      <c r="D840" s="354"/>
      <c r="E840" s="354"/>
      <c r="F840" s="354"/>
      <c r="G840" s="354"/>
      <c r="H840" s="354"/>
      <c r="I840" s="354"/>
      <c r="J840" s="354"/>
      <c r="K840" s="354"/>
      <c r="L840" s="354"/>
      <c r="M840" s="354"/>
      <c r="N840" s="354"/>
      <c r="O840" s="354"/>
      <c r="P840" s="354"/>
      <c r="Q840" s="354"/>
      <c r="R840" s="370"/>
      <c r="S840" s="354"/>
      <c r="T840" s="354"/>
      <c r="U840" s="354"/>
      <c r="V840" s="354"/>
      <c r="W840" s="354"/>
      <c r="X840" s="354"/>
      <c r="Y840" s="354"/>
      <c r="Z840" s="354"/>
      <c r="AA840" s="354"/>
      <c r="AB840" s="354"/>
      <c r="AC840" s="354"/>
      <c r="AD840" s="354"/>
      <c r="AE840" s="354"/>
      <c r="AF840" s="354"/>
      <c r="AG840" s="354"/>
      <c r="AH840" s="354"/>
      <c r="AI840" s="354"/>
      <c r="AJ840" s="354"/>
      <c r="AK840" s="354"/>
      <c r="AL840" s="354"/>
      <c r="AM840" s="354"/>
      <c r="AN840" s="354"/>
      <c r="AO840" s="354"/>
      <c r="AP840" s="354"/>
      <c r="AQ840" s="354"/>
      <c r="AR840" s="354"/>
      <c r="AS840" s="354"/>
      <c r="AT840" s="354"/>
      <c r="AU840" s="354"/>
      <c r="AV840" s="354"/>
      <c r="AW840" s="354"/>
      <c r="AX840" s="354"/>
      <c r="AY840" s="354"/>
      <c r="AZ840" s="354"/>
    </row>
    <row r="841" spans="3:52" x14ac:dyDescent="0.25">
      <c r="C841" s="354"/>
      <c r="D841" s="354"/>
      <c r="E841" s="354"/>
      <c r="F841" s="354"/>
      <c r="G841" s="354"/>
      <c r="H841" s="354"/>
      <c r="I841" s="354"/>
      <c r="J841" s="354"/>
      <c r="K841" s="354"/>
      <c r="L841" s="354"/>
      <c r="M841" s="354"/>
      <c r="N841" s="354"/>
      <c r="O841" s="354"/>
      <c r="P841" s="354"/>
      <c r="Q841" s="354"/>
      <c r="R841" s="370"/>
      <c r="S841" s="354"/>
      <c r="T841" s="354"/>
      <c r="U841" s="354"/>
      <c r="V841" s="354"/>
      <c r="W841" s="354"/>
      <c r="X841" s="354"/>
      <c r="Y841" s="354"/>
      <c r="Z841" s="354"/>
      <c r="AA841" s="354"/>
      <c r="AB841" s="354"/>
      <c r="AC841" s="354"/>
      <c r="AD841" s="354"/>
      <c r="AE841" s="354"/>
      <c r="AF841" s="354"/>
      <c r="AG841" s="354"/>
      <c r="AH841" s="354"/>
      <c r="AI841" s="354"/>
      <c r="AJ841" s="354"/>
      <c r="AK841" s="354"/>
      <c r="AL841" s="354"/>
      <c r="AM841" s="354"/>
      <c r="AN841" s="354"/>
      <c r="AO841" s="354"/>
      <c r="AP841" s="354"/>
      <c r="AQ841" s="354"/>
      <c r="AR841" s="354"/>
      <c r="AS841" s="354"/>
      <c r="AT841" s="354"/>
      <c r="AU841" s="354"/>
      <c r="AV841" s="354"/>
      <c r="AW841" s="354"/>
      <c r="AX841" s="354"/>
      <c r="AY841" s="354"/>
      <c r="AZ841" s="354"/>
    </row>
    <row r="842" spans="3:52" x14ac:dyDescent="0.25">
      <c r="C842" s="354"/>
      <c r="D842" s="354"/>
      <c r="E842" s="354"/>
      <c r="F842" s="354"/>
      <c r="G842" s="354"/>
      <c r="H842" s="354"/>
      <c r="I842" s="354"/>
      <c r="J842" s="354"/>
      <c r="K842" s="354"/>
      <c r="L842" s="354"/>
      <c r="M842" s="354"/>
      <c r="N842" s="354"/>
      <c r="O842" s="354"/>
      <c r="P842" s="354"/>
      <c r="Q842" s="354"/>
      <c r="R842" s="370"/>
      <c r="S842" s="354"/>
      <c r="T842" s="354"/>
      <c r="U842" s="354"/>
      <c r="V842" s="354"/>
      <c r="W842" s="354"/>
      <c r="X842" s="354"/>
      <c r="Y842" s="354"/>
      <c r="Z842" s="354"/>
      <c r="AA842" s="354"/>
      <c r="AB842" s="354"/>
      <c r="AC842" s="354"/>
      <c r="AD842" s="354"/>
      <c r="AE842" s="354"/>
      <c r="AF842" s="354"/>
      <c r="AG842" s="354"/>
      <c r="AH842" s="354"/>
      <c r="AI842" s="354"/>
      <c r="AJ842" s="354"/>
      <c r="AK842" s="354"/>
      <c r="AL842" s="354"/>
      <c r="AM842" s="354"/>
      <c r="AN842" s="354"/>
      <c r="AO842" s="354"/>
      <c r="AP842" s="354"/>
      <c r="AQ842" s="354"/>
      <c r="AR842" s="354"/>
      <c r="AS842" s="354"/>
      <c r="AT842" s="354"/>
      <c r="AU842" s="354"/>
      <c r="AV842" s="354"/>
      <c r="AW842" s="354"/>
      <c r="AX842" s="354"/>
      <c r="AY842" s="354"/>
      <c r="AZ842" s="354"/>
    </row>
    <row r="843" spans="3:52" x14ac:dyDescent="0.25">
      <c r="C843" s="354"/>
      <c r="D843" s="354"/>
      <c r="E843" s="354"/>
      <c r="F843" s="354"/>
      <c r="G843" s="354"/>
      <c r="H843" s="354"/>
      <c r="I843" s="354"/>
      <c r="J843" s="354"/>
      <c r="K843" s="354"/>
      <c r="L843" s="354"/>
      <c r="M843" s="354"/>
      <c r="N843" s="354"/>
      <c r="O843" s="354"/>
      <c r="P843" s="354"/>
      <c r="Q843" s="354"/>
      <c r="R843" s="370"/>
      <c r="S843" s="354"/>
      <c r="T843" s="354"/>
      <c r="U843" s="354"/>
      <c r="V843" s="354"/>
      <c r="W843" s="354"/>
      <c r="X843" s="354"/>
      <c r="Y843" s="354"/>
      <c r="Z843" s="354"/>
      <c r="AA843" s="354"/>
      <c r="AB843" s="354"/>
      <c r="AC843" s="354"/>
      <c r="AD843" s="354"/>
      <c r="AE843" s="354"/>
      <c r="AF843" s="354"/>
      <c r="AG843" s="354"/>
      <c r="AH843" s="354"/>
      <c r="AI843" s="354"/>
      <c r="AJ843" s="354"/>
      <c r="AK843" s="354"/>
      <c r="AL843" s="354"/>
      <c r="AM843" s="354"/>
      <c r="AN843" s="354"/>
      <c r="AO843" s="354"/>
      <c r="AP843" s="354"/>
      <c r="AQ843" s="354"/>
      <c r="AR843" s="354"/>
      <c r="AS843" s="354"/>
      <c r="AT843" s="354"/>
      <c r="AU843" s="354"/>
      <c r="AV843" s="354"/>
      <c r="AW843" s="354"/>
      <c r="AX843" s="354"/>
      <c r="AY843" s="354"/>
      <c r="AZ843" s="354"/>
    </row>
    <row r="844" spans="3:52" x14ac:dyDescent="0.25">
      <c r="C844" s="354"/>
      <c r="D844" s="354"/>
      <c r="E844" s="354"/>
      <c r="F844" s="354"/>
      <c r="G844" s="354"/>
      <c r="H844" s="354"/>
      <c r="I844" s="354"/>
      <c r="J844" s="354"/>
      <c r="K844" s="354"/>
      <c r="L844" s="354"/>
      <c r="M844" s="354"/>
      <c r="N844" s="354"/>
      <c r="O844" s="354"/>
      <c r="P844" s="354"/>
      <c r="Q844" s="354"/>
      <c r="R844" s="370"/>
      <c r="S844" s="354"/>
      <c r="T844" s="354"/>
      <c r="U844" s="354"/>
      <c r="V844" s="354"/>
      <c r="W844" s="354"/>
      <c r="X844" s="354"/>
      <c r="Y844" s="354"/>
      <c r="Z844" s="354"/>
      <c r="AA844" s="354"/>
      <c r="AB844" s="354"/>
      <c r="AC844" s="354"/>
      <c r="AD844" s="354"/>
      <c r="AE844" s="354"/>
      <c r="AF844" s="354"/>
      <c r="AG844" s="354"/>
      <c r="AH844" s="354"/>
      <c r="AI844" s="354"/>
      <c r="AJ844" s="354"/>
      <c r="AK844" s="354"/>
      <c r="AL844" s="354"/>
      <c r="AM844" s="354"/>
      <c r="AN844" s="354"/>
      <c r="AO844" s="354"/>
      <c r="AP844" s="354"/>
      <c r="AQ844" s="354"/>
      <c r="AR844" s="354"/>
      <c r="AS844" s="354"/>
      <c r="AT844" s="354"/>
      <c r="AU844" s="354"/>
      <c r="AV844" s="354"/>
      <c r="AW844" s="354"/>
      <c r="AX844" s="354"/>
      <c r="AY844" s="354"/>
      <c r="AZ844" s="354"/>
    </row>
    <row r="845" spans="3:52" x14ac:dyDescent="0.25">
      <c r="C845" s="354"/>
      <c r="D845" s="354"/>
      <c r="E845" s="354"/>
      <c r="F845" s="354"/>
      <c r="G845" s="354"/>
      <c r="H845" s="354"/>
      <c r="I845" s="354"/>
      <c r="J845" s="354"/>
      <c r="K845" s="354"/>
      <c r="L845" s="354"/>
      <c r="M845" s="354"/>
      <c r="N845" s="354"/>
      <c r="O845" s="354"/>
      <c r="P845" s="354"/>
      <c r="Q845" s="354"/>
      <c r="R845" s="370"/>
      <c r="S845" s="354"/>
      <c r="T845" s="354"/>
      <c r="U845" s="354"/>
      <c r="V845" s="354"/>
      <c r="W845" s="354"/>
      <c r="X845" s="354"/>
      <c r="Y845" s="354"/>
      <c r="Z845" s="354"/>
      <c r="AA845" s="354"/>
      <c r="AB845" s="354"/>
      <c r="AC845" s="354"/>
      <c r="AD845" s="354"/>
      <c r="AE845" s="354"/>
      <c r="AF845" s="354"/>
      <c r="AG845" s="354"/>
      <c r="AH845" s="354"/>
      <c r="AI845" s="354"/>
      <c r="AJ845" s="354"/>
      <c r="AK845" s="354"/>
      <c r="AL845" s="354"/>
      <c r="AM845" s="354"/>
      <c r="AN845" s="354"/>
      <c r="AO845" s="354"/>
      <c r="AP845" s="354"/>
      <c r="AQ845" s="354"/>
      <c r="AR845" s="354"/>
      <c r="AS845" s="354"/>
      <c r="AT845" s="354"/>
      <c r="AU845" s="354"/>
      <c r="AV845" s="354"/>
      <c r="AW845" s="354"/>
      <c r="AX845" s="354"/>
      <c r="AY845" s="354"/>
      <c r="AZ845" s="354"/>
    </row>
    <row r="846" spans="3:52" x14ac:dyDescent="0.25">
      <c r="C846" s="354"/>
      <c r="D846" s="354"/>
      <c r="E846" s="354"/>
      <c r="F846" s="354"/>
      <c r="G846" s="354"/>
      <c r="H846" s="354"/>
      <c r="I846" s="354"/>
      <c r="J846" s="354"/>
      <c r="K846" s="354"/>
      <c r="L846" s="354"/>
      <c r="M846" s="354"/>
      <c r="N846" s="354"/>
      <c r="O846" s="354"/>
      <c r="P846" s="354"/>
      <c r="Q846" s="354"/>
      <c r="R846" s="370"/>
      <c r="S846" s="354"/>
      <c r="T846" s="354"/>
      <c r="U846" s="354"/>
      <c r="V846" s="354"/>
      <c r="W846" s="354"/>
      <c r="X846" s="354"/>
      <c r="Y846" s="354"/>
      <c r="Z846" s="354"/>
      <c r="AA846" s="354"/>
      <c r="AB846" s="354"/>
      <c r="AC846" s="354"/>
      <c r="AD846" s="354"/>
      <c r="AE846" s="354"/>
      <c r="AF846" s="354"/>
      <c r="AG846" s="354"/>
      <c r="AH846" s="354"/>
      <c r="AI846" s="354"/>
      <c r="AJ846" s="354"/>
      <c r="AK846" s="354"/>
      <c r="AL846" s="354"/>
      <c r="AM846" s="354"/>
      <c r="AN846" s="354"/>
      <c r="AO846" s="354"/>
      <c r="AP846" s="354"/>
      <c r="AQ846" s="354"/>
      <c r="AR846" s="354"/>
      <c r="AS846" s="354"/>
      <c r="AT846" s="354"/>
      <c r="AU846" s="354"/>
      <c r="AV846" s="354"/>
      <c r="AW846" s="354"/>
      <c r="AX846" s="354"/>
      <c r="AY846" s="354"/>
      <c r="AZ846" s="354"/>
    </row>
    <row r="847" spans="3:52" x14ac:dyDescent="0.25">
      <c r="C847" s="354"/>
      <c r="D847" s="354"/>
      <c r="E847" s="354"/>
      <c r="F847" s="354"/>
      <c r="G847" s="354"/>
      <c r="H847" s="354"/>
      <c r="I847" s="354"/>
      <c r="J847" s="354"/>
      <c r="K847" s="354"/>
      <c r="L847" s="354"/>
      <c r="M847" s="354"/>
      <c r="N847" s="354"/>
      <c r="O847" s="354"/>
      <c r="P847" s="354"/>
      <c r="Q847" s="354"/>
      <c r="R847" s="370"/>
      <c r="S847" s="354"/>
      <c r="T847" s="354"/>
      <c r="U847" s="354"/>
      <c r="V847" s="354"/>
      <c r="W847" s="354"/>
      <c r="X847" s="354"/>
      <c r="Y847" s="354"/>
      <c r="Z847" s="354"/>
      <c r="AA847" s="354"/>
      <c r="AB847" s="354"/>
      <c r="AC847" s="354"/>
      <c r="AD847" s="354"/>
      <c r="AE847" s="354"/>
      <c r="AF847" s="354"/>
      <c r="AG847" s="354"/>
      <c r="AH847" s="354"/>
      <c r="AI847" s="354"/>
      <c r="AJ847" s="354"/>
      <c r="AK847" s="354"/>
      <c r="AL847" s="354"/>
      <c r="AM847" s="354"/>
      <c r="AN847" s="354"/>
      <c r="AO847" s="354"/>
      <c r="AP847" s="354"/>
      <c r="AQ847" s="354"/>
      <c r="AR847" s="354"/>
      <c r="AS847" s="354"/>
      <c r="AT847" s="354"/>
      <c r="AU847" s="354"/>
      <c r="AV847" s="354"/>
      <c r="AW847" s="354"/>
      <c r="AX847" s="354"/>
      <c r="AY847" s="354"/>
      <c r="AZ847" s="354"/>
    </row>
    <row r="848" spans="3:52" x14ac:dyDescent="0.25">
      <c r="C848" s="354"/>
      <c r="D848" s="354"/>
      <c r="E848" s="354"/>
      <c r="F848" s="354"/>
      <c r="G848" s="354"/>
      <c r="H848" s="354"/>
      <c r="I848" s="354"/>
      <c r="J848" s="354"/>
      <c r="K848" s="354"/>
      <c r="L848" s="354"/>
      <c r="M848" s="354"/>
      <c r="N848" s="354"/>
      <c r="O848" s="354"/>
      <c r="P848" s="354"/>
      <c r="Q848" s="354"/>
      <c r="R848" s="370"/>
      <c r="S848" s="354"/>
      <c r="T848" s="354"/>
      <c r="U848" s="354"/>
      <c r="V848" s="354"/>
      <c r="W848" s="354"/>
      <c r="X848" s="354"/>
      <c r="Y848" s="354"/>
      <c r="Z848" s="354"/>
      <c r="AA848" s="354"/>
      <c r="AB848" s="354"/>
      <c r="AC848" s="354"/>
      <c r="AD848" s="354"/>
      <c r="AE848" s="354"/>
      <c r="AF848" s="354"/>
      <c r="AG848" s="354"/>
      <c r="AH848" s="354"/>
      <c r="AI848" s="354"/>
      <c r="AJ848" s="354"/>
      <c r="AK848" s="354"/>
      <c r="AL848" s="354"/>
      <c r="AM848" s="354"/>
      <c r="AN848" s="354"/>
      <c r="AO848" s="354"/>
      <c r="AP848" s="354"/>
      <c r="AQ848" s="354"/>
      <c r="AR848" s="354"/>
      <c r="AS848" s="354"/>
      <c r="AT848" s="354"/>
      <c r="AU848" s="354"/>
      <c r="AV848" s="354"/>
      <c r="AW848" s="354"/>
      <c r="AX848" s="354"/>
      <c r="AY848" s="354"/>
      <c r="AZ848" s="354"/>
    </row>
    <row r="849" spans="3:52" x14ac:dyDescent="0.25">
      <c r="C849" s="354"/>
      <c r="D849" s="354"/>
      <c r="E849" s="354"/>
      <c r="F849" s="354"/>
      <c r="G849" s="354"/>
      <c r="H849" s="354"/>
      <c r="I849" s="354"/>
      <c r="J849" s="354"/>
      <c r="K849" s="354"/>
      <c r="L849" s="354"/>
      <c r="M849" s="354"/>
      <c r="N849" s="354"/>
      <c r="O849" s="354"/>
      <c r="P849" s="354"/>
      <c r="Q849" s="354"/>
      <c r="R849" s="370"/>
      <c r="S849" s="354"/>
      <c r="T849" s="354"/>
      <c r="U849" s="354"/>
      <c r="V849" s="354"/>
      <c r="W849" s="354"/>
      <c r="X849" s="354"/>
      <c r="Y849" s="354"/>
      <c r="Z849" s="354"/>
      <c r="AA849" s="354"/>
      <c r="AB849" s="354"/>
      <c r="AC849" s="354"/>
      <c r="AD849" s="354"/>
      <c r="AE849" s="354"/>
      <c r="AF849" s="354"/>
      <c r="AG849" s="354"/>
      <c r="AH849" s="354"/>
      <c r="AI849" s="354"/>
      <c r="AJ849" s="354"/>
      <c r="AK849" s="354"/>
      <c r="AL849" s="354"/>
      <c r="AM849" s="354"/>
      <c r="AN849" s="354"/>
      <c r="AO849" s="354"/>
      <c r="AP849" s="354"/>
      <c r="AQ849" s="354"/>
      <c r="AR849" s="354"/>
      <c r="AS849" s="354"/>
      <c r="AT849" s="354"/>
      <c r="AU849" s="354"/>
      <c r="AV849" s="354"/>
      <c r="AW849" s="354"/>
      <c r="AX849" s="354"/>
      <c r="AY849" s="354"/>
      <c r="AZ849" s="354"/>
    </row>
    <row r="850" spans="3:52" x14ac:dyDescent="0.25">
      <c r="C850" s="354"/>
      <c r="D850" s="354"/>
      <c r="E850" s="354"/>
      <c r="F850" s="354"/>
      <c r="G850" s="354"/>
      <c r="H850" s="354"/>
      <c r="I850" s="354"/>
      <c r="J850" s="354"/>
      <c r="K850" s="354"/>
      <c r="L850" s="354"/>
      <c r="M850" s="354"/>
      <c r="N850" s="354"/>
      <c r="O850" s="354"/>
      <c r="P850" s="354"/>
      <c r="Q850" s="354"/>
      <c r="R850" s="370"/>
      <c r="S850" s="354"/>
      <c r="T850" s="354"/>
      <c r="U850" s="354"/>
      <c r="V850" s="354"/>
      <c r="W850" s="354"/>
      <c r="X850" s="354"/>
      <c r="Y850" s="354"/>
      <c r="Z850" s="354"/>
      <c r="AA850" s="354"/>
      <c r="AB850" s="354"/>
      <c r="AC850" s="354"/>
      <c r="AD850" s="354"/>
      <c r="AE850" s="354"/>
      <c r="AF850" s="354"/>
      <c r="AG850" s="354"/>
      <c r="AH850" s="354"/>
      <c r="AI850" s="354"/>
      <c r="AJ850" s="354"/>
      <c r="AK850" s="354"/>
      <c r="AL850" s="354"/>
      <c r="AM850" s="354"/>
      <c r="AN850" s="354"/>
      <c r="AO850" s="354"/>
      <c r="AP850" s="354"/>
      <c r="AQ850" s="354"/>
      <c r="AR850" s="354"/>
      <c r="AS850" s="354"/>
      <c r="AT850" s="354"/>
      <c r="AU850" s="354"/>
      <c r="AV850" s="354"/>
      <c r="AW850" s="354"/>
      <c r="AX850" s="354"/>
      <c r="AY850" s="354"/>
      <c r="AZ850" s="354"/>
    </row>
    <row r="851" spans="3:52" x14ac:dyDescent="0.25">
      <c r="C851" s="354"/>
      <c r="D851" s="354"/>
      <c r="E851" s="354"/>
      <c r="F851" s="354"/>
      <c r="G851" s="354"/>
      <c r="H851" s="354"/>
      <c r="I851" s="354"/>
      <c r="J851" s="354"/>
      <c r="K851" s="354"/>
      <c r="L851" s="354"/>
      <c r="M851" s="354"/>
      <c r="N851" s="354"/>
      <c r="O851" s="354"/>
      <c r="P851" s="354"/>
      <c r="Q851" s="354"/>
      <c r="R851" s="370"/>
      <c r="S851" s="354"/>
      <c r="T851" s="354"/>
      <c r="U851" s="354"/>
      <c r="V851" s="354"/>
      <c r="W851" s="354"/>
      <c r="X851" s="354"/>
      <c r="Y851" s="354"/>
      <c r="Z851" s="354"/>
      <c r="AA851" s="354"/>
      <c r="AB851" s="354"/>
      <c r="AC851" s="354"/>
      <c r="AD851" s="354"/>
      <c r="AE851" s="354"/>
      <c r="AF851" s="354"/>
      <c r="AG851" s="354"/>
      <c r="AH851" s="354"/>
      <c r="AI851" s="354"/>
      <c r="AJ851" s="354"/>
      <c r="AK851" s="354"/>
      <c r="AL851" s="354"/>
      <c r="AM851" s="354"/>
      <c r="AN851" s="354"/>
      <c r="AO851" s="354"/>
      <c r="AP851" s="354"/>
      <c r="AQ851" s="354"/>
      <c r="AR851" s="354"/>
      <c r="AS851" s="354"/>
      <c r="AT851" s="354"/>
      <c r="AU851" s="354"/>
      <c r="AV851" s="354"/>
      <c r="AW851" s="354"/>
      <c r="AX851" s="354"/>
      <c r="AY851" s="354"/>
      <c r="AZ851" s="354"/>
    </row>
    <row r="852" spans="3:52" x14ac:dyDescent="0.25">
      <c r="C852" s="354"/>
      <c r="D852" s="354"/>
      <c r="E852" s="354"/>
      <c r="F852" s="354"/>
      <c r="G852" s="354"/>
      <c r="H852" s="354"/>
      <c r="I852" s="354"/>
      <c r="J852" s="354"/>
      <c r="K852" s="354"/>
      <c r="L852" s="354"/>
      <c r="M852" s="354"/>
      <c r="N852" s="354"/>
      <c r="O852" s="354"/>
      <c r="P852" s="354"/>
      <c r="Q852" s="354"/>
      <c r="R852" s="370"/>
      <c r="S852" s="354"/>
      <c r="T852" s="354"/>
      <c r="U852" s="354"/>
      <c r="V852" s="354"/>
      <c r="W852" s="354"/>
      <c r="X852" s="354"/>
      <c r="Y852" s="354"/>
      <c r="Z852" s="354"/>
      <c r="AA852" s="354"/>
      <c r="AB852" s="354"/>
      <c r="AC852" s="354"/>
      <c r="AD852" s="354"/>
      <c r="AE852" s="354"/>
      <c r="AF852" s="354"/>
      <c r="AG852" s="354"/>
      <c r="AH852" s="354"/>
      <c r="AI852" s="354"/>
      <c r="AJ852" s="354"/>
      <c r="AK852" s="354"/>
      <c r="AL852" s="354"/>
      <c r="AM852" s="354"/>
      <c r="AN852" s="354"/>
      <c r="AO852" s="354"/>
      <c r="AP852" s="354"/>
      <c r="AQ852" s="354"/>
      <c r="AR852" s="354"/>
      <c r="AS852" s="354"/>
      <c r="AT852" s="354"/>
      <c r="AU852" s="354"/>
      <c r="AV852" s="354"/>
      <c r="AW852" s="354"/>
      <c r="AX852" s="354"/>
      <c r="AY852" s="354"/>
      <c r="AZ852" s="354"/>
    </row>
    <row r="853" spans="3:52" x14ac:dyDescent="0.25">
      <c r="C853" s="354"/>
      <c r="D853" s="354"/>
      <c r="E853" s="354"/>
      <c r="F853" s="354"/>
      <c r="G853" s="354"/>
      <c r="H853" s="354"/>
      <c r="I853" s="354"/>
      <c r="J853" s="354"/>
      <c r="K853" s="354"/>
      <c r="L853" s="354"/>
      <c r="M853" s="354"/>
      <c r="N853" s="354"/>
      <c r="O853" s="354"/>
      <c r="P853" s="354"/>
      <c r="Q853" s="354"/>
      <c r="R853" s="370"/>
      <c r="S853" s="354"/>
      <c r="T853" s="354"/>
      <c r="U853" s="354"/>
      <c r="V853" s="354"/>
      <c r="W853" s="354"/>
      <c r="X853" s="354"/>
      <c r="Y853" s="354"/>
      <c r="Z853" s="354"/>
      <c r="AA853" s="354"/>
      <c r="AB853" s="354"/>
      <c r="AC853" s="354"/>
      <c r="AD853" s="354"/>
      <c r="AE853" s="354"/>
      <c r="AF853" s="354"/>
      <c r="AG853" s="354"/>
      <c r="AH853" s="354"/>
      <c r="AI853" s="354"/>
      <c r="AJ853" s="354"/>
      <c r="AK853" s="354"/>
      <c r="AL853" s="354"/>
      <c r="AM853" s="354"/>
      <c r="AN853" s="354"/>
      <c r="AO853" s="354"/>
      <c r="AP853" s="354"/>
      <c r="AQ853" s="354"/>
      <c r="AR853" s="354"/>
      <c r="AS853" s="354"/>
      <c r="AT853" s="354"/>
      <c r="AU853" s="354"/>
      <c r="AV853" s="354"/>
      <c r="AW853" s="354"/>
      <c r="AX853" s="354"/>
      <c r="AY853" s="354"/>
      <c r="AZ853" s="354"/>
    </row>
    <row r="854" spans="3:52" x14ac:dyDescent="0.25">
      <c r="C854" s="354"/>
      <c r="D854" s="354"/>
      <c r="E854" s="354"/>
      <c r="F854" s="354"/>
      <c r="G854" s="354"/>
      <c r="H854" s="354"/>
      <c r="I854" s="354"/>
      <c r="J854" s="354"/>
      <c r="K854" s="354"/>
      <c r="L854" s="354"/>
      <c r="M854" s="354"/>
      <c r="N854" s="354"/>
      <c r="O854" s="354"/>
      <c r="P854" s="354"/>
      <c r="Q854" s="354"/>
      <c r="R854" s="370"/>
      <c r="S854" s="354"/>
      <c r="T854" s="354"/>
      <c r="U854" s="354"/>
      <c r="V854" s="354"/>
      <c r="W854" s="354"/>
      <c r="X854" s="354"/>
      <c r="Y854" s="354"/>
      <c r="Z854" s="354"/>
      <c r="AA854" s="354"/>
      <c r="AB854" s="354"/>
      <c r="AC854" s="354"/>
      <c r="AD854" s="354"/>
      <c r="AE854" s="354"/>
      <c r="AF854" s="354"/>
      <c r="AG854" s="354"/>
      <c r="AH854" s="354"/>
      <c r="AI854" s="354"/>
      <c r="AJ854" s="354"/>
      <c r="AK854" s="354"/>
      <c r="AL854" s="354"/>
      <c r="AM854" s="354"/>
      <c r="AN854" s="354"/>
      <c r="AO854" s="354"/>
      <c r="AP854" s="354"/>
      <c r="AQ854" s="354"/>
      <c r="AR854" s="354"/>
      <c r="AS854" s="354"/>
      <c r="AT854" s="354"/>
      <c r="AU854" s="354"/>
      <c r="AV854" s="354"/>
      <c r="AW854" s="354"/>
      <c r="AX854" s="354"/>
      <c r="AY854" s="354"/>
      <c r="AZ854" s="354"/>
    </row>
    <row r="855" spans="3:52" x14ac:dyDescent="0.25">
      <c r="C855" s="354"/>
      <c r="D855" s="354"/>
      <c r="E855" s="354"/>
      <c r="F855" s="354"/>
      <c r="G855" s="354"/>
      <c r="H855" s="354"/>
      <c r="I855" s="354"/>
      <c r="J855" s="354"/>
      <c r="K855" s="354"/>
      <c r="L855" s="354"/>
      <c r="M855" s="354"/>
      <c r="N855" s="354"/>
      <c r="O855" s="354"/>
      <c r="P855" s="354"/>
      <c r="Q855" s="354"/>
      <c r="R855" s="370"/>
      <c r="S855" s="354"/>
      <c r="T855" s="354"/>
      <c r="U855" s="354"/>
      <c r="V855" s="354"/>
      <c r="W855" s="354"/>
      <c r="X855" s="354"/>
      <c r="Y855" s="354"/>
      <c r="Z855" s="354"/>
      <c r="AA855" s="354"/>
      <c r="AB855" s="354"/>
      <c r="AC855" s="354"/>
      <c r="AD855" s="354"/>
      <c r="AE855" s="354"/>
      <c r="AF855" s="354"/>
      <c r="AG855" s="354"/>
      <c r="AH855" s="354"/>
      <c r="AI855" s="354"/>
      <c r="AJ855" s="354"/>
      <c r="AK855" s="354"/>
      <c r="AL855" s="354"/>
      <c r="AM855" s="354"/>
      <c r="AN855" s="354"/>
      <c r="AO855" s="354"/>
      <c r="AP855" s="354"/>
      <c r="AQ855" s="354"/>
      <c r="AR855" s="354"/>
      <c r="AS855" s="354"/>
      <c r="AT855" s="354"/>
      <c r="AU855" s="354"/>
      <c r="AV855" s="354"/>
      <c r="AW855" s="354"/>
      <c r="AX855" s="354"/>
      <c r="AY855" s="354"/>
      <c r="AZ855" s="354"/>
    </row>
    <row r="856" spans="3:52" x14ac:dyDescent="0.25">
      <c r="C856" s="354"/>
      <c r="D856" s="354"/>
      <c r="E856" s="354"/>
      <c r="F856" s="354"/>
      <c r="G856" s="354"/>
      <c r="H856" s="354"/>
      <c r="I856" s="354"/>
      <c r="J856" s="354"/>
      <c r="K856" s="354"/>
      <c r="L856" s="354"/>
      <c r="M856" s="354"/>
      <c r="N856" s="354"/>
      <c r="O856" s="354"/>
      <c r="P856" s="354"/>
      <c r="Q856" s="354"/>
      <c r="R856" s="370"/>
      <c r="S856" s="354"/>
      <c r="T856" s="354"/>
      <c r="U856" s="354"/>
      <c r="V856" s="354"/>
      <c r="W856" s="354"/>
      <c r="X856" s="354"/>
      <c r="Y856" s="354"/>
      <c r="Z856" s="354"/>
      <c r="AA856" s="354"/>
      <c r="AB856" s="354"/>
      <c r="AC856" s="354"/>
      <c r="AD856" s="354"/>
      <c r="AE856" s="354"/>
      <c r="AF856" s="354"/>
      <c r="AG856" s="354"/>
      <c r="AH856" s="354"/>
      <c r="AI856" s="354"/>
      <c r="AJ856" s="354"/>
      <c r="AK856" s="354"/>
      <c r="AL856" s="354"/>
      <c r="AM856" s="354"/>
      <c r="AN856" s="354"/>
      <c r="AO856" s="354"/>
      <c r="AP856" s="354"/>
      <c r="AQ856" s="354"/>
      <c r="AR856" s="354"/>
      <c r="AS856" s="354"/>
      <c r="AT856" s="354"/>
      <c r="AU856" s="354"/>
      <c r="AV856" s="354"/>
      <c r="AW856" s="354"/>
      <c r="AX856" s="354"/>
      <c r="AY856" s="354"/>
      <c r="AZ856" s="354"/>
    </row>
    <row r="857" spans="3:52" x14ac:dyDescent="0.25">
      <c r="C857" s="354"/>
      <c r="D857" s="354"/>
      <c r="E857" s="354"/>
      <c r="F857" s="354"/>
      <c r="G857" s="354"/>
      <c r="H857" s="354"/>
      <c r="I857" s="354"/>
      <c r="J857" s="354"/>
      <c r="K857" s="354"/>
      <c r="L857" s="354"/>
      <c r="M857" s="354"/>
      <c r="N857" s="354"/>
      <c r="O857" s="354"/>
      <c r="P857" s="354"/>
      <c r="Q857" s="354"/>
      <c r="R857" s="370"/>
      <c r="S857" s="354"/>
      <c r="T857" s="354"/>
      <c r="U857" s="354"/>
      <c r="V857" s="354"/>
      <c r="W857" s="354"/>
      <c r="X857" s="354"/>
      <c r="Y857" s="354"/>
      <c r="Z857" s="354"/>
      <c r="AA857" s="354"/>
      <c r="AB857" s="354"/>
      <c r="AC857" s="354"/>
      <c r="AD857" s="354"/>
      <c r="AE857" s="354"/>
      <c r="AF857" s="354"/>
      <c r="AG857" s="354"/>
      <c r="AH857" s="354"/>
      <c r="AI857" s="354"/>
      <c r="AJ857" s="354"/>
      <c r="AK857" s="354"/>
      <c r="AL857" s="354"/>
      <c r="AM857" s="354"/>
      <c r="AN857" s="354"/>
      <c r="AO857" s="354"/>
      <c r="AP857" s="354"/>
      <c r="AQ857" s="354"/>
      <c r="AR857" s="354"/>
      <c r="AS857" s="354"/>
      <c r="AT857" s="354"/>
      <c r="AU857" s="354"/>
      <c r="AV857" s="354"/>
      <c r="AW857" s="354"/>
      <c r="AX857" s="354"/>
      <c r="AY857" s="354"/>
      <c r="AZ857" s="354"/>
    </row>
    <row r="858" spans="3:52" x14ac:dyDescent="0.25">
      <c r="C858" s="354"/>
      <c r="D858" s="354"/>
      <c r="E858" s="354"/>
      <c r="F858" s="354"/>
      <c r="G858" s="354"/>
      <c r="H858" s="354"/>
      <c r="I858" s="354"/>
      <c r="J858" s="354"/>
      <c r="K858" s="354"/>
      <c r="L858" s="354"/>
      <c r="M858" s="354"/>
      <c r="N858" s="354"/>
      <c r="O858" s="354"/>
      <c r="P858" s="354"/>
      <c r="Q858" s="354"/>
      <c r="R858" s="370"/>
      <c r="S858" s="354"/>
      <c r="T858" s="354"/>
      <c r="U858" s="354"/>
      <c r="V858" s="354"/>
      <c r="W858" s="354"/>
      <c r="X858" s="354"/>
      <c r="Y858" s="354"/>
      <c r="Z858" s="354"/>
      <c r="AA858" s="354"/>
      <c r="AB858" s="354"/>
      <c r="AC858" s="354"/>
      <c r="AD858" s="354"/>
      <c r="AE858" s="354"/>
      <c r="AF858" s="354"/>
      <c r="AG858" s="354"/>
      <c r="AH858" s="354"/>
      <c r="AI858" s="354"/>
      <c r="AJ858" s="354"/>
      <c r="AK858" s="354"/>
      <c r="AL858" s="354"/>
      <c r="AM858" s="354"/>
      <c r="AN858" s="354"/>
      <c r="AO858" s="354"/>
      <c r="AP858" s="354"/>
      <c r="AQ858" s="354"/>
      <c r="AR858" s="354"/>
      <c r="AS858" s="354"/>
      <c r="AT858" s="354"/>
      <c r="AU858" s="354"/>
      <c r="AV858" s="354"/>
      <c r="AW858" s="354"/>
      <c r="AX858" s="354"/>
      <c r="AY858" s="354"/>
      <c r="AZ858" s="354"/>
    </row>
    <row r="859" spans="3:52" x14ac:dyDescent="0.25">
      <c r="C859" s="354"/>
      <c r="D859" s="354"/>
      <c r="E859" s="354"/>
      <c r="F859" s="354"/>
      <c r="G859" s="354"/>
      <c r="H859" s="354"/>
      <c r="I859" s="354"/>
      <c r="J859" s="354"/>
      <c r="K859" s="354"/>
      <c r="L859" s="354"/>
      <c r="M859" s="354"/>
      <c r="N859" s="354"/>
      <c r="O859" s="354"/>
      <c r="P859" s="354"/>
      <c r="Q859" s="354"/>
      <c r="R859" s="370"/>
      <c r="S859" s="354"/>
      <c r="T859" s="354"/>
      <c r="U859" s="354"/>
      <c r="V859" s="354"/>
      <c r="W859" s="354"/>
      <c r="X859" s="354"/>
      <c r="Y859" s="354"/>
      <c r="Z859" s="354"/>
      <c r="AA859" s="354"/>
      <c r="AB859" s="354"/>
      <c r="AC859" s="354"/>
      <c r="AD859" s="354"/>
      <c r="AE859" s="354"/>
      <c r="AF859" s="354"/>
      <c r="AG859" s="354"/>
      <c r="AH859" s="354"/>
      <c r="AI859" s="354"/>
      <c r="AJ859" s="354"/>
      <c r="AK859" s="354"/>
      <c r="AL859" s="354"/>
      <c r="AM859" s="354"/>
      <c r="AN859" s="354"/>
      <c r="AO859" s="354"/>
      <c r="AP859" s="354"/>
      <c r="AQ859" s="354"/>
      <c r="AR859" s="354"/>
      <c r="AS859" s="354"/>
      <c r="AT859" s="354"/>
      <c r="AU859" s="354"/>
      <c r="AV859" s="354"/>
      <c r="AW859" s="354"/>
      <c r="AX859" s="354"/>
      <c r="AY859" s="354"/>
      <c r="AZ859" s="354"/>
    </row>
    <row r="860" spans="3:52" x14ac:dyDescent="0.25">
      <c r="C860" s="354"/>
      <c r="D860" s="354"/>
      <c r="E860" s="354"/>
      <c r="F860" s="354"/>
      <c r="G860" s="354"/>
      <c r="H860" s="354"/>
      <c r="I860" s="354"/>
      <c r="J860" s="354"/>
      <c r="K860" s="354"/>
      <c r="L860" s="354"/>
      <c r="M860" s="354"/>
      <c r="N860" s="354"/>
      <c r="O860" s="354"/>
      <c r="P860" s="354"/>
      <c r="Q860" s="354"/>
      <c r="R860" s="370"/>
      <c r="S860" s="354"/>
      <c r="T860" s="354"/>
      <c r="U860" s="354"/>
      <c r="V860" s="354"/>
      <c r="W860" s="354"/>
      <c r="X860" s="354"/>
      <c r="Y860" s="354"/>
      <c r="Z860" s="354"/>
      <c r="AA860" s="354"/>
      <c r="AB860" s="354"/>
      <c r="AC860" s="354"/>
      <c r="AD860" s="354"/>
      <c r="AE860" s="354"/>
      <c r="AF860" s="354"/>
      <c r="AG860" s="354"/>
      <c r="AH860" s="354"/>
      <c r="AI860" s="354"/>
      <c r="AJ860" s="354"/>
      <c r="AK860" s="354"/>
      <c r="AL860" s="354"/>
      <c r="AM860" s="354"/>
      <c r="AN860" s="354"/>
      <c r="AO860" s="354"/>
      <c r="AP860" s="354"/>
      <c r="AQ860" s="354"/>
      <c r="AR860" s="354"/>
      <c r="AS860" s="354"/>
      <c r="AT860" s="354"/>
      <c r="AU860" s="354"/>
      <c r="AV860" s="354"/>
      <c r="AW860" s="354"/>
      <c r="AX860" s="354"/>
      <c r="AY860" s="354"/>
      <c r="AZ860" s="354"/>
    </row>
    <row r="861" spans="3:52" x14ac:dyDescent="0.25">
      <c r="C861" s="354"/>
      <c r="D861" s="354"/>
      <c r="E861" s="354"/>
      <c r="F861" s="354"/>
      <c r="G861" s="354"/>
      <c r="H861" s="354"/>
      <c r="I861" s="354"/>
      <c r="J861" s="354"/>
      <c r="K861" s="354"/>
      <c r="L861" s="354"/>
      <c r="M861" s="354"/>
      <c r="N861" s="354"/>
      <c r="O861" s="354"/>
      <c r="P861" s="354"/>
      <c r="Q861" s="354"/>
      <c r="R861" s="370"/>
      <c r="S861" s="354"/>
      <c r="T861" s="354"/>
      <c r="U861" s="354"/>
      <c r="V861" s="354"/>
      <c r="W861" s="354"/>
      <c r="X861" s="354"/>
      <c r="Y861" s="354"/>
      <c r="Z861" s="354"/>
      <c r="AA861" s="354"/>
      <c r="AB861" s="354"/>
      <c r="AC861" s="354"/>
      <c r="AD861" s="354"/>
      <c r="AE861" s="354"/>
      <c r="AF861" s="354"/>
      <c r="AG861" s="354"/>
      <c r="AH861" s="354"/>
      <c r="AI861" s="354"/>
      <c r="AJ861" s="354"/>
      <c r="AK861" s="354"/>
      <c r="AL861" s="354"/>
      <c r="AM861" s="354"/>
      <c r="AN861" s="354"/>
      <c r="AO861" s="354"/>
      <c r="AP861" s="354"/>
      <c r="AQ861" s="354"/>
      <c r="AR861" s="354"/>
      <c r="AS861" s="354"/>
      <c r="AT861" s="354"/>
      <c r="AU861" s="354"/>
      <c r="AV861" s="354"/>
      <c r="AW861" s="354"/>
      <c r="AX861" s="354"/>
      <c r="AY861" s="354"/>
      <c r="AZ861" s="354"/>
    </row>
    <row r="862" spans="3:52" x14ac:dyDescent="0.25">
      <c r="C862" s="354"/>
      <c r="D862" s="354"/>
      <c r="E862" s="354"/>
      <c r="F862" s="354"/>
      <c r="G862" s="354"/>
      <c r="H862" s="354"/>
      <c r="I862" s="354"/>
      <c r="J862" s="354"/>
      <c r="K862" s="354"/>
      <c r="L862" s="354"/>
      <c r="M862" s="354"/>
      <c r="N862" s="354"/>
      <c r="O862" s="354"/>
      <c r="P862" s="354"/>
      <c r="Q862" s="354"/>
      <c r="R862" s="370"/>
      <c r="S862" s="354"/>
      <c r="T862" s="354"/>
      <c r="U862" s="354"/>
      <c r="V862" s="354"/>
      <c r="W862" s="354"/>
      <c r="X862" s="354"/>
      <c r="Y862" s="354"/>
      <c r="Z862" s="354"/>
      <c r="AA862" s="354"/>
      <c r="AB862" s="354"/>
      <c r="AC862" s="354"/>
      <c r="AD862" s="354"/>
      <c r="AE862" s="354"/>
      <c r="AF862" s="354"/>
      <c r="AG862" s="354"/>
      <c r="AH862" s="354"/>
      <c r="AI862" s="354"/>
      <c r="AJ862" s="354"/>
      <c r="AK862" s="354"/>
      <c r="AL862" s="354"/>
      <c r="AM862" s="354"/>
      <c r="AN862" s="354"/>
      <c r="AO862" s="354"/>
      <c r="AP862" s="354"/>
      <c r="AQ862" s="354"/>
      <c r="AR862" s="354"/>
      <c r="AS862" s="354"/>
      <c r="AT862" s="354"/>
      <c r="AU862" s="354"/>
      <c r="AV862" s="354"/>
      <c r="AW862" s="354"/>
      <c r="AX862" s="354"/>
      <c r="AY862" s="354"/>
      <c r="AZ862" s="354"/>
    </row>
    <row r="863" spans="3:52" x14ac:dyDescent="0.25">
      <c r="C863" s="354"/>
      <c r="D863" s="354"/>
      <c r="E863" s="354"/>
      <c r="F863" s="354"/>
      <c r="G863" s="354"/>
      <c r="H863" s="354"/>
      <c r="I863" s="354"/>
      <c r="J863" s="354"/>
      <c r="K863" s="354"/>
      <c r="L863" s="354"/>
      <c r="M863" s="354"/>
      <c r="N863" s="354"/>
      <c r="O863" s="354"/>
      <c r="P863" s="354"/>
      <c r="Q863" s="354"/>
      <c r="R863" s="370"/>
      <c r="S863" s="354"/>
      <c r="T863" s="354"/>
      <c r="U863" s="354"/>
      <c r="V863" s="354"/>
      <c r="W863" s="354"/>
      <c r="X863" s="354"/>
      <c r="Y863" s="354"/>
      <c r="Z863" s="354"/>
      <c r="AA863" s="354"/>
      <c r="AB863" s="354"/>
      <c r="AC863" s="354"/>
      <c r="AD863" s="354"/>
      <c r="AE863" s="354"/>
      <c r="AF863" s="354"/>
      <c r="AG863" s="354"/>
      <c r="AH863" s="354"/>
      <c r="AI863" s="354"/>
      <c r="AJ863" s="354"/>
      <c r="AK863" s="354"/>
      <c r="AL863" s="354"/>
      <c r="AM863" s="354"/>
      <c r="AN863" s="354"/>
      <c r="AO863" s="354"/>
      <c r="AP863" s="354"/>
      <c r="AQ863" s="354"/>
      <c r="AR863" s="354"/>
      <c r="AS863" s="354"/>
      <c r="AT863" s="354"/>
      <c r="AU863" s="354"/>
      <c r="AV863" s="354"/>
      <c r="AW863" s="354"/>
      <c r="AX863" s="354"/>
      <c r="AY863" s="354"/>
      <c r="AZ863" s="354"/>
    </row>
    <row r="864" spans="3:52" x14ac:dyDescent="0.25">
      <c r="C864" s="354"/>
      <c r="D864" s="354"/>
      <c r="E864" s="354"/>
      <c r="F864" s="354"/>
      <c r="G864" s="354"/>
      <c r="H864" s="354"/>
      <c r="I864" s="354"/>
      <c r="J864" s="354"/>
      <c r="K864" s="354"/>
      <c r="L864" s="354"/>
      <c r="M864" s="354"/>
      <c r="N864" s="354"/>
      <c r="O864" s="354"/>
      <c r="P864" s="354"/>
      <c r="Q864" s="354"/>
      <c r="R864" s="370"/>
      <c r="S864" s="354"/>
      <c r="T864" s="354"/>
      <c r="U864" s="354"/>
      <c r="V864" s="354"/>
      <c r="W864" s="354"/>
      <c r="X864" s="354"/>
      <c r="Y864" s="354"/>
      <c r="Z864" s="354"/>
      <c r="AA864" s="354"/>
      <c r="AB864" s="354"/>
      <c r="AC864" s="354"/>
      <c r="AD864" s="354"/>
      <c r="AE864" s="354"/>
      <c r="AF864" s="354"/>
      <c r="AG864" s="354"/>
      <c r="AH864" s="354"/>
      <c r="AI864" s="354"/>
      <c r="AJ864" s="354"/>
      <c r="AK864" s="354"/>
      <c r="AL864" s="354"/>
      <c r="AM864" s="354"/>
      <c r="AN864" s="354"/>
      <c r="AO864" s="354"/>
      <c r="AP864" s="354"/>
      <c r="AQ864" s="354"/>
      <c r="AR864" s="354"/>
      <c r="AS864" s="354"/>
      <c r="AT864" s="354"/>
      <c r="AU864" s="354"/>
      <c r="AV864" s="354"/>
      <c r="AW864" s="354"/>
      <c r="AX864" s="354"/>
      <c r="AY864" s="354"/>
      <c r="AZ864" s="354"/>
    </row>
    <row r="865" spans="3:52" x14ac:dyDescent="0.25">
      <c r="C865" s="354"/>
      <c r="D865" s="354"/>
      <c r="E865" s="354"/>
      <c r="F865" s="354"/>
      <c r="G865" s="354"/>
      <c r="H865" s="354"/>
      <c r="I865" s="354"/>
      <c r="J865" s="354"/>
      <c r="K865" s="354"/>
      <c r="L865" s="354"/>
      <c r="M865" s="354"/>
      <c r="N865" s="354"/>
      <c r="O865" s="354"/>
      <c r="P865" s="354"/>
      <c r="Q865" s="354"/>
      <c r="R865" s="370"/>
      <c r="S865" s="354"/>
      <c r="T865" s="354"/>
      <c r="U865" s="354"/>
      <c r="V865" s="354"/>
      <c r="W865" s="354"/>
      <c r="X865" s="354"/>
      <c r="Y865" s="354"/>
      <c r="Z865" s="354"/>
      <c r="AA865" s="354"/>
      <c r="AB865" s="354"/>
      <c r="AC865" s="354"/>
      <c r="AD865" s="354"/>
      <c r="AE865" s="354"/>
      <c r="AF865" s="354"/>
      <c r="AG865" s="354"/>
      <c r="AH865" s="354"/>
      <c r="AI865" s="354"/>
      <c r="AJ865" s="354"/>
      <c r="AK865" s="354"/>
      <c r="AL865" s="354"/>
      <c r="AM865" s="354"/>
      <c r="AN865" s="354"/>
      <c r="AO865" s="354"/>
      <c r="AP865" s="354"/>
      <c r="AQ865" s="354"/>
      <c r="AR865" s="354"/>
      <c r="AS865" s="354"/>
      <c r="AT865" s="354"/>
      <c r="AU865" s="354"/>
      <c r="AV865" s="354"/>
      <c r="AW865" s="354"/>
      <c r="AX865" s="354"/>
      <c r="AY865" s="354"/>
      <c r="AZ865" s="354"/>
    </row>
    <row r="866" spans="3:52" x14ac:dyDescent="0.25">
      <c r="C866" s="354"/>
      <c r="D866" s="354"/>
      <c r="E866" s="354"/>
      <c r="F866" s="354"/>
      <c r="G866" s="354"/>
      <c r="H866" s="354"/>
      <c r="I866" s="354"/>
      <c r="J866" s="354"/>
      <c r="K866" s="354"/>
      <c r="L866" s="354"/>
      <c r="M866" s="354"/>
      <c r="N866" s="354"/>
      <c r="O866" s="354"/>
      <c r="P866" s="354"/>
      <c r="Q866" s="354"/>
      <c r="R866" s="370"/>
      <c r="S866" s="354"/>
      <c r="T866" s="354"/>
      <c r="U866" s="354"/>
      <c r="V866" s="354"/>
      <c r="W866" s="354"/>
      <c r="X866" s="354"/>
      <c r="Y866" s="354"/>
      <c r="Z866" s="354"/>
      <c r="AA866" s="354"/>
      <c r="AB866" s="354"/>
      <c r="AC866" s="354"/>
      <c r="AD866" s="354"/>
      <c r="AE866" s="354"/>
      <c r="AF866" s="354"/>
      <c r="AG866" s="354"/>
      <c r="AH866" s="354"/>
      <c r="AI866" s="354"/>
      <c r="AJ866" s="354"/>
      <c r="AK866" s="354"/>
      <c r="AL866" s="354"/>
      <c r="AM866" s="354"/>
      <c r="AN866" s="354"/>
      <c r="AO866" s="354"/>
      <c r="AP866" s="354"/>
      <c r="AQ866" s="354"/>
      <c r="AR866" s="354"/>
      <c r="AS866" s="354"/>
      <c r="AT866" s="354"/>
      <c r="AU866" s="354"/>
      <c r="AV866" s="354"/>
      <c r="AW866" s="354"/>
      <c r="AX866" s="354"/>
      <c r="AY866" s="354"/>
      <c r="AZ866" s="354"/>
    </row>
    <row r="867" spans="3:52" x14ac:dyDescent="0.25">
      <c r="C867" s="354"/>
      <c r="D867" s="354"/>
      <c r="E867" s="354"/>
      <c r="F867" s="354"/>
      <c r="G867" s="354"/>
      <c r="H867" s="354"/>
      <c r="I867" s="354"/>
      <c r="J867" s="354"/>
      <c r="K867" s="354"/>
      <c r="L867" s="354"/>
      <c r="M867" s="354"/>
      <c r="N867" s="354"/>
      <c r="O867" s="354"/>
      <c r="P867" s="354"/>
      <c r="Q867" s="354"/>
      <c r="R867" s="370"/>
      <c r="S867" s="354"/>
      <c r="T867" s="354"/>
      <c r="U867" s="354"/>
      <c r="V867" s="354"/>
      <c r="W867" s="354"/>
      <c r="X867" s="354"/>
      <c r="Y867" s="354"/>
      <c r="Z867" s="354"/>
      <c r="AA867" s="354"/>
      <c r="AB867" s="354"/>
      <c r="AC867" s="354"/>
      <c r="AD867" s="354"/>
      <c r="AE867" s="354"/>
      <c r="AF867" s="354"/>
      <c r="AG867" s="354"/>
      <c r="AH867" s="354"/>
      <c r="AI867" s="354"/>
      <c r="AJ867" s="354"/>
      <c r="AK867" s="354"/>
      <c r="AL867" s="354"/>
      <c r="AM867" s="354"/>
      <c r="AN867" s="354"/>
      <c r="AO867" s="354"/>
      <c r="AP867" s="354"/>
      <c r="AQ867" s="354"/>
      <c r="AR867" s="354"/>
      <c r="AS867" s="354"/>
      <c r="AT867" s="354"/>
      <c r="AU867" s="354"/>
      <c r="AV867" s="354"/>
      <c r="AW867" s="354"/>
      <c r="AX867" s="354"/>
      <c r="AY867" s="354"/>
      <c r="AZ867" s="354"/>
    </row>
    <row r="868" spans="3:52" x14ac:dyDescent="0.25">
      <c r="C868" s="354"/>
      <c r="D868" s="354"/>
      <c r="E868" s="354"/>
      <c r="F868" s="354"/>
      <c r="G868" s="354"/>
      <c r="H868" s="354"/>
      <c r="I868" s="354"/>
      <c r="J868" s="354"/>
      <c r="K868" s="354"/>
      <c r="L868" s="354"/>
      <c r="M868" s="354"/>
      <c r="N868" s="354"/>
      <c r="O868" s="354"/>
      <c r="P868" s="354"/>
      <c r="Q868" s="354"/>
      <c r="R868" s="370"/>
      <c r="S868" s="354"/>
      <c r="T868" s="354"/>
      <c r="U868" s="354"/>
      <c r="V868" s="354"/>
      <c r="W868" s="354"/>
      <c r="X868" s="354"/>
      <c r="Y868" s="354"/>
      <c r="Z868" s="354"/>
      <c r="AA868" s="354"/>
      <c r="AB868" s="354"/>
      <c r="AC868" s="354"/>
      <c r="AD868" s="354"/>
      <c r="AE868" s="354"/>
      <c r="AF868" s="354"/>
      <c r="AG868" s="354"/>
      <c r="AH868" s="354"/>
      <c r="AI868" s="354"/>
      <c r="AJ868" s="354"/>
      <c r="AK868" s="354"/>
      <c r="AL868" s="354"/>
      <c r="AM868" s="354"/>
      <c r="AN868" s="354"/>
      <c r="AO868" s="354"/>
      <c r="AP868" s="354"/>
      <c r="AQ868" s="354"/>
      <c r="AR868" s="354"/>
      <c r="AS868" s="354"/>
      <c r="AT868" s="354"/>
      <c r="AU868" s="354"/>
      <c r="AV868" s="354"/>
      <c r="AW868" s="354"/>
      <c r="AX868" s="354"/>
      <c r="AY868" s="354"/>
      <c r="AZ868" s="354"/>
    </row>
    <row r="869" spans="3:52" x14ac:dyDescent="0.25">
      <c r="C869" s="354"/>
      <c r="D869" s="354"/>
      <c r="E869" s="354"/>
      <c r="F869" s="354"/>
      <c r="G869" s="354"/>
      <c r="H869" s="354"/>
      <c r="I869" s="354"/>
      <c r="J869" s="354"/>
      <c r="K869" s="354"/>
      <c r="L869" s="354"/>
      <c r="M869" s="354"/>
      <c r="N869" s="354"/>
      <c r="O869" s="354"/>
      <c r="P869" s="354"/>
      <c r="Q869" s="354"/>
      <c r="R869" s="370"/>
      <c r="S869" s="354"/>
      <c r="T869" s="354"/>
      <c r="U869" s="354"/>
      <c r="V869" s="354"/>
      <c r="W869" s="354"/>
      <c r="X869" s="354"/>
      <c r="Y869" s="354"/>
      <c r="Z869" s="354"/>
      <c r="AA869" s="354"/>
      <c r="AB869" s="354"/>
      <c r="AC869" s="354"/>
      <c r="AD869" s="354"/>
      <c r="AE869" s="354"/>
      <c r="AF869" s="354"/>
      <c r="AG869" s="354"/>
      <c r="AH869" s="354"/>
      <c r="AI869" s="354"/>
      <c r="AJ869" s="354"/>
      <c r="AK869" s="354"/>
      <c r="AL869" s="354"/>
      <c r="AM869" s="354"/>
      <c r="AN869" s="354"/>
      <c r="AO869" s="354"/>
      <c r="AP869" s="354"/>
      <c r="AQ869" s="354"/>
      <c r="AR869" s="354"/>
      <c r="AS869" s="354"/>
      <c r="AT869" s="354"/>
      <c r="AU869" s="354"/>
      <c r="AV869" s="354"/>
      <c r="AW869" s="354"/>
      <c r="AX869" s="354"/>
      <c r="AY869" s="354"/>
      <c r="AZ869" s="354"/>
    </row>
    <row r="870" spans="3:52" x14ac:dyDescent="0.25">
      <c r="C870" s="354"/>
      <c r="D870" s="354"/>
      <c r="E870" s="354"/>
      <c r="F870" s="354"/>
      <c r="G870" s="354"/>
      <c r="H870" s="354"/>
      <c r="I870" s="354"/>
      <c r="J870" s="354"/>
      <c r="K870" s="354"/>
      <c r="L870" s="354"/>
      <c r="M870" s="354"/>
      <c r="N870" s="354"/>
      <c r="O870" s="354"/>
      <c r="P870" s="354"/>
      <c r="Q870" s="354"/>
      <c r="R870" s="370"/>
      <c r="S870" s="354"/>
      <c r="T870" s="354"/>
      <c r="U870" s="354"/>
      <c r="V870" s="354"/>
      <c r="W870" s="354"/>
      <c r="X870" s="354"/>
      <c r="Y870" s="354"/>
      <c r="Z870" s="354"/>
      <c r="AA870" s="354"/>
      <c r="AB870" s="354"/>
      <c r="AC870" s="354"/>
      <c r="AD870" s="354"/>
      <c r="AE870" s="354"/>
      <c r="AF870" s="354"/>
      <c r="AG870" s="354"/>
      <c r="AH870" s="354"/>
      <c r="AI870" s="354"/>
      <c r="AJ870" s="354"/>
      <c r="AK870" s="354"/>
      <c r="AL870" s="354"/>
      <c r="AM870" s="354"/>
      <c r="AN870" s="354"/>
      <c r="AO870" s="354"/>
      <c r="AP870" s="354"/>
      <c r="AQ870" s="354"/>
      <c r="AR870" s="354"/>
      <c r="AS870" s="354"/>
      <c r="AT870" s="354"/>
      <c r="AU870" s="354"/>
      <c r="AV870" s="354"/>
      <c r="AW870" s="354"/>
      <c r="AX870" s="354"/>
      <c r="AY870" s="354"/>
      <c r="AZ870" s="354"/>
    </row>
    <row r="871" spans="3:52" x14ac:dyDescent="0.25">
      <c r="T871" s="340"/>
      <c r="U871" s="340"/>
      <c r="V871" s="340"/>
      <c r="W871" s="340"/>
      <c r="X871" s="340"/>
      <c r="Y871" s="340"/>
      <c r="Z871" s="340"/>
      <c r="AA871" s="340"/>
      <c r="AB871" s="340"/>
      <c r="AC871" s="340"/>
      <c r="AD871" s="340"/>
      <c r="AE871" s="340"/>
      <c r="AF871" s="340"/>
      <c r="AG871" s="340"/>
      <c r="AH871" s="340"/>
      <c r="AI871" s="340"/>
      <c r="AJ871" s="340"/>
      <c r="AK871" s="340"/>
      <c r="AL871" s="340"/>
      <c r="AM871" s="340"/>
      <c r="AN871" s="340"/>
      <c r="AR871" s="352"/>
    </row>
    <row r="872" spans="3:52" x14ac:dyDescent="0.25">
      <c r="T872" s="340"/>
      <c r="U872" s="340"/>
      <c r="V872" s="340"/>
      <c r="W872" s="340"/>
      <c r="X872" s="340"/>
      <c r="Y872" s="340"/>
      <c r="Z872" s="340"/>
      <c r="AA872" s="340"/>
      <c r="AB872" s="340"/>
      <c r="AC872" s="340"/>
      <c r="AD872" s="340"/>
      <c r="AE872" s="340"/>
      <c r="AF872" s="340"/>
      <c r="AG872" s="340"/>
      <c r="AH872" s="340"/>
      <c r="AI872" s="340"/>
      <c r="AJ872" s="340"/>
      <c r="AK872" s="340"/>
      <c r="AL872" s="340"/>
      <c r="AM872" s="340"/>
      <c r="AN872" s="340"/>
    </row>
    <row r="873" spans="3:52" x14ac:dyDescent="0.25">
      <c r="T873" s="340"/>
      <c r="U873" s="340"/>
      <c r="V873" s="340"/>
      <c r="W873" s="340"/>
      <c r="X873" s="340"/>
      <c r="Y873" s="340"/>
      <c r="Z873" s="340"/>
      <c r="AA873" s="340"/>
      <c r="AB873" s="340"/>
      <c r="AC873" s="340"/>
      <c r="AD873" s="340"/>
      <c r="AE873" s="340"/>
      <c r="AF873" s="340"/>
      <c r="AG873" s="340"/>
      <c r="AH873" s="340"/>
      <c r="AI873" s="340"/>
      <c r="AJ873" s="340"/>
      <c r="AK873" s="340"/>
      <c r="AL873" s="340"/>
      <c r="AM873" s="340"/>
      <c r="AN873" s="340"/>
    </row>
    <row r="874" spans="3:52" x14ac:dyDescent="0.25">
      <c r="T874" s="340"/>
      <c r="U874" s="340"/>
      <c r="V874" s="340"/>
      <c r="W874" s="340"/>
      <c r="X874" s="340"/>
      <c r="Y874" s="340"/>
      <c r="Z874" s="340"/>
      <c r="AA874" s="340"/>
      <c r="AB874" s="340"/>
      <c r="AC874" s="340"/>
      <c r="AD874" s="340"/>
      <c r="AE874" s="340"/>
      <c r="AF874" s="340"/>
      <c r="AG874" s="340"/>
      <c r="AH874" s="340"/>
      <c r="AI874" s="340"/>
      <c r="AJ874" s="340"/>
      <c r="AK874" s="340"/>
      <c r="AL874" s="340"/>
      <c r="AM874" s="340"/>
      <c r="AN874" s="340"/>
    </row>
    <row r="875" spans="3:52" x14ac:dyDescent="0.25">
      <c r="T875" s="340"/>
      <c r="U875" s="340"/>
      <c r="V875" s="340"/>
      <c r="W875" s="340"/>
      <c r="X875" s="340"/>
      <c r="Y875" s="340"/>
      <c r="Z875" s="340"/>
      <c r="AA875" s="340"/>
      <c r="AB875" s="340"/>
      <c r="AC875" s="340"/>
      <c r="AD875" s="340"/>
      <c r="AE875" s="340"/>
      <c r="AF875" s="340"/>
      <c r="AG875" s="340"/>
      <c r="AH875" s="340"/>
      <c r="AI875" s="340"/>
      <c r="AJ875" s="340"/>
      <c r="AK875" s="340"/>
      <c r="AL875" s="340"/>
      <c r="AM875" s="340"/>
      <c r="AN875" s="340"/>
    </row>
    <row r="876" spans="3:52" x14ac:dyDescent="0.25">
      <c r="T876" s="340"/>
      <c r="U876" s="340"/>
      <c r="V876" s="340"/>
      <c r="W876" s="340"/>
      <c r="X876" s="340"/>
      <c r="Y876" s="340"/>
      <c r="Z876" s="340"/>
      <c r="AA876" s="340"/>
      <c r="AB876" s="340"/>
      <c r="AC876" s="340"/>
      <c r="AD876" s="340"/>
      <c r="AE876" s="340"/>
      <c r="AF876" s="340"/>
      <c r="AG876" s="340"/>
      <c r="AH876" s="340"/>
      <c r="AI876" s="340"/>
      <c r="AJ876" s="340"/>
      <c r="AK876" s="340"/>
      <c r="AL876" s="340"/>
      <c r="AM876" s="340"/>
      <c r="AN876" s="340"/>
    </row>
    <row r="877" spans="3:52" x14ac:dyDescent="0.25">
      <c r="T877" s="340"/>
      <c r="U877" s="340"/>
      <c r="V877" s="340"/>
      <c r="W877" s="340"/>
      <c r="X877" s="340"/>
      <c r="Y877" s="340"/>
      <c r="Z877" s="340"/>
      <c r="AA877" s="340"/>
      <c r="AB877" s="340"/>
      <c r="AC877" s="340"/>
      <c r="AD877" s="340"/>
      <c r="AE877" s="340"/>
      <c r="AF877" s="340"/>
      <c r="AG877" s="340"/>
      <c r="AH877" s="340"/>
      <c r="AI877" s="340"/>
      <c r="AJ877" s="340"/>
      <c r="AK877" s="340"/>
      <c r="AL877" s="340"/>
      <c r="AM877" s="340"/>
      <c r="AN877" s="340"/>
    </row>
    <row r="878" spans="3:52" x14ac:dyDescent="0.25">
      <c r="T878" s="340"/>
      <c r="U878" s="340"/>
      <c r="V878" s="340"/>
      <c r="W878" s="340"/>
      <c r="X878" s="340"/>
      <c r="Y878" s="340"/>
      <c r="Z878" s="340"/>
      <c r="AA878" s="340"/>
      <c r="AB878" s="340"/>
      <c r="AC878" s="340"/>
      <c r="AD878" s="340"/>
      <c r="AE878" s="340"/>
      <c r="AF878" s="340"/>
      <c r="AG878" s="340"/>
      <c r="AH878" s="340"/>
      <c r="AI878" s="340"/>
      <c r="AJ878" s="340"/>
      <c r="AK878" s="340"/>
      <c r="AL878" s="340"/>
      <c r="AM878" s="340"/>
      <c r="AN878" s="340"/>
    </row>
    <row r="879" spans="3:52" x14ac:dyDescent="0.25">
      <c r="T879" s="340"/>
      <c r="U879" s="340"/>
      <c r="V879" s="340"/>
      <c r="W879" s="340"/>
      <c r="X879" s="340"/>
      <c r="Y879" s="340"/>
      <c r="Z879" s="340"/>
      <c r="AA879" s="340"/>
      <c r="AB879" s="340"/>
      <c r="AC879" s="340"/>
      <c r="AD879" s="340"/>
      <c r="AE879" s="340"/>
      <c r="AF879" s="340"/>
      <c r="AG879" s="340"/>
      <c r="AH879" s="340"/>
      <c r="AI879" s="340"/>
      <c r="AJ879" s="340"/>
      <c r="AK879" s="340"/>
      <c r="AL879" s="340"/>
      <c r="AM879" s="340"/>
      <c r="AN879" s="340"/>
    </row>
    <row r="880" spans="3:52" x14ac:dyDescent="0.25">
      <c r="T880" s="340"/>
      <c r="U880" s="340"/>
      <c r="V880" s="340"/>
      <c r="W880" s="340"/>
      <c r="X880" s="340"/>
      <c r="Y880" s="340"/>
      <c r="Z880" s="340"/>
      <c r="AA880" s="340"/>
      <c r="AB880" s="340"/>
      <c r="AC880" s="340"/>
      <c r="AD880" s="340"/>
      <c r="AE880" s="340"/>
      <c r="AF880" s="340"/>
      <c r="AG880" s="340"/>
      <c r="AH880" s="340"/>
      <c r="AI880" s="340"/>
      <c r="AJ880" s="340"/>
      <c r="AK880" s="340"/>
      <c r="AL880" s="340"/>
      <c r="AM880" s="340"/>
      <c r="AN880" s="340"/>
    </row>
    <row r="881" spans="20:40" x14ac:dyDescent="0.25">
      <c r="T881" s="340"/>
      <c r="U881" s="340"/>
      <c r="V881" s="340"/>
      <c r="W881" s="340"/>
      <c r="X881" s="340"/>
      <c r="Y881" s="340"/>
      <c r="Z881" s="340"/>
      <c r="AA881" s="340"/>
      <c r="AB881" s="340"/>
      <c r="AC881" s="340"/>
      <c r="AD881" s="340"/>
      <c r="AE881" s="340"/>
      <c r="AF881" s="340"/>
      <c r="AG881" s="340"/>
      <c r="AH881" s="340"/>
      <c r="AI881" s="340"/>
      <c r="AJ881" s="340"/>
      <c r="AK881" s="340"/>
      <c r="AL881" s="340"/>
      <c r="AM881" s="340"/>
      <c r="AN881" s="340"/>
    </row>
    <row r="882" spans="20:40" x14ac:dyDescent="0.25">
      <c r="T882" s="340"/>
      <c r="U882" s="340"/>
      <c r="V882" s="340"/>
      <c r="W882" s="340"/>
      <c r="X882" s="340"/>
      <c r="Y882" s="340"/>
      <c r="Z882" s="340"/>
      <c r="AA882" s="340"/>
      <c r="AB882" s="340"/>
      <c r="AC882" s="340"/>
      <c r="AD882" s="340"/>
      <c r="AE882" s="340"/>
      <c r="AF882" s="340"/>
      <c r="AG882" s="340"/>
      <c r="AH882" s="340"/>
      <c r="AI882" s="340"/>
      <c r="AJ882" s="340"/>
      <c r="AK882" s="340"/>
      <c r="AL882" s="340"/>
      <c r="AM882" s="340"/>
      <c r="AN882" s="340"/>
    </row>
    <row r="883" spans="20:40" x14ac:dyDescent="0.25">
      <c r="T883" s="340"/>
      <c r="U883" s="340"/>
      <c r="V883" s="340"/>
      <c r="W883" s="340"/>
      <c r="X883" s="340"/>
      <c r="Y883" s="340"/>
      <c r="Z883" s="340"/>
      <c r="AA883" s="340"/>
      <c r="AB883" s="340"/>
      <c r="AC883" s="340"/>
      <c r="AD883" s="340"/>
      <c r="AE883" s="340"/>
      <c r="AF883" s="340"/>
      <c r="AG883" s="340"/>
      <c r="AH883" s="340"/>
      <c r="AI883" s="340"/>
      <c r="AJ883" s="340"/>
      <c r="AK883" s="340"/>
      <c r="AL883" s="340"/>
      <c r="AM883" s="340"/>
      <c r="AN883" s="340"/>
    </row>
    <row r="884" spans="20:40" x14ac:dyDescent="0.25">
      <c r="T884" s="340"/>
      <c r="U884" s="340"/>
      <c r="V884" s="340"/>
      <c r="W884" s="340"/>
      <c r="X884" s="340"/>
      <c r="Y884" s="340"/>
      <c r="Z884" s="340"/>
      <c r="AA884" s="340"/>
      <c r="AB884" s="340"/>
      <c r="AC884" s="340"/>
      <c r="AD884" s="340"/>
      <c r="AE884" s="340"/>
      <c r="AF884" s="340"/>
      <c r="AG884" s="340"/>
      <c r="AH884" s="340"/>
      <c r="AI884" s="340"/>
      <c r="AJ884" s="340"/>
      <c r="AK884" s="340"/>
      <c r="AL884" s="340"/>
      <c r="AM884" s="340"/>
      <c r="AN884" s="340"/>
    </row>
    <row r="885" spans="20:40" x14ac:dyDescent="0.25">
      <c r="T885" s="340"/>
      <c r="U885" s="340"/>
      <c r="V885" s="340"/>
      <c r="W885" s="340"/>
      <c r="X885" s="340"/>
      <c r="Y885" s="340"/>
      <c r="Z885" s="340"/>
      <c r="AA885" s="340"/>
      <c r="AB885" s="340"/>
      <c r="AC885" s="340"/>
      <c r="AD885" s="340"/>
      <c r="AE885" s="340"/>
      <c r="AF885" s="340"/>
      <c r="AG885" s="340"/>
      <c r="AH885" s="340"/>
      <c r="AI885" s="340"/>
      <c r="AJ885" s="340"/>
      <c r="AK885" s="340"/>
      <c r="AL885" s="340"/>
      <c r="AM885" s="340"/>
      <c r="AN885" s="340"/>
    </row>
    <row r="886" spans="20:40" x14ac:dyDescent="0.25">
      <c r="T886" s="340"/>
      <c r="U886" s="340"/>
      <c r="V886" s="340"/>
      <c r="W886" s="340"/>
      <c r="X886" s="340"/>
      <c r="Y886" s="340"/>
      <c r="Z886" s="340"/>
      <c r="AA886" s="340"/>
      <c r="AB886" s="340"/>
      <c r="AC886" s="340"/>
      <c r="AD886" s="340"/>
      <c r="AE886" s="340"/>
      <c r="AF886" s="340"/>
      <c r="AG886" s="340"/>
      <c r="AH886" s="340"/>
      <c r="AI886" s="340"/>
      <c r="AJ886" s="340"/>
      <c r="AK886" s="340"/>
      <c r="AL886" s="340"/>
      <c r="AM886" s="340"/>
      <c r="AN886" s="340"/>
    </row>
    <row r="887" spans="20:40" x14ac:dyDescent="0.25">
      <c r="T887" s="340"/>
      <c r="U887" s="340"/>
      <c r="V887" s="340"/>
      <c r="W887" s="340"/>
      <c r="X887" s="340"/>
      <c r="Y887" s="340"/>
      <c r="Z887" s="340"/>
      <c r="AA887" s="340"/>
      <c r="AB887" s="340"/>
      <c r="AC887" s="340"/>
      <c r="AD887" s="340"/>
      <c r="AE887" s="340"/>
      <c r="AF887" s="340"/>
      <c r="AG887" s="340"/>
      <c r="AH887" s="340"/>
      <c r="AI887" s="340"/>
      <c r="AJ887" s="340"/>
      <c r="AK887" s="340"/>
      <c r="AL887" s="340"/>
      <c r="AM887" s="340"/>
      <c r="AN887" s="340"/>
    </row>
    <row r="888" spans="20:40" x14ac:dyDescent="0.25">
      <c r="T888" s="340"/>
      <c r="U888" s="340"/>
      <c r="V888" s="340"/>
      <c r="W888" s="340"/>
      <c r="X888" s="340"/>
      <c r="Y888" s="340"/>
      <c r="Z888" s="340"/>
      <c r="AA888" s="340"/>
      <c r="AB888" s="340"/>
      <c r="AC888" s="340"/>
      <c r="AD888" s="340"/>
      <c r="AE888" s="340"/>
      <c r="AF888" s="340"/>
      <c r="AG888" s="340"/>
      <c r="AH888" s="340"/>
      <c r="AI888" s="340"/>
      <c r="AJ888" s="340"/>
      <c r="AK888" s="340"/>
      <c r="AL888" s="340"/>
      <c r="AM888" s="340"/>
      <c r="AN888" s="340"/>
    </row>
    <row r="889" spans="20:40" x14ac:dyDescent="0.25">
      <c r="T889" s="340"/>
      <c r="U889" s="340"/>
      <c r="V889" s="340"/>
      <c r="W889" s="340"/>
      <c r="X889" s="340"/>
      <c r="Y889" s="340"/>
      <c r="Z889" s="340"/>
      <c r="AA889" s="340"/>
      <c r="AB889" s="340"/>
      <c r="AC889" s="340"/>
      <c r="AD889" s="340"/>
      <c r="AE889" s="340"/>
      <c r="AF889" s="340"/>
      <c r="AG889" s="340"/>
      <c r="AH889" s="340"/>
      <c r="AI889" s="340"/>
      <c r="AJ889" s="340"/>
      <c r="AK889" s="340"/>
      <c r="AL889" s="340"/>
      <c r="AM889" s="340"/>
      <c r="AN889" s="340"/>
    </row>
    <row r="890" spans="20:40" x14ac:dyDescent="0.25">
      <c r="T890" s="340"/>
      <c r="U890" s="340"/>
      <c r="V890" s="340"/>
      <c r="W890" s="340"/>
      <c r="X890" s="340"/>
      <c r="Y890" s="340"/>
      <c r="Z890" s="340"/>
      <c r="AA890" s="340"/>
      <c r="AB890" s="340"/>
      <c r="AC890" s="340"/>
      <c r="AD890" s="340"/>
      <c r="AE890" s="340"/>
      <c r="AF890" s="340"/>
      <c r="AG890" s="340"/>
      <c r="AH890" s="340"/>
      <c r="AI890" s="340"/>
      <c r="AJ890" s="340"/>
      <c r="AK890" s="340"/>
      <c r="AL890" s="340"/>
      <c r="AM890" s="340"/>
      <c r="AN890" s="340"/>
    </row>
    <row r="891" spans="20:40" x14ac:dyDescent="0.25">
      <c r="T891" s="340"/>
      <c r="U891" s="340"/>
      <c r="V891" s="340"/>
      <c r="W891" s="340"/>
      <c r="X891" s="340"/>
      <c r="Y891" s="340"/>
      <c r="Z891" s="340"/>
      <c r="AA891" s="340"/>
      <c r="AB891" s="340"/>
      <c r="AC891" s="340"/>
      <c r="AD891" s="340"/>
      <c r="AE891" s="340"/>
      <c r="AF891" s="340"/>
      <c r="AG891" s="340"/>
      <c r="AH891" s="340"/>
      <c r="AI891" s="340"/>
      <c r="AJ891" s="340"/>
      <c r="AK891" s="340"/>
      <c r="AL891" s="340"/>
      <c r="AM891" s="340"/>
      <c r="AN891" s="340"/>
    </row>
    <row r="892" spans="20:40" x14ac:dyDescent="0.25">
      <c r="T892" s="340"/>
      <c r="U892" s="340"/>
      <c r="V892" s="340"/>
      <c r="W892" s="340"/>
      <c r="X892" s="340"/>
      <c r="Y892" s="340"/>
      <c r="Z892" s="340"/>
      <c r="AA892" s="340"/>
      <c r="AB892" s="340"/>
      <c r="AC892" s="340"/>
      <c r="AD892" s="340"/>
      <c r="AE892" s="340"/>
      <c r="AF892" s="340"/>
      <c r="AG892" s="340"/>
      <c r="AH892" s="340"/>
      <c r="AI892" s="340"/>
      <c r="AJ892" s="340"/>
      <c r="AK892" s="340"/>
      <c r="AL892" s="340"/>
      <c r="AM892" s="340"/>
      <c r="AN892" s="340"/>
    </row>
    <row r="893" spans="20:40" x14ac:dyDescent="0.25">
      <c r="T893" s="340"/>
      <c r="U893" s="340"/>
      <c r="V893" s="340"/>
      <c r="W893" s="340"/>
      <c r="X893" s="340"/>
      <c r="Y893" s="340"/>
      <c r="Z893" s="340"/>
      <c r="AA893" s="340"/>
      <c r="AB893" s="340"/>
      <c r="AC893" s="340"/>
      <c r="AD893" s="340"/>
      <c r="AE893" s="340"/>
      <c r="AF893" s="340"/>
      <c r="AG893" s="340"/>
      <c r="AH893" s="340"/>
      <c r="AI893" s="340"/>
      <c r="AJ893" s="340"/>
      <c r="AK893" s="340"/>
      <c r="AL893" s="340"/>
      <c r="AM893" s="340"/>
      <c r="AN893" s="340"/>
    </row>
    <row r="894" spans="20:40" x14ac:dyDescent="0.25">
      <c r="T894" s="340"/>
      <c r="U894" s="340"/>
      <c r="V894" s="340"/>
      <c r="W894" s="340"/>
      <c r="X894" s="340"/>
      <c r="Y894" s="340"/>
      <c r="Z894" s="340"/>
      <c r="AA894" s="340"/>
      <c r="AB894" s="340"/>
      <c r="AC894" s="340"/>
      <c r="AD894" s="340"/>
      <c r="AE894" s="340"/>
      <c r="AF894" s="340"/>
      <c r="AG894" s="340"/>
      <c r="AH894" s="340"/>
      <c r="AI894" s="340"/>
      <c r="AJ894" s="340"/>
      <c r="AK894" s="340"/>
      <c r="AL894" s="340"/>
      <c r="AM894" s="340"/>
      <c r="AN894" s="340"/>
    </row>
    <row r="895" spans="20:40" x14ac:dyDescent="0.25">
      <c r="T895" s="340"/>
      <c r="U895" s="340"/>
      <c r="V895" s="340"/>
      <c r="W895" s="340"/>
      <c r="X895" s="340"/>
      <c r="Y895" s="340"/>
      <c r="Z895" s="340"/>
      <c r="AA895" s="340"/>
      <c r="AB895" s="340"/>
      <c r="AC895" s="340"/>
      <c r="AD895" s="340"/>
      <c r="AE895" s="340"/>
      <c r="AF895" s="340"/>
      <c r="AG895" s="340"/>
      <c r="AH895" s="340"/>
      <c r="AI895" s="340"/>
      <c r="AJ895" s="340"/>
      <c r="AK895" s="340"/>
      <c r="AL895" s="340"/>
      <c r="AM895" s="340"/>
      <c r="AN895" s="340"/>
    </row>
    <row r="896" spans="20:40" x14ac:dyDescent="0.25">
      <c r="T896" s="340"/>
      <c r="U896" s="340"/>
      <c r="V896" s="340"/>
      <c r="W896" s="340"/>
      <c r="X896" s="340"/>
      <c r="Y896" s="340"/>
      <c r="Z896" s="340"/>
      <c r="AA896" s="340"/>
      <c r="AB896" s="340"/>
      <c r="AC896" s="340"/>
      <c r="AD896" s="340"/>
      <c r="AE896" s="340"/>
      <c r="AF896" s="340"/>
      <c r="AG896" s="340"/>
      <c r="AH896" s="340"/>
      <c r="AI896" s="340"/>
      <c r="AJ896" s="340"/>
      <c r="AK896" s="340"/>
      <c r="AL896" s="340"/>
      <c r="AM896" s="340"/>
      <c r="AN896" s="340"/>
    </row>
    <row r="897" spans="20:40" x14ac:dyDescent="0.25">
      <c r="T897" s="340"/>
      <c r="U897" s="340"/>
      <c r="V897" s="340"/>
      <c r="W897" s="340"/>
      <c r="X897" s="340"/>
      <c r="Y897" s="340"/>
      <c r="Z897" s="340"/>
      <c r="AA897" s="340"/>
      <c r="AB897" s="340"/>
      <c r="AC897" s="340"/>
      <c r="AD897" s="340"/>
      <c r="AE897" s="340"/>
      <c r="AF897" s="340"/>
      <c r="AG897" s="340"/>
      <c r="AH897" s="340"/>
      <c r="AI897" s="340"/>
      <c r="AJ897" s="340"/>
      <c r="AK897" s="340"/>
      <c r="AL897" s="340"/>
      <c r="AM897" s="340"/>
      <c r="AN897" s="340"/>
    </row>
    <row r="898" spans="20:40" x14ac:dyDescent="0.25">
      <c r="T898" s="340"/>
      <c r="U898" s="340"/>
      <c r="V898" s="340"/>
      <c r="W898" s="340"/>
      <c r="X898" s="340"/>
      <c r="Y898" s="340"/>
      <c r="Z898" s="340"/>
      <c r="AA898" s="340"/>
      <c r="AB898" s="340"/>
      <c r="AC898" s="340"/>
      <c r="AD898" s="340"/>
      <c r="AE898" s="340"/>
      <c r="AF898" s="340"/>
      <c r="AG898" s="340"/>
      <c r="AH898" s="340"/>
      <c r="AI898" s="340"/>
      <c r="AJ898" s="340"/>
      <c r="AK898" s="340"/>
      <c r="AL898" s="340"/>
      <c r="AM898" s="340"/>
      <c r="AN898" s="340"/>
    </row>
    <row r="899" spans="20:40" x14ac:dyDescent="0.25">
      <c r="T899" s="340"/>
      <c r="U899" s="340"/>
      <c r="V899" s="340"/>
      <c r="W899" s="340"/>
      <c r="X899" s="340"/>
      <c r="Y899" s="340"/>
      <c r="Z899" s="340"/>
      <c r="AA899" s="340"/>
      <c r="AB899" s="340"/>
      <c r="AC899" s="340"/>
      <c r="AD899" s="340"/>
      <c r="AE899" s="340"/>
      <c r="AF899" s="340"/>
      <c r="AG899" s="340"/>
      <c r="AH899" s="340"/>
      <c r="AI899" s="340"/>
      <c r="AJ899" s="340"/>
      <c r="AK899" s="340"/>
      <c r="AL899" s="340"/>
      <c r="AM899" s="340"/>
      <c r="AN899" s="340"/>
    </row>
    <row r="900" spans="20:40" x14ac:dyDescent="0.25">
      <c r="T900" s="340"/>
      <c r="U900" s="340"/>
      <c r="V900" s="340"/>
      <c r="W900" s="340"/>
      <c r="X900" s="340"/>
      <c r="Y900" s="340"/>
      <c r="Z900" s="340"/>
      <c r="AA900" s="340"/>
      <c r="AB900" s="340"/>
      <c r="AC900" s="340"/>
      <c r="AD900" s="340"/>
      <c r="AE900" s="340"/>
      <c r="AF900" s="340"/>
      <c r="AG900" s="340"/>
      <c r="AH900" s="340"/>
      <c r="AI900" s="340"/>
      <c r="AJ900" s="340"/>
      <c r="AK900" s="340"/>
      <c r="AL900" s="340"/>
      <c r="AM900" s="340"/>
      <c r="AN900" s="340"/>
    </row>
    <row r="901" spans="20:40" x14ac:dyDescent="0.25">
      <c r="T901" s="340"/>
      <c r="U901" s="340"/>
      <c r="V901" s="340"/>
      <c r="W901" s="340"/>
      <c r="X901" s="340"/>
      <c r="Y901" s="340"/>
      <c r="Z901" s="340"/>
      <c r="AA901" s="340"/>
      <c r="AB901" s="340"/>
      <c r="AC901" s="340"/>
      <c r="AD901" s="340"/>
      <c r="AE901" s="340"/>
      <c r="AF901" s="340"/>
      <c r="AG901" s="340"/>
      <c r="AH901" s="340"/>
      <c r="AI901" s="340"/>
      <c r="AJ901" s="340"/>
      <c r="AK901" s="340"/>
      <c r="AL901" s="340"/>
      <c r="AM901" s="340"/>
      <c r="AN901" s="340"/>
    </row>
    <row r="902" spans="20:40" x14ac:dyDescent="0.25">
      <c r="T902" s="340"/>
      <c r="U902" s="340"/>
      <c r="V902" s="340"/>
      <c r="W902" s="340"/>
      <c r="X902" s="340"/>
      <c r="Y902" s="340"/>
      <c r="Z902" s="340"/>
      <c r="AA902" s="340"/>
      <c r="AB902" s="340"/>
      <c r="AC902" s="340"/>
      <c r="AD902" s="340"/>
      <c r="AE902" s="340"/>
      <c r="AF902" s="340"/>
      <c r="AG902" s="340"/>
      <c r="AH902" s="340"/>
      <c r="AI902" s="340"/>
      <c r="AJ902" s="340"/>
      <c r="AK902" s="340"/>
      <c r="AL902" s="340"/>
      <c r="AM902" s="340"/>
      <c r="AN902" s="340"/>
    </row>
    <row r="903" spans="20:40" x14ac:dyDescent="0.25">
      <c r="T903" s="340"/>
      <c r="U903" s="340"/>
      <c r="V903" s="340"/>
      <c r="W903" s="340"/>
      <c r="X903" s="340"/>
      <c r="Y903" s="340"/>
      <c r="Z903" s="340"/>
      <c r="AA903" s="340"/>
      <c r="AB903" s="340"/>
      <c r="AC903" s="340"/>
      <c r="AD903" s="340"/>
      <c r="AE903" s="340"/>
      <c r="AF903" s="340"/>
      <c r="AG903" s="340"/>
      <c r="AH903" s="340"/>
      <c r="AI903" s="340"/>
      <c r="AJ903" s="340"/>
      <c r="AK903" s="340"/>
      <c r="AL903" s="340"/>
      <c r="AM903" s="340"/>
      <c r="AN903" s="340"/>
    </row>
    <row r="904" spans="20:40" x14ac:dyDescent="0.25">
      <c r="T904" s="340"/>
      <c r="U904" s="340"/>
      <c r="V904" s="340"/>
      <c r="W904" s="340"/>
      <c r="X904" s="340"/>
      <c r="Y904" s="340"/>
      <c r="Z904" s="340"/>
      <c r="AA904" s="340"/>
      <c r="AB904" s="340"/>
      <c r="AC904" s="340"/>
      <c r="AD904" s="340"/>
      <c r="AE904" s="340"/>
      <c r="AF904" s="340"/>
      <c r="AG904" s="340"/>
      <c r="AH904" s="340"/>
      <c r="AI904" s="340"/>
      <c r="AJ904" s="340"/>
      <c r="AK904" s="340"/>
      <c r="AL904" s="340"/>
      <c r="AM904" s="340"/>
      <c r="AN904" s="340"/>
    </row>
    <row r="905" spans="20:40" x14ac:dyDescent="0.25">
      <c r="T905" s="340"/>
      <c r="U905" s="340"/>
      <c r="V905" s="340"/>
      <c r="W905" s="340"/>
      <c r="X905" s="340"/>
      <c r="Y905" s="340"/>
      <c r="Z905" s="340"/>
      <c r="AA905" s="340"/>
      <c r="AB905" s="340"/>
      <c r="AC905" s="340"/>
      <c r="AD905" s="340"/>
      <c r="AE905" s="340"/>
      <c r="AF905" s="340"/>
      <c r="AG905" s="340"/>
      <c r="AH905" s="340"/>
      <c r="AI905" s="340"/>
      <c r="AJ905" s="340"/>
      <c r="AK905" s="340"/>
      <c r="AL905" s="340"/>
      <c r="AM905" s="340"/>
      <c r="AN905" s="340"/>
    </row>
    <row r="906" spans="20:40" x14ac:dyDescent="0.25">
      <c r="T906" s="340"/>
      <c r="U906" s="340"/>
      <c r="V906" s="340"/>
      <c r="W906" s="340"/>
      <c r="X906" s="340"/>
      <c r="Y906" s="340"/>
      <c r="Z906" s="340"/>
      <c r="AA906" s="340"/>
      <c r="AB906" s="340"/>
      <c r="AC906" s="340"/>
      <c r="AD906" s="340"/>
      <c r="AE906" s="340"/>
      <c r="AF906" s="340"/>
      <c r="AG906" s="340"/>
      <c r="AH906" s="340"/>
      <c r="AI906" s="340"/>
      <c r="AJ906" s="340"/>
      <c r="AK906" s="340"/>
      <c r="AL906" s="340"/>
      <c r="AM906" s="340"/>
      <c r="AN906" s="340"/>
    </row>
    <row r="907" spans="20:40" x14ac:dyDescent="0.25">
      <c r="T907" s="340"/>
      <c r="U907" s="340"/>
      <c r="V907" s="340"/>
      <c r="W907" s="340"/>
      <c r="X907" s="340"/>
      <c r="Y907" s="340"/>
      <c r="Z907" s="340"/>
      <c r="AA907" s="340"/>
      <c r="AB907" s="340"/>
      <c r="AC907" s="340"/>
      <c r="AD907" s="340"/>
      <c r="AE907" s="340"/>
      <c r="AF907" s="340"/>
      <c r="AG907" s="340"/>
      <c r="AH907" s="340"/>
      <c r="AI907" s="340"/>
      <c r="AJ907" s="340"/>
      <c r="AK907" s="340"/>
      <c r="AL907" s="340"/>
      <c r="AM907" s="340"/>
      <c r="AN907" s="340"/>
    </row>
    <row r="908" spans="20:40" x14ac:dyDescent="0.25">
      <c r="T908" s="340"/>
      <c r="U908" s="340"/>
      <c r="V908" s="340"/>
      <c r="W908" s="340"/>
      <c r="X908" s="340"/>
      <c r="Y908" s="340"/>
      <c r="Z908" s="340"/>
      <c r="AA908" s="340"/>
      <c r="AB908" s="340"/>
      <c r="AC908" s="340"/>
      <c r="AD908" s="340"/>
      <c r="AE908" s="340"/>
      <c r="AF908" s="340"/>
      <c r="AG908" s="340"/>
      <c r="AH908" s="340"/>
      <c r="AI908" s="340"/>
      <c r="AJ908" s="340"/>
      <c r="AK908" s="340"/>
      <c r="AL908" s="340"/>
      <c r="AM908" s="340"/>
      <c r="AN908" s="340"/>
    </row>
    <row r="909" spans="20:40" x14ac:dyDescent="0.25">
      <c r="T909" s="340"/>
      <c r="U909" s="340"/>
      <c r="V909" s="340"/>
      <c r="W909" s="340"/>
      <c r="X909" s="340"/>
      <c r="Y909" s="340"/>
      <c r="Z909" s="340"/>
      <c r="AA909" s="340"/>
      <c r="AB909" s="340"/>
      <c r="AC909" s="340"/>
      <c r="AD909" s="340"/>
      <c r="AE909" s="340"/>
      <c r="AF909" s="340"/>
      <c r="AG909" s="340"/>
      <c r="AH909" s="340"/>
      <c r="AI909" s="340"/>
      <c r="AJ909" s="340"/>
      <c r="AK909" s="340"/>
      <c r="AL909" s="340"/>
      <c r="AM909" s="340"/>
      <c r="AN909" s="340"/>
    </row>
    <row r="910" spans="20:40" x14ac:dyDescent="0.25">
      <c r="T910" s="340"/>
      <c r="U910" s="340"/>
      <c r="V910" s="340"/>
      <c r="W910" s="340"/>
      <c r="X910" s="340"/>
      <c r="Y910" s="340"/>
      <c r="Z910" s="340"/>
      <c r="AA910" s="340"/>
      <c r="AB910" s="340"/>
      <c r="AC910" s="340"/>
      <c r="AD910" s="340"/>
      <c r="AE910" s="340"/>
      <c r="AF910" s="340"/>
      <c r="AG910" s="340"/>
      <c r="AH910" s="340"/>
      <c r="AI910" s="340"/>
      <c r="AJ910" s="340"/>
      <c r="AK910" s="340"/>
      <c r="AL910" s="340"/>
      <c r="AM910" s="340"/>
      <c r="AN910" s="340"/>
    </row>
    <row r="911" spans="20:40" x14ac:dyDescent="0.25">
      <c r="T911" s="340"/>
      <c r="U911" s="340"/>
      <c r="V911" s="340"/>
      <c r="W911" s="340"/>
      <c r="X911" s="340"/>
      <c r="Y911" s="340"/>
      <c r="Z911" s="340"/>
      <c r="AA911" s="340"/>
      <c r="AB911" s="340"/>
      <c r="AC911" s="340"/>
      <c r="AD911" s="340"/>
      <c r="AE911" s="340"/>
      <c r="AF911" s="340"/>
      <c r="AG911" s="340"/>
      <c r="AH911" s="340"/>
      <c r="AI911" s="340"/>
      <c r="AJ911" s="340"/>
      <c r="AK911" s="340"/>
      <c r="AL911" s="340"/>
      <c r="AM911" s="340"/>
      <c r="AN911" s="340"/>
    </row>
    <row r="912" spans="20:40" x14ac:dyDescent="0.25">
      <c r="T912" s="340"/>
      <c r="U912" s="340"/>
      <c r="V912" s="340"/>
      <c r="W912" s="340"/>
      <c r="X912" s="340"/>
      <c r="Y912" s="340"/>
      <c r="Z912" s="340"/>
      <c r="AA912" s="340"/>
      <c r="AB912" s="340"/>
      <c r="AC912" s="340"/>
      <c r="AD912" s="340"/>
      <c r="AE912" s="340"/>
      <c r="AF912" s="340"/>
      <c r="AG912" s="340"/>
      <c r="AH912" s="340"/>
      <c r="AI912" s="340"/>
      <c r="AJ912" s="340"/>
      <c r="AK912" s="340"/>
      <c r="AL912" s="340"/>
      <c r="AM912" s="340"/>
      <c r="AN912" s="340"/>
    </row>
    <row r="913" spans="20:40" x14ac:dyDescent="0.25">
      <c r="T913" s="340"/>
      <c r="U913" s="340"/>
      <c r="V913" s="340"/>
      <c r="W913" s="340"/>
      <c r="X913" s="340"/>
      <c r="Y913" s="340"/>
      <c r="Z913" s="340"/>
      <c r="AA913" s="340"/>
      <c r="AB913" s="340"/>
      <c r="AC913" s="340"/>
      <c r="AD913" s="340"/>
      <c r="AE913" s="340"/>
      <c r="AF913" s="340"/>
      <c r="AG913" s="340"/>
      <c r="AH913" s="340"/>
      <c r="AI913" s="340"/>
      <c r="AJ913" s="340"/>
      <c r="AK913" s="340"/>
      <c r="AL913" s="340"/>
      <c r="AM913" s="340"/>
      <c r="AN913" s="340"/>
    </row>
    <row r="914" spans="20:40" x14ac:dyDescent="0.25">
      <c r="T914" s="340"/>
      <c r="U914" s="340"/>
      <c r="V914" s="340"/>
      <c r="W914" s="340"/>
      <c r="X914" s="340"/>
      <c r="Y914" s="340"/>
      <c r="Z914" s="340"/>
      <c r="AA914" s="340"/>
      <c r="AB914" s="340"/>
      <c r="AC914" s="340"/>
      <c r="AD914" s="340"/>
      <c r="AE914" s="340"/>
      <c r="AF914" s="340"/>
      <c r="AG914" s="340"/>
      <c r="AH914" s="340"/>
      <c r="AI914" s="340"/>
      <c r="AJ914" s="340"/>
      <c r="AK914" s="340"/>
      <c r="AL914" s="340"/>
      <c r="AM914" s="340"/>
      <c r="AN914" s="340"/>
    </row>
    <row r="915" spans="20:40" x14ac:dyDescent="0.25">
      <c r="T915" s="340"/>
      <c r="U915" s="340"/>
      <c r="V915" s="340"/>
      <c r="W915" s="340"/>
      <c r="X915" s="340"/>
      <c r="Y915" s="340"/>
      <c r="Z915" s="340"/>
      <c r="AA915" s="340"/>
      <c r="AB915" s="340"/>
      <c r="AC915" s="340"/>
      <c r="AD915" s="340"/>
      <c r="AE915" s="340"/>
      <c r="AF915" s="340"/>
      <c r="AG915" s="340"/>
      <c r="AH915" s="340"/>
      <c r="AI915" s="340"/>
      <c r="AJ915" s="340"/>
      <c r="AK915" s="340"/>
      <c r="AL915" s="340"/>
      <c r="AM915" s="340"/>
      <c r="AN915" s="340"/>
    </row>
    <row r="916" spans="20:40" x14ac:dyDescent="0.25">
      <c r="T916" s="340"/>
      <c r="U916" s="340"/>
      <c r="V916" s="340"/>
      <c r="W916" s="340"/>
      <c r="X916" s="340"/>
      <c r="Y916" s="340"/>
      <c r="Z916" s="340"/>
      <c r="AA916" s="340"/>
      <c r="AB916" s="340"/>
      <c r="AC916" s="340"/>
      <c r="AD916" s="340"/>
      <c r="AE916" s="340"/>
      <c r="AF916" s="340"/>
      <c r="AG916" s="340"/>
      <c r="AH916" s="340"/>
      <c r="AI916" s="340"/>
      <c r="AJ916" s="340"/>
      <c r="AK916" s="340"/>
      <c r="AL916" s="340"/>
      <c r="AM916" s="340"/>
      <c r="AN916" s="340"/>
    </row>
    <row r="917" spans="20:40" x14ac:dyDescent="0.25">
      <c r="T917" s="340"/>
      <c r="U917" s="340"/>
      <c r="V917" s="340"/>
      <c r="W917" s="340"/>
      <c r="X917" s="340"/>
      <c r="Y917" s="340"/>
      <c r="Z917" s="340"/>
      <c r="AA917" s="340"/>
      <c r="AB917" s="340"/>
      <c r="AC917" s="340"/>
      <c r="AD917" s="340"/>
      <c r="AE917" s="340"/>
      <c r="AF917" s="340"/>
      <c r="AG917" s="340"/>
      <c r="AH917" s="340"/>
      <c r="AI917" s="340"/>
      <c r="AJ917" s="340"/>
      <c r="AK917" s="340"/>
      <c r="AL917" s="340"/>
      <c r="AM917" s="340"/>
      <c r="AN917" s="340"/>
    </row>
    <row r="918" spans="20:40" x14ac:dyDescent="0.25">
      <c r="T918" s="340"/>
      <c r="U918" s="340"/>
      <c r="V918" s="340"/>
      <c r="W918" s="340"/>
      <c r="X918" s="340"/>
      <c r="Y918" s="340"/>
      <c r="Z918" s="340"/>
      <c r="AA918" s="340"/>
      <c r="AB918" s="340"/>
      <c r="AC918" s="340"/>
      <c r="AD918" s="340"/>
      <c r="AE918" s="340"/>
      <c r="AF918" s="340"/>
      <c r="AG918" s="340"/>
      <c r="AH918" s="340"/>
      <c r="AI918" s="340"/>
      <c r="AJ918" s="340"/>
      <c r="AK918" s="340"/>
      <c r="AL918" s="340"/>
      <c r="AM918" s="340"/>
      <c r="AN918" s="340"/>
    </row>
    <row r="919" spans="20:40" x14ac:dyDescent="0.25">
      <c r="T919" s="340"/>
      <c r="U919" s="340"/>
      <c r="V919" s="340"/>
      <c r="W919" s="340"/>
      <c r="X919" s="340"/>
      <c r="Y919" s="340"/>
      <c r="Z919" s="340"/>
      <c r="AA919" s="340"/>
      <c r="AB919" s="340"/>
      <c r="AC919" s="340"/>
      <c r="AD919" s="340"/>
      <c r="AE919" s="340"/>
      <c r="AF919" s="340"/>
      <c r="AG919" s="340"/>
      <c r="AH919" s="340"/>
      <c r="AI919" s="340"/>
      <c r="AJ919" s="340"/>
      <c r="AK919" s="340"/>
      <c r="AL919" s="340"/>
      <c r="AM919" s="340"/>
      <c r="AN919" s="340"/>
    </row>
    <row r="920" spans="20:40" x14ac:dyDescent="0.25">
      <c r="T920" s="340"/>
      <c r="U920" s="340"/>
      <c r="V920" s="340"/>
      <c r="W920" s="340"/>
      <c r="X920" s="340"/>
      <c r="Y920" s="340"/>
      <c r="Z920" s="340"/>
      <c r="AA920" s="340"/>
      <c r="AB920" s="340"/>
      <c r="AC920" s="340"/>
      <c r="AD920" s="340"/>
      <c r="AE920" s="340"/>
      <c r="AF920" s="340"/>
      <c r="AG920" s="340"/>
      <c r="AH920" s="340"/>
      <c r="AI920" s="340"/>
      <c r="AJ920" s="340"/>
      <c r="AK920" s="340"/>
      <c r="AL920" s="340"/>
      <c r="AM920" s="340"/>
      <c r="AN920" s="340"/>
    </row>
    <row r="921" spans="20:40" x14ac:dyDescent="0.25">
      <c r="T921" s="340"/>
      <c r="U921" s="340"/>
      <c r="V921" s="340"/>
      <c r="W921" s="340"/>
      <c r="X921" s="340"/>
      <c r="Y921" s="340"/>
      <c r="Z921" s="340"/>
      <c r="AA921" s="340"/>
      <c r="AB921" s="340"/>
      <c r="AC921" s="340"/>
      <c r="AD921" s="340"/>
      <c r="AE921" s="340"/>
      <c r="AF921" s="340"/>
      <c r="AG921" s="340"/>
      <c r="AH921" s="340"/>
      <c r="AI921" s="340"/>
      <c r="AJ921" s="340"/>
      <c r="AK921" s="340"/>
      <c r="AL921" s="340"/>
      <c r="AM921" s="340"/>
      <c r="AN921" s="340"/>
    </row>
    <row r="922" spans="20:40" x14ac:dyDescent="0.25">
      <c r="T922" s="340"/>
      <c r="U922" s="340"/>
      <c r="V922" s="340"/>
      <c r="W922" s="340"/>
      <c r="X922" s="340"/>
      <c r="Y922" s="340"/>
      <c r="Z922" s="340"/>
      <c r="AA922" s="340"/>
      <c r="AB922" s="340"/>
      <c r="AC922" s="340"/>
      <c r="AD922" s="340"/>
      <c r="AE922" s="340"/>
      <c r="AF922" s="340"/>
      <c r="AG922" s="340"/>
      <c r="AH922" s="340"/>
      <c r="AI922" s="340"/>
      <c r="AJ922" s="340"/>
      <c r="AK922" s="340"/>
      <c r="AL922" s="340"/>
      <c r="AM922" s="340"/>
      <c r="AN922" s="340"/>
    </row>
    <row r="923" spans="20:40" x14ac:dyDescent="0.25">
      <c r="T923" s="340"/>
      <c r="U923" s="340"/>
      <c r="V923" s="340"/>
      <c r="W923" s="340"/>
      <c r="X923" s="340"/>
      <c r="Y923" s="340"/>
      <c r="Z923" s="340"/>
      <c r="AA923" s="340"/>
      <c r="AB923" s="340"/>
      <c r="AC923" s="340"/>
      <c r="AD923" s="340"/>
      <c r="AE923" s="340"/>
      <c r="AF923" s="340"/>
      <c r="AG923" s="340"/>
      <c r="AH923" s="340"/>
      <c r="AI923" s="340"/>
      <c r="AJ923" s="340"/>
      <c r="AK923" s="340"/>
      <c r="AL923" s="340"/>
      <c r="AM923" s="340"/>
      <c r="AN923" s="340"/>
    </row>
    <row r="924" spans="20:40" x14ac:dyDescent="0.25">
      <c r="T924" s="340"/>
      <c r="U924" s="340"/>
      <c r="V924" s="340"/>
      <c r="W924" s="340"/>
      <c r="X924" s="340"/>
      <c r="Y924" s="340"/>
      <c r="Z924" s="340"/>
      <c r="AA924" s="340"/>
      <c r="AB924" s="340"/>
      <c r="AC924" s="340"/>
      <c r="AD924" s="340"/>
      <c r="AE924" s="340"/>
      <c r="AF924" s="340"/>
      <c r="AG924" s="340"/>
      <c r="AH924" s="340"/>
      <c r="AI924" s="340"/>
      <c r="AJ924" s="340"/>
      <c r="AK924" s="340"/>
      <c r="AL924" s="340"/>
      <c r="AM924" s="340"/>
      <c r="AN924" s="340"/>
    </row>
    <row r="925" spans="20:40" x14ac:dyDescent="0.25">
      <c r="T925" s="340"/>
      <c r="U925" s="340"/>
      <c r="V925" s="340"/>
      <c r="W925" s="340"/>
      <c r="X925" s="340"/>
      <c r="Y925" s="340"/>
      <c r="Z925" s="340"/>
      <c r="AA925" s="340"/>
      <c r="AB925" s="340"/>
      <c r="AC925" s="340"/>
      <c r="AD925" s="340"/>
      <c r="AE925" s="340"/>
      <c r="AF925" s="340"/>
      <c r="AG925" s="340"/>
      <c r="AH925" s="340"/>
      <c r="AI925" s="340"/>
      <c r="AJ925" s="340"/>
      <c r="AK925" s="340"/>
      <c r="AL925" s="340"/>
      <c r="AM925" s="340"/>
      <c r="AN925" s="340"/>
    </row>
    <row r="926" spans="20:40" x14ac:dyDescent="0.25">
      <c r="T926" s="340"/>
      <c r="U926" s="340"/>
      <c r="V926" s="340"/>
      <c r="W926" s="340"/>
      <c r="X926" s="340"/>
      <c r="Y926" s="340"/>
      <c r="Z926" s="340"/>
      <c r="AA926" s="340"/>
      <c r="AB926" s="340"/>
      <c r="AC926" s="340"/>
      <c r="AD926" s="340"/>
      <c r="AE926" s="340"/>
      <c r="AF926" s="340"/>
      <c r="AG926" s="340"/>
      <c r="AH926" s="340"/>
      <c r="AI926" s="340"/>
      <c r="AJ926" s="340"/>
      <c r="AK926" s="340"/>
      <c r="AL926" s="340"/>
      <c r="AM926" s="340"/>
      <c r="AN926" s="340"/>
    </row>
    <row r="927" spans="20:40" x14ac:dyDescent="0.25">
      <c r="T927" s="340"/>
      <c r="U927" s="340"/>
      <c r="V927" s="340"/>
      <c r="W927" s="340"/>
      <c r="X927" s="340"/>
      <c r="Y927" s="340"/>
      <c r="Z927" s="340"/>
      <c r="AA927" s="340"/>
      <c r="AB927" s="340"/>
      <c r="AC927" s="340"/>
      <c r="AD927" s="340"/>
      <c r="AE927" s="340"/>
      <c r="AF927" s="340"/>
      <c r="AG927" s="340"/>
      <c r="AH927" s="340"/>
      <c r="AI927" s="340"/>
      <c r="AJ927" s="340"/>
      <c r="AK927" s="340"/>
      <c r="AL927" s="340"/>
      <c r="AM927" s="340"/>
      <c r="AN927" s="340"/>
    </row>
    <row r="928" spans="20:40" x14ac:dyDescent="0.25">
      <c r="T928" s="340"/>
      <c r="U928" s="340"/>
      <c r="V928" s="340"/>
      <c r="W928" s="340"/>
      <c r="X928" s="340"/>
      <c r="Y928" s="340"/>
      <c r="Z928" s="340"/>
      <c r="AA928" s="340"/>
      <c r="AB928" s="340"/>
      <c r="AC928" s="340"/>
      <c r="AD928" s="340"/>
      <c r="AE928" s="340"/>
      <c r="AF928" s="340"/>
      <c r="AG928" s="340"/>
      <c r="AH928" s="340"/>
      <c r="AI928" s="340"/>
      <c r="AJ928" s="340"/>
      <c r="AK928" s="340"/>
      <c r="AL928" s="340"/>
      <c r="AM928" s="340"/>
      <c r="AN928" s="340"/>
    </row>
    <row r="929" spans="20:40" x14ac:dyDescent="0.25">
      <c r="T929" s="340"/>
      <c r="U929" s="340"/>
      <c r="V929" s="340"/>
      <c r="W929" s="340"/>
      <c r="X929" s="340"/>
      <c r="Y929" s="340"/>
      <c r="Z929" s="340"/>
      <c r="AA929" s="340"/>
      <c r="AB929" s="340"/>
      <c r="AC929" s="340"/>
      <c r="AD929" s="340"/>
      <c r="AE929" s="340"/>
      <c r="AF929" s="340"/>
      <c r="AG929" s="340"/>
      <c r="AH929" s="340"/>
      <c r="AI929" s="340"/>
      <c r="AJ929" s="340"/>
      <c r="AK929" s="340"/>
      <c r="AL929" s="340"/>
      <c r="AM929" s="340"/>
      <c r="AN929" s="340"/>
    </row>
    <row r="930" spans="20:40" x14ac:dyDescent="0.25">
      <c r="T930" s="340"/>
      <c r="U930" s="340"/>
      <c r="V930" s="340"/>
      <c r="W930" s="340"/>
      <c r="X930" s="340"/>
      <c r="Y930" s="340"/>
      <c r="Z930" s="340"/>
      <c r="AA930" s="340"/>
      <c r="AB930" s="340"/>
      <c r="AC930" s="340"/>
      <c r="AD930" s="340"/>
      <c r="AE930" s="340"/>
      <c r="AF930" s="340"/>
      <c r="AG930" s="340"/>
      <c r="AH930" s="340"/>
      <c r="AI930" s="340"/>
      <c r="AJ930" s="340"/>
      <c r="AK930" s="340"/>
      <c r="AL930" s="340"/>
      <c r="AM930" s="340"/>
      <c r="AN930" s="340"/>
    </row>
    <row r="931" spans="20:40" x14ac:dyDescent="0.25">
      <c r="T931" s="340"/>
      <c r="U931" s="340"/>
      <c r="V931" s="340"/>
      <c r="W931" s="340"/>
      <c r="X931" s="340"/>
      <c r="Y931" s="340"/>
      <c r="Z931" s="340"/>
      <c r="AA931" s="340"/>
      <c r="AB931" s="340"/>
      <c r="AC931" s="340"/>
      <c r="AD931" s="340"/>
      <c r="AE931" s="340"/>
      <c r="AF931" s="340"/>
      <c r="AG931" s="340"/>
      <c r="AH931" s="340"/>
      <c r="AI931" s="340"/>
      <c r="AJ931" s="340"/>
      <c r="AK931" s="340"/>
      <c r="AL931" s="340"/>
      <c r="AM931" s="340"/>
      <c r="AN931" s="340"/>
    </row>
    <row r="932" spans="20:40" x14ac:dyDescent="0.25">
      <c r="T932" s="340"/>
      <c r="U932" s="340"/>
      <c r="V932" s="340"/>
      <c r="W932" s="340"/>
      <c r="X932" s="340"/>
      <c r="Y932" s="340"/>
      <c r="Z932" s="340"/>
      <c r="AA932" s="340"/>
      <c r="AB932" s="340"/>
      <c r="AC932" s="340"/>
      <c r="AD932" s="340"/>
      <c r="AE932" s="340"/>
      <c r="AF932" s="340"/>
      <c r="AG932" s="340"/>
      <c r="AH932" s="340"/>
      <c r="AI932" s="340"/>
      <c r="AJ932" s="340"/>
      <c r="AK932" s="340"/>
      <c r="AL932" s="340"/>
      <c r="AM932" s="340"/>
      <c r="AN932" s="340"/>
    </row>
    <row r="933" spans="20:40" x14ac:dyDescent="0.25">
      <c r="T933" s="340"/>
      <c r="U933" s="340"/>
      <c r="V933" s="340"/>
      <c r="W933" s="340"/>
      <c r="X933" s="340"/>
      <c r="Y933" s="340"/>
      <c r="Z933" s="340"/>
      <c r="AA933" s="340"/>
      <c r="AB933" s="340"/>
      <c r="AC933" s="340"/>
      <c r="AD933" s="340"/>
      <c r="AE933" s="340"/>
      <c r="AF933" s="340"/>
      <c r="AG933" s="340"/>
      <c r="AH933" s="340"/>
      <c r="AI933" s="340"/>
      <c r="AJ933" s="340"/>
      <c r="AK933" s="340"/>
      <c r="AL933" s="340"/>
      <c r="AM933" s="340"/>
      <c r="AN933" s="340"/>
    </row>
    <row r="934" spans="20:40" x14ac:dyDescent="0.25">
      <c r="T934" s="340"/>
      <c r="U934" s="340"/>
      <c r="V934" s="340"/>
      <c r="W934" s="340"/>
      <c r="X934" s="340"/>
      <c r="Y934" s="340"/>
      <c r="Z934" s="340"/>
      <c r="AA934" s="340"/>
      <c r="AB934" s="340"/>
      <c r="AC934" s="340"/>
      <c r="AD934" s="340"/>
      <c r="AE934" s="340"/>
      <c r="AF934" s="340"/>
      <c r="AG934" s="340"/>
      <c r="AH934" s="340"/>
      <c r="AI934" s="340"/>
      <c r="AJ934" s="340"/>
      <c r="AK934" s="340"/>
      <c r="AL934" s="340"/>
      <c r="AM934" s="340"/>
      <c r="AN934" s="340"/>
    </row>
    <row r="935" spans="20:40" x14ac:dyDescent="0.25">
      <c r="T935" s="340"/>
      <c r="U935" s="340"/>
      <c r="V935" s="340"/>
      <c r="W935" s="340"/>
      <c r="X935" s="340"/>
      <c r="Y935" s="340"/>
      <c r="Z935" s="340"/>
      <c r="AA935" s="340"/>
      <c r="AB935" s="340"/>
      <c r="AC935" s="340"/>
      <c r="AD935" s="340"/>
      <c r="AE935" s="340"/>
      <c r="AF935" s="340"/>
      <c r="AG935" s="340"/>
      <c r="AH935" s="340"/>
      <c r="AI935" s="340"/>
      <c r="AJ935" s="340"/>
      <c r="AK935" s="340"/>
      <c r="AL935" s="340"/>
      <c r="AM935" s="340"/>
      <c r="AN935" s="340"/>
    </row>
    <row r="936" spans="20:40" x14ac:dyDescent="0.25">
      <c r="T936" s="340"/>
      <c r="U936" s="340"/>
      <c r="V936" s="340"/>
      <c r="W936" s="340"/>
      <c r="X936" s="340"/>
      <c r="Y936" s="340"/>
      <c r="Z936" s="340"/>
      <c r="AA936" s="340"/>
      <c r="AB936" s="340"/>
      <c r="AC936" s="340"/>
      <c r="AD936" s="340"/>
      <c r="AE936" s="340"/>
      <c r="AF936" s="340"/>
      <c r="AG936" s="340"/>
      <c r="AH936" s="340"/>
      <c r="AI936" s="340"/>
      <c r="AJ936" s="340"/>
      <c r="AK936" s="340"/>
      <c r="AL936" s="340"/>
      <c r="AM936" s="340"/>
      <c r="AN936" s="340"/>
    </row>
    <row r="937" spans="20:40" x14ac:dyDescent="0.25">
      <c r="T937" s="340"/>
      <c r="U937" s="340"/>
      <c r="V937" s="340"/>
      <c r="W937" s="340"/>
      <c r="X937" s="340"/>
      <c r="Y937" s="340"/>
      <c r="Z937" s="340"/>
      <c r="AA937" s="340"/>
      <c r="AB937" s="340"/>
      <c r="AC937" s="340"/>
      <c r="AD937" s="340"/>
      <c r="AE937" s="340"/>
      <c r="AF937" s="340"/>
      <c r="AG937" s="340"/>
      <c r="AH937" s="340"/>
      <c r="AI937" s="340"/>
      <c r="AJ937" s="340"/>
      <c r="AK937" s="340"/>
      <c r="AL937" s="340"/>
      <c r="AM937" s="340"/>
      <c r="AN937" s="340"/>
    </row>
    <row r="938" spans="20:40" x14ac:dyDescent="0.25">
      <c r="T938" s="340"/>
      <c r="U938" s="340"/>
      <c r="V938" s="340"/>
      <c r="W938" s="340"/>
      <c r="X938" s="340"/>
      <c r="Y938" s="340"/>
      <c r="Z938" s="340"/>
      <c r="AA938" s="340"/>
      <c r="AB938" s="340"/>
      <c r="AC938" s="340"/>
      <c r="AD938" s="340"/>
      <c r="AE938" s="340"/>
      <c r="AF938" s="340"/>
      <c r="AG938" s="340"/>
      <c r="AH938" s="340"/>
      <c r="AI938" s="340"/>
      <c r="AJ938" s="340"/>
      <c r="AK938" s="340"/>
      <c r="AL938" s="340"/>
      <c r="AM938" s="340"/>
      <c r="AN938" s="340"/>
    </row>
    <row r="939" spans="20:40" x14ac:dyDescent="0.25">
      <c r="T939" s="340"/>
      <c r="U939" s="340"/>
      <c r="V939" s="340"/>
      <c r="W939" s="340"/>
      <c r="X939" s="340"/>
      <c r="Y939" s="340"/>
      <c r="Z939" s="340"/>
      <c r="AA939" s="340"/>
      <c r="AB939" s="340"/>
      <c r="AC939" s="340"/>
      <c r="AD939" s="340"/>
      <c r="AE939" s="340"/>
      <c r="AF939" s="340"/>
      <c r="AG939" s="340"/>
      <c r="AH939" s="340"/>
      <c r="AI939" s="340"/>
      <c r="AJ939" s="340"/>
      <c r="AK939" s="340"/>
      <c r="AL939" s="340"/>
      <c r="AM939" s="340"/>
      <c r="AN939" s="340"/>
    </row>
    <row r="940" spans="20:40" x14ac:dyDescent="0.25">
      <c r="T940" s="340"/>
      <c r="U940" s="340"/>
      <c r="V940" s="340"/>
      <c r="W940" s="340"/>
      <c r="X940" s="340"/>
      <c r="Y940" s="340"/>
      <c r="Z940" s="340"/>
      <c r="AA940" s="340"/>
      <c r="AB940" s="340"/>
      <c r="AC940" s="340"/>
      <c r="AD940" s="340"/>
      <c r="AE940" s="340"/>
      <c r="AF940" s="340"/>
      <c r="AG940" s="340"/>
      <c r="AH940" s="340"/>
      <c r="AI940" s="340"/>
      <c r="AJ940" s="340"/>
      <c r="AK940" s="340"/>
      <c r="AL940" s="340"/>
      <c r="AM940" s="340"/>
      <c r="AN940" s="340"/>
    </row>
    <row r="941" spans="20:40" x14ac:dyDescent="0.25">
      <c r="T941" s="340"/>
      <c r="U941" s="340"/>
      <c r="V941" s="340"/>
      <c r="W941" s="340"/>
      <c r="X941" s="340"/>
      <c r="Y941" s="340"/>
      <c r="Z941" s="340"/>
      <c r="AA941" s="340"/>
      <c r="AB941" s="340"/>
      <c r="AC941" s="340"/>
      <c r="AD941" s="340"/>
      <c r="AE941" s="340"/>
      <c r="AF941" s="340"/>
      <c r="AG941" s="340"/>
      <c r="AH941" s="340"/>
      <c r="AI941" s="340"/>
      <c r="AJ941" s="340"/>
      <c r="AK941" s="340"/>
      <c r="AL941" s="340"/>
      <c r="AM941" s="340"/>
      <c r="AN941" s="340"/>
    </row>
    <row r="942" spans="20:40" x14ac:dyDescent="0.25">
      <c r="T942" s="340"/>
      <c r="U942" s="340"/>
      <c r="V942" s="340"/>
      <c r="W942" s="340"/>
      <c r="X942" s="340"/>
      <c r="Y942" s="340"/>
      <c r="Z942" s="340"/>
      <c r="AA942" s="340"/>
      <c r="AB942" s="340"/>
      <c r="AC942" s="340"/>
      <c r="AD942" s="340"/>
      <c r="AE942" s="340"/>
      <c r="AF942" s="340"/>
      <c r="AG942" s="340"/>
      <c r="AH942" s="340"/>
      <c r="AI942" s="340"/>
      <c r="AJ942" s="340"/>
      <c r="AK942" s="340"/>
      <c r="AL942" s="340"/>
      <c r="AM942" s="340"/>
      <c r="AN942" s="340"/>
    </row>
    <row r="943" spans="20:40" x14ac:dyDescent="0.25">
      <c r="T943" s="340"/>
      <c r="U943" s="340"/>
      <c r="V943" s="340"/>
      <c r="W943" s="340"/>
      <c r="X943" s="340"/>
      <c r="Y943" s="340"/>
      <c r="Z943" s="340"/>
      <c r="AA943" s="340"/>
      <c r="AB943" s="340"/>
      <c r="AC943" s="340"/>
      <c r="AD943" s="340"/>
      <c r="AE943" s="340"/>
      <c r="AF943" s="340"/>
      <c r="AG943" s="340"/>
      <c r="AH943" s="340"/>
      <c r="AI943" s="340"/>
      <c r="AJ943" s="340"/>
      <c r="AK943" s="340"/>
      <c r="AL943" s="340"/>
      <c r="AM943" s="340"/>
      <c r="AN943" s="340"/>
    </row>
    <row r="944" spans="20:40" x14ac:dyDescent="0.25">
      <c r="T944" s="340"/>
      <c r="U944" s="340"/>
      <c r="V944" s="340"/>
      <c r="W944" s="340"/>
      <c r="X944" s="340"/>
      <c r="Y944" s="340"/>
      <c r="Z944" s="340"/>
      <c r="AA944" s="340"/>
      <c r="AB944" s="340"/>
      <c r="AC944" s="340"/>
      <c r="AD944" s="340"/>
      <c r="AE944" s="340"/>
      <c r="AF944" s="340"/>
      <c r="AG944" s="340"/>
      <c r="AH944" s="340"/>
      <c r="AI944" s="340"/>
      <c r="AJ944" s="340"/>
      <c r="AK944" s="340"/>
      <c r="AL944" s="340"/>
      <c r="AM944" s="340"/>
      <c r="AN944" s="340"/>
    </row>
    <row r="945" spans="20:40" x14ac:dyDescent="0.25">
      <c r="T945" s="340"/>
      <c r="U945" s="340"/>
      <c r="V945" s="340"/>
      <c r="W945" s="340"/>
      <c r="X945" s="340"/>
      <c r="Y945" s="340"/>
      <c r="Z945" s="340"/>
      <c r="AA945" s="340"/>
      <c r="AB945" s="340"/>
      <c r="AC945" s="340"/>
      <c r="AD945" s="340"/>
      <c r="AE945" s="340"/>
      <c r="AF945" s="340"/>
      <c r="AG945" s="340"/>
      <c r="AH945" s="340"/>
      <c r="AI945" s="340"/>
      <c r="AJ945" s="340"/>
      <c r="AK945" s="340"/>
      <c r="AL945" s="340"/>
      <c r="AM945" s="340"/>
      <c r="AN945" s="340"/>
    </row>
    <row r="946" spans="20:40" x14ac:dyDescent="0.25">
      <c r="T946" s="340"/>
      <c r="U946" s="340"/>
      <c r="V946" s="340"/>
      <c r="W946" s="340"/>
      <c r="X946" s="340"/>
      <c r="Y946" s="340"/>
      <c r="Z946" s="340"/>
      <c r="AA946" s="340"/>
      <c r="AB946" s="340"/>
      <c r="AC946" s="340"/>
      <c r="AD946" s="340"/>
      <c r="AE946" s="340"/>
      <c r="AF946" s="340"/>
      <c r="AG946" s="340"/>
      <c r="AH946" s="340"/>
      <c r="AI946" s="340"/>
      <c r="AJ946" s="340"/>
      <c r="AK946" s="340"/>
      <c r="AL946" s="340"/>
      <c r="AM946" s="340"/>
      <c r="AN946" s="340"/>
    </row>
    <row r="947" spans="20:40" x14ac:dyDescent="0.25">
      <c r="T947" s="340"/>
      <c r="U947" s="340"/>
      <c r="V947" s="340"/>
      <c r="W947" s="340"/>
      <c r="X947" s="340"/>
      <c r="Y947" s="340"/>
      <c r="Z947" s="340"/>
      <c r="AA947" s="340"/>
      <c r="AB947" s="340"/>
      <c r="AC947" s="340"/>
      <c r="AD947" s="340"/>
      <c r="AE947" s="340"/>
      <c r="AF947" s="340"/>
      <c r="AG947" s="340"/>
      <c r="AH947" s="340"/>
      <c r="AI947" s="340"/>
      <c r="AJ947" s="340"/>
      <c r="AK947" s="340"/>
      <c r="AL947" s="340"/>
      <c r="AM947" s="340"/>
      <c r="AN947" s="340"/>
    </row>
    <row r="948" spans="20:40" x14ac:dyDescent="0.25">
      <c r="T948" s="340"/>
      <c r="U948" s="340"/>
      <c r="V948" s="340"/>
      <c r="W948" s="340"/>
      <c r="X948" s="340"/>
      <c r="Y948" s="340"/>
      <c r="Z948" s="340"/>
      <c r="AA948" s="340"/>
      <c r="AB948" s="340"/>
      <c r="AC948" s="340"/>
      <c r="AD948" s="340"/>
      <c r="AE948" s="340"/>
      <c r="AF948" s="340"/>
      <c r="AG948" s="340"/>
      <c r="AH948" s="340"/>
      <c r="AI948" s="340"/>
      <c r="AJ948" s="340"/>
      <c r="AK948" s="340"/>
      <c r="AL948" s="340"/>
      <c r="AM948" s="340"/>
      <c r="AN948" s="340"/>
    </row>
    <row r="949" spans="20:40" x14ac:dyDescent="0.25">
      <c r="T949" s="340"/>
      <c r="U949" s="340"/>
      <c r="V949" s="340"/>
      <c r="W949" s="340"/>
      <c r="X949" s="340"/>
      <c r="Y949" s="340"/>
      <c r="Z949" s="340"/>
      <c r="AA949" s="340"/>
      <c r="AB949" s="340"/>
      <c r="AC949" s="340"/>
      <c r="AD949" s="340"/>
      <c r="AE949" s="340"/>
      <c r="AF949" s="340"/>
      <c r="AG949" s="340"/>
      <c r="AH949" s="340"/>
      <c r="AI949" s="340"/>
      <c r="AJ949" s="340"/>
      <c r="AK949" s="340"/>
      <c r="AL949" s="340"/>
      <c r="AM949" s="340"/>
      <c r="AN949" s="340"/>
    </row>
    <row r="950" spans="20:40" x14ac:dyDescent="0.25">
      <c r="T950" s="340"/>
      <c r="U950" s="340"/>
      <c r="V950" s="340"/>
      <c r="W950" s="340"/>
      <c r="X950" s="340"/>
      <c r="Y950" s="340"/>
      <c r="Z950" s="340"/>
      <c r="AA950" s="340"/>
      <c r="AB950" s="340"/>
      <c r="AC950" s="340"/>
      <c r="AD950" s="340"/>
      <c r="AE950" s="340"/>
      <c r="AF950" s="340"/>
      <c r="AG950" s="340"/>
      <c r="AH950" s="340"/>
      <c r="AI950" s="340"/>
      <c r="AJ950" s="340"/>
      <c r="AK950" s="340"/>
      <c r="AL950" s="340"/>
      <c r="AM950" s="340"/>
      <c r="AN950" s="340"/>
    </row>
    <row r="951" spans="20:40" x14ac:dyDescent="0.25">
      <c r="T951" s="340"/>
      <c r="U951" s="340"/>
      <c r="V951" s="340"/>
      <c r="W951" s="340"/>
      <c r="X951" s="340"/>
      <c r="Y951" s="340"/>
      <c r="Z951" s="340"/>
      <c r="AA951" s="340"/>
      <c r="AB951" s="340"/>
      <c r="AC951" s="340"/>
      <c r="AD951" s="340"/>
      <c r="AE951" s="340"/>
      <c r="AF951" s="340"/>
      <c r="AG951" s="340"/>
      <c r="AH951" s="340"/>
      <c r="AI951" s="340"/>
      <c r="AJ951" s="340"/>
      <c r="AK951" s="340"/>
      <c r="AL951" s="340"/>
      <c r="AM951" s="340"/>
      <c r="AN951" s="340"/>
    </row>
    <row r="952" spans="20:40" x14ac:dyDescent="0.25">
      <c r="T952" s="340"/>
      <c r="U952" s="340"/>
      <c r="V952" s="340"/>
      <c r="W952" s="340"/>
      <c r="X952" s="340"/>
      <c r="Y952" s="340"/>
      <c r="Z952" s="340"/>
      <c r="AA952" s="340"/>
      <c r="AB952" s="340"/>
      <c r="AC952" s="340"/>
      <c r="AD952" s="340"/>
      <c r="AE952" s="340"/>
      <c r="AF952" s="340"/>
      <c r="AG952" s="340"/>
      <c r="AH952" s="340"/>
      <c r="AI952" s="340"/>
      <c r="AJ952" s="340"/>
      <c r="AK952" s="340"/>
      <c r="AL952" s="340"/>
      <c r="AM952" s="340"/>
      <c r="AN952" s="340"/>
    </row>
    <row r="953" spans="20:40" x14ac:dyDescent="0.25">
      <c r="T953" s="340"/>
      <c r="U953" s="340"/>
      <c r="V953" s="340"/>
      <c r="W953" s="340"/>
      <c r="X953" s="340"/>
      <c r="Y953" s="340"/>
      <c r="Z953" s="340"/>
      <c r="AA953" s="340"/>
      <c r="AB953" s="340"/>
      <c r="AC953" s="340"/>
      <c r="AD953" s="340"/>
      <c r="AE953" s="340"/>
      <c r="AF953" s="340"/>
      <c r="AG953" s="340"/>
      <c r="AH953" s="340"/>
      <c r="AI953" s="340"/>
      <c r="AJ953" s="340"/>
      <c r="AK953" s="340"/>
      <c r="AL953" s="340"/>
      <c r="AM953" s="340"/>
      <c r="AN953" s="340"/>
    </row>
    <row r="954" spans="20:40" x14ac:dyDescent="0.25">
      <c r="T954" s="340"/>
      <c r="U954" s="340"/>
      <c r="V954" s="340"/>
      <c r="W954" s="340"/>
      <c r="X954" s="340"/>
      <c r="Y954" s="340"/>
      <c r="Z954" s="340"/>
      <c r="AA954" s="340"/>
      <c r="AB954" s="340"/>
      <c r="AC954" s="340"/>
      <c r="AD954" s="340"/>
      <c r="AE954" s="340"/>
      <c r="AF954" s="340"/>
      <c r="AG954" s="340"/>
      <c r="AH954" s="340"/>
      <c r="AI954" s="340"/>
      <c r="AJ954" s="340"/>
      <c r="AK954" s="340"/>
      <c r="AL954" s="340"/>
      <c r="AM954" s="340"/>
      <c r="AN954" s="340"/>
    </row>
    <row r="955" spans="20:40" x14ac:dyDescent="0.25">
      <c r="T955" s="340"/>
      <c r="U955" s="340"/>
      <c r="V955" s="340"/>
      <c r="W955" s="340"/>
      <c r="X955" s="340"/>
      <c r="Y955" s="340"/>
      <c r="Z955" s="340"/>
      <c r="AA955" s="340"/>
      <c r="AB955" s="340"/>
      <c r="AC955" s="340"/>
      <c r="AD955" s="340"/>
      <c r="AE955" s="340"/>
      <c r="AF955" s="340"/>
      <c r="AG955" s="340"/>
      <c r="AH955" s="340"/>
      <c r="AI955" s="340"/>
      <c r="AJ955" s="340"/>
      <c r="AK955" s="340"/>
      <c r="AL955" s="340"/>
      <c r="AM955" s="340"/>
      <c r="AN955" s="340"/>
    </row>
    <row r="956" spans="20:40" x14ac:dyDescent="0.25">
      <c r="T956" s="340"/>
      <c r="U956" s="340"/>
      <c r="V956" s="340"/>
      <c r="W956" s="340"/>
      <c r="X956" s="340"/>
      <c r="Y956" s="340"/>
      <c r="Z956" s="340"/>
      <c r="AA956" s="340"/>
      <c r="AB956" s="340"/>
      <c r="AC956" s="340"/>
      <c r="AD956" s="340"/>
      <c r="AE956" s="340"/>
      <c r="AF956" s="340"/>
      <c r="AG956" s="340"/>
      <c r="AH956" s="340"/>
      <c r="AI956" s="340"/>
      <c r="AJ956" s="340"/>
      <c r="AK956" s="340"/>
      <c r="AL956" s="340"/>
      <c r="AM956" s="340"/>
      <c r="AN956" s="340"/>
    </row>
    <row r="957" spans="20:40" x14ac:dyDescent="0.25">
      <c r="T957" s="340"/>
      <c r="U957" s="340"/>
      <c r="V957" s="340"/>
      <c r="W957" s="340"/>
      <c r="X957" s="340"/>
      <c r="Y957" s="340"/>
      <c r="Z957" s="340"/>
      <c r="AA957" s="340"/>
      <c r="AB957" s="340"/>
      <c r="AC957" s="340"/>
      <c r="AD957" s="340"/>
      <c r="AE957" s="340"/>
      <c r="AF957" s="340"/>
      <c r="AG957" s="340"/>
      <c r="AH957" s="340"/>
      <c r="AI957" s="340"/>
      <c r="AJ957" s="340"/>
      <c r="AK957" s="340"/>
      <c r="AL957" s="340"/>
      <c r="AM957" s="340"/>
      <c r="AN957" s="340"/>
    </row>
    <row r="958" spans="20:40" x14ac:dyDescent="0.25">
      <c r="T958" s="340"/>
      <c r="U958" s="340"/>
      <c r="V958" s="340"/>
      <c r="W958" s="340"/>
      <c r="X958" s="340"/>
      <c r="Y958" s="340"/>
      <c r="Z958" s="340"/>
      <c r="AA958" s="340"/>
      <c r="AB958" s="340"/>
      <c r="AC958" s="340"/>
      <c r="AD958" s="340"/>
      <c r="AE958" s="340"/>
      <c r="AF958" s="340"/>
      <c r="AG958" s="340"/>
      <c r="AH958" s="340"/>
      <c r="AI958" s="340"/>
      <c r="AJ958" s="340"/>
      <c r="AK958" s="340"/>
      <c r="AL958" s="340"/>
      <c r="AM958" s="340"/>
      <c r="AN958" s="340"/>
    </row>
    <row r="959" spans="20:40" x14ac:dyDescent="0.25">
      <c r="T959" s="340"/>
      <c r="U959" s="340"/>
      <c r="V959" s="340"/>
      <c r="W959" s="340"/>
      <c r="X959" s="340"/>
      <c r="Y959" s="340"/>
      <c r="Z959" s="340"/>
      <c r="AA959" s="340"/>
      <c r="AB959" s="340"/>
      <c r="AC959" s="340"/>
      <c r="AD959" s="340"/>
      <c r="AE959" s="340"/>
      <c r="AF959" s="340"/>
      <c r="AG959" s="340"/>
      <c r="AH959" s="340"/>
      <c r="AI959" s="340"/>
      <c r="AJ959" s="340"/>
      <c r="AK959" s="340"/>
      <c r="AL959" s="340"/>
      <c r="AM959" s="340"/>
      <c r="AN959" s="340"/>
    </row>
    <row r="960" spans="20:40" x14ac:dyDescent="0.25">
      <c r="T960" s="340"/>
      <c r="U960" s="340"/>
      <c r="V960" s="340"/>
      <c r="W960" s="340"/>
      <c r="X960" s="340"/>
      <c r="Y960" s="340"/>
      <c r="Z960" s="340"/>
      <c r="AA960" s="340"/>
      <c r="AB960" s="340"/>
      <c r="AC960" s="340"/>
      <c r="AD960" s="340"/>
      <c r="AE960" s="340"/>
      <c r="AF960" s="340"/>
      <c r="AG960" s="340"/>
      <c r="AH960" s="340"/>
      <c r="AI960" s="340"/>
      <c r="AJ960" s="340"/>
      <c r="AK960" s="340"/>
      <c r="AL960" s="340"/>
      <c r="AM960" s="340"/>
      <c r="AN960" s="340"/>
    </row>
    <row r="961" spans="20:40" x14ac:dyDescent="0.25">
      <c r="T961" s="340"/>
      <c r="U961" s="340"/>
      <c r="V961" s="340"/>
      <c r="W961" s="340"/>
      <c r="X961" s="340"/>
      <c r="Y961" s="340"/>
      <c r="Z961" s="340"/>
      <c r="AA961" s="340"/>
      <c r="AB961" s="340"/>
      <c r="AC961" s="340"/>
      <c r="AD961" s="340"/>
      <c r="AE961" s="340"/>
      <c r="AF961" s="340"/>
      <c r="AG961" s="340"/>
      <c r="AH961" s="340"/>
      <c r="AI961" s="340"/>
      <c r="AJ961" s="340"/>
      <c r="AK961" s="340"/>
      <c r="AL961" s="340"/>
      <c r="AM961" s="340"/>
      <c r="AN961" s="340"/>
    </row>
    <row r="962" spans="20:40" x14ac:dyDescent="0.25">
      <c r="T962" s="340"/>
      <c r="U962" s="340"/>
      <c r="V962" s="340"/>
      <c r="W962" s="340"/>
      <c r="X962" s="340"/>
      <c r="Y962" s="340"/>
      <c r="Z962" s="340"/>
      <c r="AA962" s="340"/>
      <c r="AB962" s="340"/>
      <c r="AC962" s="340"/>
      <c r="AD962" s="340"/>
      <c r="AE962" s="340"/>
      <c r="AF962" s="340"/>
      <c r="AG962" s="340"/>
      <c r="AH962" s="340"/>
      <c r="AI962" s="340"/>
      <c r="AJ962" s="340"/>
      <c r="AK962" s="340"/>
      <c r="AL962" s="340"/>
      <c r="AM962" s="340"/>
      <c r="AN962" s="340"/>
    </row>
    <row r="963" spans="20:40" x14ac:dyDescent="0.25">
      <c r="T963" s="340"/>
      <c r="U963" s="340"/>
      <c r="V963" s="340"/>
      <c r="W963" s="340"/>
      <c r="X963" s="340"/>
      <c r="Y963" s="340"/>
      <c r="Z963" s="340"/>
      <c r="AA963" s="340"/>
      <c r="AB963" s="340"/>
      <c r="AC963" s="340"/>
      <c r="AD963" s="340"/>
      <c r="AE963" s="340"/>
      <c r="AF963" s="340"/>
      <c r="AG963" s="340"/>
      <c r="AH963" s="340"/>
      <c r="AI963" s="340"/>
      <c r="AJ963" s="340"/>
      <c r="AK963" s="340"/>
      <c r="AL963" s="340"/>
      <c r="AM963" s="340"/>
      <c r="AN963" s="340"/>
    </row>
    <row r="964" spans="20:40" x14ac:dyDescent="0.25">
      <c r="T964" s="340"/>
      <c r="U964" s="340"/>
      <c r="V964" s="340"/>
      <c r="W964" s="340"/>
      <c r="X964" s="340"/>
      <c r="Y964" s="340"/>
      <c r="Z964" s="340"/>
      <c r="AA964" s="340"/>
      <c r="AB964" s="340"/>
      <c r="AC964" s="340"/>
      <c r="AD964" s="340"/>
      <c r="AE964" s="340"/>
      <c r="AF964" s="340"/>
      <c r="AG964" s="340"/>
      <c r="AH964" s="340"/>
      <c r="AI964" s="340"/>
      <c r="AJ964" s="340"/>
      <c r="AK964" s="340"/>
      <c r="AL964" s="340"/>
      <c r="AM964" s="340"/>
      <c r="AN964" s="340"/>
    </row>
    <row r="965" spans="20:40" x14ac:dyDescent="0.25">
      <c r="T965" s="340"/>
      <c r="U965" s="340"/>
      <c r="V965" s="340"/>
      <c r="W965" s="340"/>
      <c r="X965" s="340"/>
      <c r="Y965" s="340"/>
      <c r="Z965" s="340"/>
      <c r="AA965" s="340"/>
      <c r="AB965" s="340"/>
      <c r="AC965" s="340"/>
      <c r="AD965" s="340"/>
      <c r="AE965" s="340"/>
      <c r="AF965" s="340"/>
      <c r="AG965" s="340"/>
      <c r="AH965" s="340"/>
      <c r="AI965" s="340"/>
      <c r="AJ965" s="340"/>
      <c r="AK965" s="340"/>
      <c r="AL965" s="340"/>
      <c r="AM965" s="340"/>
      <c r="AN965" s="340"/>
    </row>
    <row r="966" spans="20:40" x14ac:dyDescent="0.25">
      <c r="T966" s="340"/>
      <c r="U966" s="340"/>
      <c r="V966" s="340"/>
      <c r="W966" s="340"/>
      <c r="X966" s="340"/>
      <c r="Y966" s="340"/>
      <c r="Z966" s="340"/>
      <c r="AA966" s="340"/>
      <c r="AB966" s="340"/>
      <c r="AC966" s="340"/>
      <c r="AD966" s="340"/>
      <c r="AE966" s="340"/>
      <c r="AF966" s="340"/>
      <c r="AG966" s="340"/>
      <c r="AH966" s="340"/>
      <c r="AI966" s="340"/>
      <c r="AJ966" s="340"/>
      <c r="AK966" s="340"/>
      <c r="AL966" s="340"/>
      <c r="AM966" s="340"/>
      <c r="AN966" s="340"/>
    </row>
    <row r="967" spans="20:40" x14ac:dyDescent="0.25">
      <c r="T967" s="340"/>
      <c r="U967" s="340"/>
      <c r="V967" s="340"/>
      <c r="W967" s="340"/>
      <c r="X967" s="340"/>
      <c r="Y967" s="340"/>
      <c r="Z967" s="340"/>
      <c r="AA967" s="340"/>
      <c r="AB967" s="340"/>
      <c r="AC967" s="340"/>
      <c r="AD967" s="340"/>
      <c r="AE967" s="340"/>
      <c r="AF967" s="340"/>
      <c r="AG967" s="340"/>
      <c r="AH967" s="340"/>
      <c r="AI967" s="340"/>
      <c r="AJ967" s="340"/>
      <c r="AK967" s="340"/>
      <c r="AL967" s="340"/>
      <c r="AM967" s="340"/>
      <c r="AN967" s="340"/>
    </row>
    <row r="968" spans="20:40" x14ac:dyDescent="0.25">
      <c r="T968" s="340"/>
      <c r="U968" s="340"/>
      <c r="V968" s="340"/>
      <c r="W968" s="340"/>
      <c r="X968" s="340"/>
      <c r="Y968" s="340"/>
      <c r="Z968" s="340"/>
      <c r="AA968" s="340"/>
      <c r="AB968" s="340"/>
      <c r="AC968" s="340"/>
      <c r="AD968" s="340"/>
      <c r="AE968" s="340"/>
      <c r="AF968" s="340"/>
      <c r="AG968" s="340"/>
      <c r="AH968" s="340"/>
      <c r="AI968" s="340"/>
      <c r="AJ968" s="340"/>
      <c r="AK968" s="340"/>
      <c r="AL968" s="340"/>
      <c r="AM968" s="340"/>
      <c r="AN968" s="340"/>
    </row>
    <row r="969" spans="20:40" x14ac:dyDescent="0.25">
      <c r="T969" s="340"/>
      <c r="U969" s="340"/>
      <c r="V969" s="340"/>
      <c r="W969" s="340"/>
      <c r="X969" s="340"/>
      <c r="Y969" s="340"/>
      <c r="Z969" s="340"/>
      <c r="AA969" s="340"/>
      <c r="AB969" s="340"/>
      <c r="AC969" s="340"/>
      <c r="AD969" s="340"/>
      <c r="AE969" s="340"/>
      <c r="AF969" s="340"/>
      <c r="AG969" s="340"/>
      <c r="AH969" s="340"/>
      <c r="AI969" s="340"/>
      <c r="AJ969" s="340"/>
      <c r="AK969" s="340"/>
      <c r="AL969" s="340"/>
      <c r="AM969" s="340"/>
      <c r="AN969" s="340"/>
    </row>
    <row r="970" spans="20:40" x14ac:dyDescent="0.25">
      <c r="T970" s="340"/>
      <c r="U970" s="340"/>
      <c r="V970" s="340"/>
      <c r="W970" s="340"/>
      <c r="X970" s="340"/>
      <c r="Y970" s="340"/>
      <c r="Z970" s="340"/>
      <c r="AA970" s="340"/>
      <c r="AB970" s="340"/>
      <c r="AC970" s="340"/>
      <c r="AD970" s="340"/>
      <c r="AE970" s="340"/>
      <c r="AF970" s="340"/>
      <c r="AG970" s="340"/>
      <c r="AH970" s="340"/>
      <c r="AI970" s="340"/>
      <c r="AJ970" s="340"/>
      <c r="AK970" s="340"/>
      <c r="AL970" s="340"/>
      <c r="AM970" s="340"/>
      <c r="AN970" s="340"/>
    </row>
    <row r="971" spans="20:40" x14ac:dyDescent="0.25">
      <c r="T971" s="340"/>
      <c r="U971" s="340"/>
      <c r="V971" s="340"/>
      <c r="W971" s="340"/>
      <c r="X971" s="340"/>
      <c r="Y971" s="340"/>
      <c r="Z971" s="340"/>
      <c r="AA971" s="340"/>
      <c r="AB971" s="340"/>
      <c r="AC971" s="340"/>
      <c r="AD971" s="340"/>
      <c r="AE971" s="340"/>
      <c r="AF971" s="340"/>
      <c r="AG971" s="340"/>
      <c r="AH971" s="340"/>
      <c r="AI971" s="340"/>
      <c r="AJ971" s="340"/>
      <c r="AK971" s="340"/>
      <c r="AL971" s="340"/>
      <c r="AM971" s="340"/>
      <c r="AN971" s="340"/>
    </row>
    <row r="972" spans="20:40" x14ac:dyDescent="0.25">
      <c r="T972" s="340"/>
      <c r="U972" s="340"/>
      <c r="V972" s="340"/>
      <c r="W972" s="340"/>
      <c r="X972" s="340"/>
      <c r="Y972" s="340"/>
      <c r="Z972" s="340"/>
      <c r="AA972" s="340"/>
      <c r="AB972" s="340"/>
      <c r="AC972" s="340"/>
      <c r="AD972" s="340"/>
      <c r="AE972" s="340"/>
      <c r="AF972" s="340"/>
      <c r="AG972" s="340"/>
      <c r="AH972" s="340"/>
      <c r="AI972" s="340"/>
      <c r="AJ972" s="340"/>
      <c r="AK972" s="340"/>
      <c r="AL972" s="340"/>
      <c r="AM972" s="340"/>
      <c r="AN972" s="340"/>
    </row>
    <row r="973" spans="20:40" x14ac:dyDescent="0.25">
      <c r="T973" s="340"/>
      <c r="U973" s="340"/>
      <c r="V973" s="340"/>
      <c r="W973" s="340"/>
      <c r="X973" s="340"/>
      <c r="Y973" s="340"/>
      <c r="Z973" s="340"/>
      <c r="AA973" s="340"/>
      <c r="AB973" s="340"/>
      <c r="AC973" s="340"/>
      <c r="AD973" s="340"/>
      <c r="AE973" s="340"/>
      <c r="AF973" s="340"/>
      <c r="AG973" s="340"/>
      <c r="AH973" s="340"/>
      <c r="AI973" s="340"/>
      <c r="AJ973" s="340"/>
      <c r="AK973" s="340"/>
      <c r="AL973" s="340"/>
      <c r="AM973" s="340"/>
      <c r="AN973" s="340"/>
    </row>
    <row r="974" spans="20:40" x14ac:dyDescent="0.25">
      <c r="T974" s="340"/>
      <c r="U974" s="340"/>
      <c r="V974" s="340"/>
      <c r="W974" s="340"/>
      <c r="X974" s="340"/>
      <c r="Y974" s="340"/>
      <c r="Z974" s="340"/>
      <c r="AA974" s="340"/>
      <c r="AB974" s="340"/>
      <c r="AC974" s="340"/>
      <c r="AD974" s="340"/>
      <c r="AE974" s="340"/>
      <c r="AF974" s="340"/>
      <c r="AG974" s="340"/>
      <c r="AH974" s="340"/>
      <c r="AI974" s="340"/>
      <c r="AJ974" s="340"/>
      <c r="AK974" s="340"/>
      <c r="AL974" s="340"/>
      <c r="AM974" s="340"/>
      <c r="AN974" s="340"/>
    </row>
    <row r="975" spans="20:40" x14ac:dyDescent="0.25">
      <c r="T975" s="340"/>
      <c r="U975" s="340"/>
      <c r="V975" s="340"/>
      <c r="W975" s="340"/>
      <c r="X975" s="340"/>
      <c r="Y975" s="340"/>
      <c r="Z975" s="340"/>
      <c r="AA975" s="340"/>
      <c r="AB975" s="340"/>
      <c r="AC975" s="340"/>
      <c r="AD975" s="340"/>
      <c r="AE975" s="340"/>
      <c r="AF975" s="340"/>
      <c r="AG975" s="340"/>
      <c r="AH975" s="340"/>
      <c r="AI975" s="340"/>
      <c r="AJ975" s="340"/>
      <c r="AK975" s="340"/>
      <c r="AL975" s="340"/>
      <c r="AM975" s="340"/>
      <c r="AN975" s="340"/>
    </row>
    <row r="976" spans="20:40" x14ac:dyDescent="0.25">
      <c r="T976" s="340"/>
      <c r="U976" s="340"/>
      <c r="V976" s="340"/>
      <c r="W976" s="340"/>
      <c r="X976" s="340"/>
      <c r="Y976" s="340"/>
      <c r="Z976" s="340"/>
      <c r="AA976" s="340"/>
      <c r="AB976" s="340"/>
      <c r="AC976" s="340"/>
      <c r="AD976" s="340"/>
      <c r="AE976" s="340"/>
      <c r="AF976" s="340"/>
      <c r="AG976" s="340"/>
      <c r="AH976" s="340"/>
      <c r="AI976" s="340"/>
      <c r="AJ976" s="340"/>
      <c r="AK976" s="340"/>
      <c r="AL976" s="340"/>
      <c r="AM976" s="340"/>
      <c r="AN976" s="340"/>
    </row>
    <row r="977" spans="20:40" x14ac:dyDescent="0.25">
      <c r="T977" s="340"/>
      <c r="U977" s="340"/>
      <c r="V977" s="340"/>
      <c r="W977" s="340"/>
      <c r="X977" s="340"/>
      <c r="Y977" s="340"/>
      <c r="Z977" s="340"/>
      <c r="AA977" s="340"/>
      <c r="AB977" s="340"/>
      <c r="AC977" s="340"/>
      <c r="AD977" s="340"/>
      <c r="AE977" s="340"/>
      <c r="AF977" s="340"/>
      <c r="AG977" s="340"/>
      <c r="AH977" s="340"/>
      <c r="AI977" s="340"/>
      <c r="AJ977" s="340"/>
      <c r="AK977" s="340"/>
      <c r="AL977" s="340"/>
      <c r="AM977" s="340"/>
      <c r="AN977" s="340"/>
    </row>
    <row r="978" spans="20:40" x14ac:dyDescent="0.25">
      <c r="T978" s="340"/>
      <c r="U978" s="340"/>
      <c r="V978" s="340"/>
      <c r="W978" s="340"/>
      <c r="X978" s="340"/>
      <c r="Y978" s="340"/>
      <c r="Z978" s="340"/>
      <c r="AA978" s="340"/>
      <c r="AB978" s="340"/>
      <c r="AC978" s="340"/>
      <c r="AD978" s="340"/>
      <c r="AE978" s="340"/>
      <c r="AF978" s="340"/>
      <c r="AG978" s="340"/>
      <c r="AH978" s="340"/>
      <c r="AI978" s="340"/>
      <c r="AJ978" s="340"/>
      <c r="AK978" s="340"/>
      <c r="AL978" s="340"/>
      <c r="AM978" s="340"/>
      <c r="AN978" s="340"/>
    </row>
    <row r="979" spans="20:40" x14ac:dyDescent="0.25">
      <c r="T979" s="340"/>
      <c r="U979" s="340"/>
      <c r="V979" s="340"/>
      <c r="W979" s="340"/>
      <c r="X979" s="340"/>
      <c r="Y979" s="340"/>
      <c r="Z979" s="340"/>
      <c r="AA979" s="340"/>
      <c r="AB979" s="340"/>
      <c r="AC979" s="340"/>
      <c r="AD979" s="340"/>
      <c r="AE979" s="340"/>
      <c r="AF979" s="340"/>
      <c r="AG979" s="340"/>
      <c r="AH979" s="340"/>
      <c r="AI979" s="340"/>
      <c r="AJ979" s="340"/>
      <c r="AK979" s="340"/>
      <c r="AL979" s="340"/>
      <c r="AM979" s="340"/>
      <c r="AN979" s="340"/>
    </row>
    <row r="980" spans="20:40" x14ac:dyDescent="0.25">
      <c r="T980" s="340"/>
      <c r="U980" s="340"/>
      <c r="V980" s="340"/>
      <c r="W980" s="340"/>
      <c r="X980" s="340"/>
      <c r="Y980" s="340"/>
      <c r="Z980" s="340"/>
      <c r="AA980" s="340"/>
      <c r="AB980" s="340"/>
      <c r="AC980" s="340"/>
      <c r="AD980" s="340"/>
      <c r="AE980" s="340"/>
      <c r="AF980" s="340"/>
      <c r="AG980" s="340"/>
      <c r="AH980" s="340"/>
      <c r="AI980" s="340"/>
      <c r="AJ980" s="340"/>
      <c r="AK980" s="340"/>
      <c r="AL980" s="340"/>
      <c r="AM980" s="340"/>
      <c r="AN980" s="340"/>
    </row>
    <row r="981" spans="20:40" x14ac:dyDescent="0.25">
      <c r="T981" s="340"/>
      <c r="U981" s="340"/>
      <c r="V981" s="340"/>
      <c r="W981" s="340"/>
      <c r="X981" s="340"/>
      <c r="Y981" s="340"/>
      <c r="Z981" s="340"/>
      <c r="AA981" s="340"/>
      <c r="AB981" s="340"/>
      <c r="AC981" s="340"/>
      <c r="AD981" s="340"/>
      <c r="AE981" s="340"/>
      <c r="AF981" s="340"/>
      <c r="AG981" s="340"/>
      <c r="AH981" s="340"/>
      <c r="AI981" s="340"/>
      <c r="AJ981" s="340"/>
      <c r="AK981" s="340"/>
      <c r="AL981" s="340"/>
      <c r="AM981" s="340"/>
      <c r="AN981" s="340"/>
    </row>
    <row r="982" spans="20:40" x14ac:dyDescent="0.25">
      <c r="T982" s="340"/>
      <c r="U982" s="340"/>
      <c r="V982" s="340"/>
      <c r="W982" s="340"/>
      <c r="X982" s="340"/>
      <c r="Y982" s="340"/>
      <c r="Z982" s="340"/>
      <c r="AA982" s="340"/>
      <c r="AB982" s="340"/>
      <c r="AC982" s="340"/>
      <c r="AD982" s="340"/>
      <c r="AE982" s="340"/>
      <c r="AF982" s="340"/>
      <c r="AG982" s="340"/>
      <c r="AH982" s="340"/>
      <c r="AI982" s="340"/>
      <c r="AJ982" s="340"/>
      <c r="AK982" s="340"/>
      <c r="AL982" s="340"/>
      <c r="AM982" s="340"/>
      <c r="AN982" s="340"/>
    </row>
    <row r="983" spans="20:40" x14ac:dyDescent="0.25">
      <c r="T983" s="340"/>
      <c r="U983" s="340"/>
      <c r="V983" s="340"/>
      <c r="W983" s="340"/>
      <c r="X983" s="340"/>
      <c r="Y983" s="340"/>
      <c r="Z983" s="340"/>
      <c r="AA983" s="340"/>
      <c r="AB983" s="340"/>
      <c r="AC983" s="340"/>
      <c r="AD983" s="340"/>
      <c r="AE983" s="340"/>
      <c r="AF983" s="340"/>
      <c r="AG983" s="340"/>
      <c r="AH983" s="340"/>
      <c r="AI983" s="340"/>
      <c r="AJ983" s="340"/>
      <c r="AK983" s="340"/>
      <c r="AL983" s="340"/>
      <c r="AM983" s="340"/>
      <c r="AN983" s="340"/>
    </row>
    <row r="984" spans="20:40" x14ac:dyDescent="0.25">
      <c r="T984" s="340"/>
      <c r="U984" s="340"/>
      <c r="V984" s="340"/>
      <c r="W984" s="340"/>
      <c r="X984" s="340"/>
      <c r="Y984" s="340"/>
      <c r="Z984" s="340"/>
      <c r="AA984" s="340"/>
      <c r="AB984" s="340"/>
      <c r="AC984" s="340"/>
      <c r="AD984" s="340"/>
      <c r="AE984" s="340"/>
      <c r="AF984" s="340"/>
      <c r="AG984" s="340"/>
      <c r="AH984" s="340"/>
      <c r="AI984" s="340"/>
      <c r="AJ984" s="340"/>
      <c r="AK984" s="340"/>
      <c r="AL984" s="340"/>
      <c r="AM984" s="340"/>
      <c r="AN984" s="340"/>
    </row>
    <row r="985" spans="20:40" x14ac:dyDescent="0.25">
      <c r="T985" s="340"/>
      <c r="U985" s="340"/>
      <c r="V985" s="340"/>
      <c r="W985" s="340"/>
      <c r="X985" s="340"/>
      <c r="Y985" s="340"/>
      <c r="Z985" s="340"/>
      <c r="AA985" s="340"/>
      <c r="AB985" s="340"/>
      <c r="AC985" s="340"/>
      <c r="AD985" s="340"/>
      <c r="AE985" s="340"/>
      <c r="AF985" s="340"/>
      <c r="AG985" s="340"/>
      <c r="AH985" s="340"/>
      <c r="AI985" s="340"/>
      <c r="AJ985" s="340"/>
      <c r="AK985" s="340"/>
      <c r="AL985" s="340"/>
      <c r="AM985" s="340"/>
      <c r="AN985" s="340"/>
    </row>
    <row r="986" spans="20:40" x14ac:dyDescent="0.25">
      <c r="T986" s="340"/>
      <c r="U986" s="340"/>
      <c r="V986" s="340"/>
      <c r="W986" s="340"/>
      <c r="X986" s="340"/>
      <c r="Y986" s="340"/>
      <c r="Z986" s="340"/>
      <c r="AA986" s="340"/>
      <c r="AB986" s="340"/>
      <c r="AC986" s="340"/>
      <c r="AD986" s="340"/>
      <c r="AE986" s="340"/>
      <c r="AF986" s="340"/>
      <c r="AG986" s="340"/>
      <c r="AH986" s="340"/>
      <c r="AI986" s="340"/>
      <c r="AJ986" s="340"/>
      <c r="AK986" s="340"/>
      <c r="AL986" s="340"/>
      <c r="AM986" s="340"/>
      <c r="AN986" s="340"/>
    </row>
    <row r="987" spans="20:40" x14ac:dyDescent="0.25">
      <c r="T987" s="340"/>
      <c r="U987" s="340"/>
      <c r="V987" s="340"/>
      <c r="W987" s="340"/>
      <c r="X987" s="340"/>
      <c r="Y987" s="340"/>
      <c r="Z987" s="340"/>
      <c r="AA987" s="340"/>
      <c r="AB987" s="340"/>
      <c r="AC987" s="340"/>
      <c r="AD987" s="340"/>
      <c r="AE987" s="340"/>
      <c r="AF987" s="340"/>
      <c r="AG987" s="340"/>
      <c r="AH987" s="340"/>
      <c r="AI987" s="340"/>
      <c r="AJ987" s="340"/>
      <c r="AK987" s="340"/>
      <c r="AL987" s="340"/>
      <c r="AM987" s="340"/>
      <c r="AN987" s="340"/>
    </row>
    <row r="988" spans="20:40" x14ac:dyDescent="0.25">
      <c r="T988" s="340"/>
      <c r="U988" s="340"/>
      <c r="V988" s="340"/>
      <c r="W988" s="340"/>
      <c r="X988" s="340"/>
      <c r="Y988" s="340"/>
      <c r="Z988" s="340"/>
      <c r="AA988" s="340"/>
      <c r="AB988" s="340"/>
      <c r="AC988" s="340"/>
      <c r="AD988" s="340"/>
      <c r="AE988" s="340"/>
      <c r="AF988" s="340"/>
      <c r="AG988" s="340"/>
      <c r="AH988" s="340"/>
      <c r="AI988" s="340"/>
      <c r="AJ988" s="340"/>
      <c r="AK988" s="340"/>
      <c r="AL988" s="340"/>
      <c r="AM988" s="340"/>
      <c r="AN988" s="340"/>
    </row>
    <row r="989" spans="20:40" x14ac:dyDescent="0.25">
      <c r="T989" s="340"/>
      <c r="U989" s="340"/>
      <c r="V989" s="340"/>
      <c r="W989" s="340"/>
      <c r="X989" s="340"/>
      <c r="Y989" s="340"/>
      <c r="Z989" s="340"/>
      <c r="AA989" s="340"/>
      <c r="AB989" s="340"/>
      <c r="AC989" s="340"/>
      <c r="AD989" s="340"/>
      <c r="AE989" s="340"/>
      <c r="AF989" s="340"/>
      <c r="AG989" s="340"/>
      <c r="AH989" s="340"/>
      <c r="AI989" s="340"/>
      <c r="AJ989" s="340"/>
      <c r="AK989" s="340"/>
      <c r="AL989" s="340"/>
      <c r="AM989" s="340"/>
      <c r="AN989" s="340"/>
    </row>
    <row r="990" spans="20:40" x14ac:dyDescent="0.25">
      <c r="T990" s="340"/>
      <c r="U990" s="340"/>
      <c r="V990" s="340"/>
      <c r="W990" s="340"/>
      <c r="X990" s="340"/>
      <c r="Y990" s="340"/>
      <c r="Z990" s="340"/>
      <c r="AA990" s="340"/>
      <c r="AB990" s="340"/>
      <c r="AC990" s="340"/>
      <c r="AD990" s="340"/>
      <c r="AE990" s="340"/>
      <c r="AF990" s="340"/>
      <c r="AG990" s="340"/>
      <c r="AH990" s="340"/>
      <c r="AI990" s="340"/>
      <c r="AJ990" s="340"/>
      <c r="AK990" s="340"/>
      <c r="AL990" s="340"/>
      <c r="AM990" s="340"/>
      <c r="AN990" s="340"/>
    </row>
    <row r="991" spans="20:40" x14ac:dyDescent="0.25">
      <c r="T991" s="340"/>
      <c r="U991" s="340"/>
      <c r="V991" s="340"/>
      <c r="W991" s="340"/>
      <c r="X991" s="340"/>
      <c r="Y991" s="340"/>
      <c r="Z991" s="340"/>
      <c r="AA991" s="340"/>
      <c r="AB991" s="340"/>
      <c r="AC991" s="340"/>
      <c r="AD991" s="340"/>
      <c r="AE991" s="340"/>
      <c r="AF991" s="340"/>
      <c r="AG991" s="340"/>
      <c r="AH991" s="340"/>
      <c r="AI991" s="340"/>
      <c r="AJ991" s="340"/>
      <c r="AK991" s="340"/>
      <c r="AL991" s="340"/>
      <c r="AM991" s="340"/>
      <c r="AN991" s="340"/>
    </row>
    <row r="992" spans="20:40" x14ac:dyDescent="0.25">
      <c r="T992" s="340"/>
      <c r="U992" s="340"/>
      <c r="V992" s="340"/>
      <c r="W992" s="340"/>
      <c r="X992" s="340"/>
      <c r="Y992" s="340"/>
      <c r="Z992" s="340"/>
      <c r="AA992" s="340"/>
      <c r="AB992" s="340"/>
      <c r="AC992" s="340"/>
      <c r="AD992" s="340"/>
      <c r="AE992" s="340"/>
      <c r="AF992" s="340"/>
      <c r="AG992" s="340"/>
      <c r="AH992" s="340"/>
      <c r="AI992" s="340"/>
      <c r="AJ992" s="340"/>
      <c r="AK992" s="340"/>
      <c r="AL992" s="340"/>
      <c r="AM992" s="340"/>
      <c r="AN992" s="340"/>
    </row>
    <row r="993" spans="20:40" x14ac:dyDescent="0.25">
      <c r="T993" s="340"/>
      <c r="U993" s="340"/>
      <c r="V993" s="340"/>
      <c r="W993" s="340"/>
      <c r="X993" s="340"/>
      <c r="Y993" s="340"/>
      <c r="Z993" s="340"/>
      <c r="AA993" s="340"/>
      <c r="AB993" s="340"/>
      <c r="AC993" s="340"/>
      <c r="AD993" s="340"/>
      <c r="AE993" s="340"/>
      <c r="AF993" s="340"/>
      <c r="AG993" s="340"/>
      <c r="AH993" s="340"/>
      <c r="AI993" s="340"/>
      <c r="AJ993" s="340"/>
      <c r="AK993" s="340"/>
      <c r="AL993" s="340"/>
      <c r="AM993" s="340"/>
      <c r="AN993" s="340"/>
    </row>
    <row r="994" spans="20:40" x14ac:dyDescent="0.25">
      <c r="T994" s="340"/>
      <c r="U994" s="340"/>
      <c r="V994" s="340"/>
      <c r="W994" s="340"/>
      <c r="X994" s="340"/>
      <c r="Y994" s="340"/>
      <c r="Z994" s="340"/>
      <c r="AA994" s="340"/>
      <c r="AB994" s="340"/>
      <c r="AC994" s="340"/>
      <c r="AD994" s="340"/>
      <c r="AE994" s="340"/>
      <c r="AF994" s="340"/>
      <c r="AG994" s="340"/>
      <c r="AH994" s="340"/>
      <c r="AI994" s="340"/>
      <c r="AJ994" s="340"/>
      <c r="AK994" s="340"/>
      <c r="AL994" s="340"/>
      <c r="AM994" s="340"/>
      <c r="AN994" s="340"/>
    </row>
    <row r="995" spans="20:40" x14ac:dyDescent="0.25">
      <c r="T995" s="340"/>
      <c r="U995" s="340"/>
      <c r="V995" s="340"/>
      <c r="W995" s="340"/>
      <c r="X995" s="340"/>
      <c r="Y995" s="340"/>
      <c r="Z995" s="340"/>
      <c r="AA995" s="340"/>
      <c r="AB995" s="340"/>
      <c r="AC995" s="340"/>
      <c r="AD995" s="340"/>
      <c r="AE995" s="340"/>
      <c r="AF995" s="340"/>
      <c r="AG995" s="340"/>
      <c r="AH995" s="340"/>
      <c r="AI995" s="340"/>
      <c r="AJ995" s="340"/>
      <c r="AK995" s="340"/>
      <c r="AL995" s="340"/>
      <c r="AM995" s="340"/>
      <c r="AN995" s="340"/>
    </row>
    <row r="996" spans="20:40" x14ac:dyDescent="0.25">
      <c r="T996" s="340"/>
      <c r="U996" s="340"/>
      <c r="V996" s="340"/>
      <c r="W996" s="340"/>
      <c r="X996" s="340"/>
      <c r="Y996" s="340"/>
      <c r="Z996" s="340"/>
      <c r="AA996" s="340"/>
      <c r="AB996" s="340"/>
      <c r="AC996" s="340"/>
      <c r="AD996" s="340"/>
      <c r="AE996" s="340"/>
      <c r="AF996" s="340"/>
      <c r="AG996" s="340"/>
      <c r="AH996" s="340"/>
      <c r="AI996" s="340"/>
      <c r="AJ996" s="340"/>
      <c r="AK996" s="340"/>
      <c r="AL996" s="340"/>
      <c r="AM996" s="340"/>
      <c r="AN996" s="340"/>
    </row>
    <row r="997" spans="20:40" x14ac:dyDescent="0.25">
      <c r="T997" s="340"/>
      <c r="U997" s="340"/>
      <c r="V997" s="340"/>
      <c r="W997" s="340"/>
      <c r="X997" s="340"/>
      <c r="Y997" s="340"/>
      <c r="Z997" s="340"/>
      <c r="AA997" s="340"/>
      <c r="AB997" s="340"/>
      <c r="AC997" s="340"/>
      <c r="AD997" s="340"/>
      <c r="AE997" s="340"/>
      <c r="AF997" s="340"/>
      <c r="AG997" s="340"/>
      <c r="AH997" s="340"/>
      <c r="AI997" s="340"/>
      <c r="AJ997" s="340"/>
      <c r="AK997" s="340"/>
      <c r="AL997" s="340"/>
      <c r="AM997" s="340"/>
      <c r="AN997" s="340"/>
    </row>
    <row r="998" spans="20:40" x14ac:dyDescent="0.25">
      <c r="T998" s="340"/>
      <c r="U998" s="340"/>
      <c r="V998" s="340"/>
      <c r="W998" s="340"/>
      <c r="X998" s="340"/>
      <c r="Y998" s="340"/>
      <c r="Z998" s="340"/>
      <c r="AA998" s="340"/>
      <c r="AB998" s="340"/>
      <c r="AC998" s="340"/>
      <c r="AD998" s="340"/>
      <c r="AE998" s="340"/>
      <c r="AF998" s="340"/>
      <c r="AG998" s="340"/>
      <c r="AH998" s="340"/>
      <c r="AI998" s="340"/>
      <c r="AJ998" s="340"/>
      <c r="AK998" s="340"/>
      <c r="AL998" s="340"/>
      <c r="AM998" s="340"/>
      <c r="AN998" s="340"/>
    </row>
    <row r="999" spans="20:40" x14ac:dyDescent="0.25">
      <c r="T999" s="340"/>
      <c r="U999" s="340"/>
      <c r="V999" s="340"/>
      <c r="W999" s="340"/>
      <c r="X999" s="340"/>
      <c r="Y999" s="340"/>
      <c r="Z999" s="340"/>
      <c r="AA999" s="340"/>
      <c r="AB999" s="340"/>
      <c r="AC999" s="340"/>
      <c r="AD999" s="340"/>
      <c r="AE999" s="340"/>
      <c r="AF999" s="340"/>
      <c r="AG999" s="340"/>
      <c r="AH999" s="340"/>
      <c r="AI999" s="340"/>
      <c r="AJ999" s="340"/>
      <c r="AK999" s="340"/>
      <c r="AL999" s="340"/>
      <c r="AM999" s="340"/>
      <c r="AN999" s="340"/>
    </row>
    <row r="1000" spans="20:40" x14ac:dyDescent="0.25">
      <c r="T1000" s="340"/>
      <c r="U1000" s="340"/>
      <c r="V1000" s="340"/>
      <c r="W1000" s="340"/>
      <c r="X1000" s="340"/>
      <c r="Y1000" s="340"/>
      <c r="Z1000" s="340"/>
      <c r="AA1000" s="340"/>
      <c r="AB1000" s="340"/>
      <c r="AC1000" s="340"/>
      <c r="AD1000" s="340"/>
      <c r="AE1000" s="340"/>
      <c r="AF1000" s="340"/>
      <c r="AG1000" s="340"/>
      <c r="AH1000" s="340"/>
      <c r="AI1000" s="340"/>
      <c r="AJ1000" s="340"/>
      <c r="AK1000" s="340"/>
      <c r="AL1000" s="340"/>
      <c r="AM1000" s="340"/>
      <c r="AN1000" s="340"/>
    </row>
    <row r="1001" spans="20:40" x14ac:dyDescent="0.25">
      <c r="T1001" s="340"/>
      <c r="U1001" s="340"/>
      <c r="V1001" s="340"/>
      <c r="W1001" s="340"/>
      <c r="X1001" s="340"/>
      <c r="Y1001" s="340"/>
      <c r="Z1001" s="340"/>
      <c r="AA1001" s="340"/>
      <c r="AB1001" s="340"/>
      <c r="AC1001" s="340"/>
      <c r="AD1001" s="340"/>
      <c r="AE1001" s="340"/>
      <c r="AF1001" s="340"/>
      <c r="AG1001" s="340"/>
      <c r="AH1001" s="340"/>
      <c r="AI1001" s="340"/>
      <c r="AJ1001" s="340"/>
      <c r="AK1001" s="340"/>
      <c r="AL1001" s="340"/>
      <c r="AM1001" s="340"/>
      <c r="AN1001" s="340"/>
    </row>
    <row r="1002" spans="20:40" x14ac:dyDescent="0.25">
      <c r="T1002" s="340"/>
      <c r="U1002" s="340"/>
      <c r="V1002" s="340"/>
      <c r="W1002" s="340"/>
      <c r="X1002" s="340"/>
      <c r="Y1002" s="340"/>
      <c r="Z1002" s="340"/>
      <c r="AA1002" s="340"/>
      <c r="AB1002" s="340"/>
      <c r="AC1002" s="340"/>
      <c r="AD1002" s="340"/>
      <c r="AE1002" s="340"/>
      <c r="AF1002" s="340"/>
      <c r="AG1002" s="340"/>
      <c r="AH1002" s="340"/>
      <c r="AI1002" s="340"/>
      <c r="AJ1002" s="340"/>
      <c r="AK1002" s="340"/>
      <c r="AL1002" s="340"/>
      <c r="AM1002" s="340"/>
      <c r="AN1002" s="340"/>
    </row>
    <row r="1003" spans="20:40" x14ac:dyDescent="0.25">
      <c r="T1003" s="340"/>
      <c r="U1003" s="340"/>
      <c r="V1003" s="340"/>
      <c r="W1003" s="340"/>
      <c r="X1003" s="340"/>
      <c r="Y1003" s="340"/>
      <c r="Z1003" s="340"/>
      <c r="AA1003" s="340"/>
      <c r="AB1003" s="340"/>
      <c r="AC1003" s="340"/>
      <c r="AD1003" s="340"/>
      <c r="AE1003" s="340"/>
      <c r="AF1003" s="340"/>
      <c r="AG1003" s="340"/>
      <c r="AH1003" s="340"/>
      <c r="AI1003" s="340"/>
      <c r="AJ1003" s="340"/>
      <c r="AK1003" s="340"/>
      <c r="AL1003" s="340"/>
      <c r="AM1003" s="340"/>
      <c r="AN1003" s="340"/>
    </row>
    <row r="1004" spans="20:40" x14ac:dyDescent="0.25">
      <c r="T1004" s="340"/>
      <c r="U1004" s="340"/>
      <c r="V1004" s="340"/>
      <c r="W1004" s="340"/>
      <c r="X1004" s="340"/>
      <c r="Y1004" s="340"/>
      <c r="Z1004" s="340"/>
      <c r="AA1004" s="340"/>
      <c r="AB1004" s="340"/>
      <c r="AC1004" s="340"/>
      <c r="AD1004" s="340"/>
      <c r="AE1004" s="340"/>
      <c r="AF1004" s="340"/>
      <c r="AG1004" s="340"/>
      <c r="AH1004" s="340"/>
      <c r="AI1004" s="340"/>
      <c r="AJ1004" s="340"/>
      <c r="AK1004" s="340"/>
      <c r="AL1004" s="340"/>
      <c r="AM1004" s="340"/>
      <c r="AN1004" s="340"/>
    </row>
    <row r="1005" spans="20:40" x14ac:dyDescent="0.25">
      <c r="T1005" s="340"/>
      <c r="U1005" s="340"/>
      <c r="V1005" s="340"/>
      <c r="W1005" s="340"/>
      <c r="X1005" s="340"/>
      <c r="Y1005" s="340"/>
      <c r="Z1005" s="340"/>
      <c r="AA1005" s="340"/>
      <c r="AB1005" s="340"/>
      <c r="AC1005" s="340"/>
      <c r="AD1005" s="340"/>
      <c r="AE1005" s="340"/>
      <c r="AF1005" s="340"/>
      <c r="AG1005" s="340"/>
      <c r="AH1005" s="340"/>
      <c r="AI1005" s="340"/>
      <c r="AJ1005" s="340"/>
      <c r="AK1005" s="340"/>
      <c r="AL1005" s="340"/>
      <c r="AM1005" s="340"/>
      <c r="AN1005" s="340"/>
    </row>
    <row r="1006" spans="20:40" x14ac:dyDescent="0.25">
      <c r="T1006" s="340"/>
      <c r="U1006" s="340"/>
      <c r="V1006" s="340"/>
      <c r="W1006" s="340"/>
      <c r="X1006" s="340"/>
      <c r="Y1006" s="340"/>
      <c r="Z1006" s="340"/>
      <c r="AA1006" s="340"/>
      <c r="AB1006" s="340"/>
      <c r="AC1006" s="340"/>
      <c r="AD1006" s="340"/>
      <c r="AE1006" s="340"/>
      <c r="AF1006" s="340"/>
      <c r="AG1006" s="340"/>
      <c r="AH1006" s="340"/>
      <c r="AI1006" s="340"/>
      <c r="AJ1006" s="340"/>
      <c r="AK1006" s="340"/>
      <c r="AL1006" s="340"/>
      <c r="AM1006" s="340"/>
      <c r="AN1006" s="340"/>
    </row>
    <row r="1007" spans="20:40" x14ac:dyDescent="0.25">
      <c r="T1007" s="340"/>
      <c r="U1007" s="340"/>
      <c r="V1007" s="340"/>
      <c r="W1007" s="340"/>
      <c r="X1007" s="340"/>
      <c r="Y1007" s="340"/>
      <c r="Z1007" s="340"/>
      <c r="AA1007" s="340"/>
      <c r="AB1007" s="340"/>
      <c r="AC1007" s="340"/>
      <c r="AD1007" s="340"/>
      <c r="AE1007" s="340"/>
      <c r="AF1007" s="340"/>
      <c r="AG1007" s="340"/>
      <c r="AH1007" s="340"/>
      <c r="AI1007" s="340"/>
      <c r="AJ1007" s="340"/>
      <c r="AK1007" s="340"/>
      <c r="AL1007" s="340"/>
      <c r="AM1007" s="340"/>
      <c r="AN1007" s="340"/>
    </row>
    <row r="1008" spans="20:40" x14ac:dyDescent="0.25">
      <c r="T1008" s="340"/>
      <c r="U1008" s="340"/>
      <c r="V1008" s="340"/>
      <c r="W1008" s="340"/>
      <c r="X1008" s="340"/>
      <c r="Y1008" s="340"/>
      <c r="Z1008" s="340"/>
      <c r="AA1008" s="340"/>
      <c r="AB1008" s="340"/>
      <c r="AC1008" s="340"/>
      <c r="AD1008" s="340"/>
      <c r="AE1008" s="340"/>
      <c r="AF1008" s="340"/>
      <c r="AG1008" s="340"/>
      <c r="AH1008" s="340"/>
      <c r="AI1008" s="340"/>
      <c r="AJ1008" s="340"/>
      <c r="AK1008" s="340"/>
      <c r="AL1008" s="340"/>
      <c r="AM1008" s="340"/>
      <c r="AN1008" s="340"/>
    </row>
    <row r="1009" spans="20:40" x14ac:dyDescent="0.25">
      <c r="T1009" s="340"/>
      <c r="U1009" s="340"/>
      <c r="V1009" s="340"/>
      <c r="W1009" s="340"/>
      <c r="X1009" s="340"/>
      <c r="Y1009" s="340"/>
      <c r="Z1009" s="340"/>
      <c r="AA1009" s="340"/>
      <c r="AB1009" s="340"/>
      <c r="AC1009" s="340"/>
      <c r="AD1009" s="340"/>
      <c r="AE1009" s="340"/>
      <c r="AF1009" s="340"/>
      <c r="AG1009" s="340"/>
      <c r="AH1009" s="340"/>
      <c r="AI1009" s="340"/>
      <c r="AJ1009" s="340"/>
      <c r="AK1009" s="340"/>
      <c r="AL1009" s="340"/>
      <c r="AM1009" s="340"/>
      <c r="AN1009" s="340"/>
    </row>
    <row r="1010" spans="20:40" x14ac:dyDescent="0.25">
      <c r="T1010" s="340"/>
      <c r="U1010" s="340"/>
      <c r="V1010" s="340"/>
      <c r="W1010" s="340"/>
      <c r="X1010" s="340"/>
      <c r="Y1010" s="340"/>
      <c r="Z1010" s="340"/>
      <c r="AA1010" s="340"/>
      <c r="AB1010" s="340"/>
      <c r="AC1010" s="340"/>
      <c r="AD1010" s="340"/>
      <c r="AE1010" s="340"/>
      <c r="AF1010" s="340"/>
      <c r="AG1010" s="340"/>
      <c r="AH1010" s="340"/>
      <c r="AI1010" s="340"/>
      <c r="AJ1010" s="340"/>
      <c r="AK1010" s="340"/>
      <c r="AL1010" s="340"/>
      <c r="AM1010" s="340"/>
      <c r="AN1010" s="340"/>
    </row>
    <row r="1011" spans="20:40" x14ac:dyDescent="0.25">
      <c r="T1011" s="340"/>
      <c r="U1011" s="340"/>
      <c r="V1011" s="340"/>
      <c r="W1011" s="340"/>
      <c r="X1011" s="340"/>
      <c r="Y1011" s="340"/>
      <c r="Z1011" s="340"/>
      <c r="AA1011" s="340"/>
      <c r="AB1011" s="340"/>
      <c r="AC1011" s="340"/>
      <c r="AD1011" s="340"/>
      <c r="AE1011" s="340"/>
      <c r="AF1011" s="340"/>
      <c r="AG1011" s="340"/>
      <c r="AH1011" s="340"/>
      <c r="AI1011" s="340"/>
      <c r="AJ1011" s="340"/>
      <c r="AK1011" s="340"/>
      <c r="AL1011" s="340"/>
      <c r="AM1011" s="340"/>
      <c r="AN1011" s="340"/>
    </row>
    <row r="1012" spans="20:40" x14ac:dyDescent="0.25">
      <c r="T1012" s="340"/>
      <c r="U1012" s="340"/>
      <c r="V1012" s="340"/>
      <c r="W1012" s="340"/>
      <c r="X1012" s="340"/>
      <c r="Y1012" s="340"/>
      <c r="Z1012" s="340"/>
      <c r="AA1012" s="340"/>
      <c r="AB1012" s="340"/>
      <c r="AC1012" s="340"/>
      <c r="AD1012" s="340"/>
      <c r="AE1012" s="340"/>
      <c r="AF1012" s="340"/>
      <c r="AG1012" s="340"/>
      <c r="AH1012" s="340"/>
      <c r="AI1012" s="340"/>
      <c r="AJ1012" s="340"/>
      <c r="AK1012" s="340"/>
      <c r="AL1012" s="340"/>
      <c r="AM1012" s="340"/>
      <c r="AN1012" s="340"/>
    </row>
    <row r="1013" spans="20:40" x14ac:dyDescent="0.25">
      <c r="T1013" s="340"/>
      <c r="U1013" s="340"/>
      <c r="V1013" s="340"/>
      <c r="W1013" s="340"/>
      <c r="X1013" s="340"/>
      <c r="Y1013" s="340"/>
      <c r="Z1013" s="340"/>
      <c r="AA1013" s="340"/>
      <c r="AB1013" s="340"/>
      <c r="AC1013" s="340"/>
      <c r="AD1013" s="340"/>
      <c r="AE1013" s="340"/>
      <c r="AF1013" s="340"/>
      <c r="AG1013" s="340"/>
      <c r="AH1013" s="340"/>
      <c r="AI1013" s="340"/>
      <c r="AJ1013" s="340"/>
      <c r="AK1013" s="340"/>
      <c r="AL1013" s="340"/>
      <c r="AM1013" s="340"/>
      <c r="AN1013" s="340"/>
    </row>
    <row r="1014" spans="20:40" x14ac:dyDescent="0.25">
      <c r="T1014" s="340"/>
      <c r="U1014" s="340"/>
      <c r="V1014" s="340"/>
      <c r="W1014" s="340"/>
      <c r="X1014" s="340"/>
      <c r="Y1014" s="340"/>
      <c r="Z1014" s="340"/>
      <c r="AA1014" s="340"/>
      <c r="AB1014" s="340"/>
      <c r="AC1014" s="340"/>
      <c r="AD1014" s="340"/>
      <c r="AE1014" s="340"/>
      <c r="AF1014" s="340"/>
      <c r="AG1014" s="340"/>
      <c r="AH1014" s="340"/>
      <c r="AI1014" s="340"/>
      <c r="AJ1014" s="340"/>
      <c r="AK1014" s="340"/>
      <c r="AL1014" s="340"/>
      <c r="AM1014" s="340"/>
      <c r="AN1014" s="340"/>
    </row>
    <row r="1015" spans="20:40" x14ac:dyDescent="0.25">
      <c r="T1015" s="340"/>
      <c r="U1015" s="340"/>
      <c r="V1015" s="340"/>
      <c r="W1015" s="340"/>
      <c r="X1015" s="340"/>
      <c r="Y1015" s="340"/>
      <c r="Z1015" s="340"/>
      <c r="AA1015" s="340"/>
      <c r="AB1015" s="340"/>
      <c r="AC1015" s="340"/>
      <c r="AD1015" s="340"/>
      <c r="AE1015" s="340"/>
      <c r="AF1015" s="340"/>
      <c r="AG1015" s="340"/>
      <c r="AH1015" s="340"/>
      <c r="AI1015" s="340"/>
      <c r="AJ1015" s="340"/>
      <c r="AK1015" s="340"/>
      <c r="AL1015" s="340"/>
      <c r="AM1015" s="340"/>
      <c r="AN1015" s="340"/>
    </row>
    <row r="1016" spans="20:40" x14ac:dyDescent="0.25">
      <c r="T1016" s="340"/>
      <c r="U1016" s="340"/>
      <c r="V1016" s="340"/>
      <c r="W1016" s="340"/>
      <c r="X1016" s="340"/>
      <c r="Y1016" s="340"/>
      <c r="Z1016" s="340"/>
      <c r="AA1016" s="340"/>
      <c r="AB1016" s="340"/>
      <c r="AC1016" s="340"/>
      <c r="AD1016" s="340"/>
      <c r="AE1016" s="340"/>
      <c r="AF1016" s="340"/>
      <c r="AG1016" s="340"/>
      <c r="AH1016" s="340"/>
      <c r="AI1016" s="340"/>
      <c r="AJ1016" s="340"/>
      <c r="AK1016" s="340"/>
      <c r="AL1016" s="340"/>
      <c r="AM1016" s="340"/>
      <c r="AN1016" s="340"/>
    </row>
    <row r="1017" spans="20:40" x14ac:dyDescent="0.25">
      <c r="T1017" s="340"/>
      <c r="U1017" s="340"/>
      <c r="V1017" s="340"/>
      <c r="W1017" s="340"/>
      <c r="X1017" s="340"/>
      <c r="Y1017" s="340"/>
      <c r="Z1017" s="340"/>
      <c r="AA1017" s="340"/>
      <c r="AB1017" s="340"/>
      <c r="AC1017" s="340"/>
      <c r="AD1017" s="340"/>
      <c r="AE1017" s="340"/>
      <c r="AF1017" s="340"/>
      <c r="AG1017" s="340"/>
      <c r="AH1017" s="340"/>
      <c r="AI1017" s="340"/>
      <c r="AJ1017" s="340"/>
      <c r="AK1017" s="340"/>
      <c r="AL1017" s="340"/>
      <c r="AM1017" s="340"/>
      <c r="AN1017" s="340"/>
    </row>
    <row r="1018" spans="20:40" x14ac:dyDescent="0.25">
      <c r="T1018" s="340"/>
      <c r="U1018" s="340"/>
      <c r="V1018" s="340"/>
      <c r="W1018" s="340"/>
      <c r="X1018" s="340"/>
      <c r="Y1018" s="340"/>
      <c r="Z1018" s="340"/>
      <c r="AA1018" s="340"/>
      <c r="AB1018" s="340"/>
      <c r="AC1018" s="340"/>
      <c r="AD1018" s="340"/>
      <c r="AE1018" s="340"/>
      <c r="AF1018" s="340"/>
      <c r="AG1018" s="340"/>
      <c r="AH1018" s="340"/>
      <c r="AI1018" s="340"/>
      <c r="AJ1018" s="340"/>
      <c r="AK1018" s="340"/>
      <c r="AL1018" s="340"/>
      <c r="AM1018" s="340"/>
      <c r="AN1018" s="340"/>
    </row>
    <row r="1019" spans="20:40" x14ac:dyDescent="0.25">
      <c r="T1019" s="340"/>
      <c r="U1019" s="340"/>
      <c r="V1019" s="340"/>
      <c r="W1019" s="340"/>
      <c r="X1019" s="340"/>
      <c r="Y1019" s="340"/>
      <c r="Z1019" s="340"/>
      <c r="AA1019" s="340"/>
      <c r="AB1019" s="340"/>
      <c r="AC1019" s="340"/>
      <c r="AD1019" s="340"/>
      <c r="AE1019" s="340"/>
      <c r="AF1019" s="340"/>
      <c r="AG1019" s="340"/>
      <c r="AH1019" s="340"/>
      <c r="AI1019" s="340"/>
      <c r="AJ1019" s="340"/>
      <c r="AK1019" s="340"/>
      <c r="AL1019" s="340"/>
      <c r="AM1019" s="340"/>
      <c r="AN1019" s="340"/>
    </row>
    <row r="1020" spans="20:40" x14ac:dyDescent="0.25">
      <c r="T1020" s="340"/>
      <c r="U1020" s="340"/>
      <c r="V1020" s="340"/>
      <c r="W1020" s="340"/>
      <c r="X1020" s="340"/>
      <c r="Y1020" s="340"/>
      <c r="Z1020" s="340"/>
      <c r="AA1020" s="340"/>
      <c r="AB1020" s="340"/>
      <c r="AC1020" s="340"/>
      <c r="AD1020" s="340"/>
      <c r="AE1020" s="340"/>
      <c r="AF1020" s="340"/>
      <c r="AG1020" s="340"/>
      <c r="AH1020" s="340"/>
      <c r="AI1020" s="340"/>
      <c r="AJ1020" s="340"/>
      <c r="AK1020" s="340"/>
      <c r="AL1020" s="340"/>
      <c r="AM1020" s="340"/>
      <c r="AN1020" s="340"/>
    </row>
    <row r="1021" spans="20:40" x14ac:dyDescent="0.25">
      <c r="T1021" s="340"/>
      <c r="U1021" s="340"/>
      <c r="V1021" s="340"/>
      <c r="W1021" s="340"/>
      <c r="X1021" s="340"/>
      <c r="Y1021" s="340"/>
      <c r="Z1021" s="340"/>
      <c r="AA1021" s="340"/>
      <c r="AB1021" s="340"/>
      <c r="AC1021" s="340"/>
      <c r="AD1021" s="340"/>
      <c r="AE1021" s="340"/>
      <c r="AF1021" s="340"/>
      <c r="AG1021" s="340"/>
      <c r="AH1021" s="340"/>
      <c r="AI1021" s="340"/>
      <c r="AJ1021" s="340"/>
      <c r="AK1021" s="340"/>
      <c r="AL1021" s="340"/>
      <c r="AM1021" s="340"/>
      <c r="AN1021" s="340"/>
    </row>
    <row r="1022" spans="20:40" x14ac:dyDescent="0.25">
      <c r="T1022" s="340"/>
      <c r="U1022" s="340"/>
      <c r="V1022" s="340"/>
      <c r="W1022" s="340"/>
      <c r="X1022" s="340"/>
      <c r="Y1022" s="340"/>
      <c r="Z1022" s="340"/>
      <c r="AA1022" s="340"/>
      <c r="AB1022" s="340"/>
      <c r="AC1022" s="340"/>
      <c r="AD1022" s="340"/>
      <c r="AE1022" s="340"/>
      <c r="AF1022" s="340"/>
      <c r="AG1022" s="340"/>
      <c r="AH1022" s="340"/>
      <c r="AI1022" s="340"/>
      <c r="AJ1022" s="340"/>
      <c r="AK1022" s="340"/>
      <c r="AL1022" s="340"/>
      <c r="AM1022" s="340"/>
      <c r="AN1022" s="340"/>
    </row>
    <row r="1023" spans="20:40" x14ac:dyDescent="0.25">
      <c r="T1023" s="340"/>
      <c r="U1023" s="340"/>
      <c r="V1023" s="340"/>
      <c r="W1023" s="340"/>
      <c r="X1023" s="340"/>
      <c r="Y1023" s="340"/>
      <c r="Z1023" s="340"/>
      <c r="AA1023" s="340"/>
      <c r="AB1023" s="340"/>
      <c r="AC1023" s="340"/>
      <c r="AD1023" s="340"/>
      <c r="AE1023" s="340"/>
      <c r="AF1023" s="340"/>
      <c r="AG1023" s="340"/>
      <c r="AH1023" s="340"/>
      <c r="AI1023" s="340"/>
      <c r="AJ1023" s="340"/>
      <c r="AK1023" s="340"/>
      <c r="AL1023" s="340"/>
      <c r="AM1023" s="340"/>
      <c r="AN1023" s="340"/>
    </row>
    <row r="1024" spans="20:40" x14ac:dyDescent="0.25">
      <c r="T1024" s="340"/>
      <c r="U1024" s="340"/>
      <c r="V1024" s="340"/>
      <c r="W1024" s="340"/>
      <c r="X1024" s="340"/>
      <c r="Y1024" s="340"/>
      <c r="Z1024" s="340"/>
      <c r="AA1024" s="340"/>
      <c r="AB1024" s="340"/>
      <c r="AC1024" s="340"/>
      <c r="AD1024" s="340"/>
      <c r="AE1024" s="340"/>
      <c r="AF1024" s="340"/>
      <c r="AG1024" s="340"/>
      <c r="AH1024" s="340"/>
      <c r="AI1024" s="340"/>
      <c r="AJ1024" s="340"/>
      <c r="AK1024" s="340"/>
      <c r="AL1024" s="340"/>
      <c r="AM1024" s="340"/>
      <c r="AN1024" s="340"/>
    </row>
    <row r="1025" spans="20:40" x14ac:dyDescent="0.25">
      <c r="T1025" s="340"/>
      <c r="U1025" s="340"/>
      <c r="V1025" s="340"/>
      <c r="W1025" s="340"/>
      <c r="X1025" s="340"/>
      <c r="Y1025" s="340"/>
      <c r="Z1025" s="340"/>
      <c r="AA1025" s="340"/>
      <c r="AB1025" s="340"/>
      <c r="AC1025" s="340"/>
      <c r="AD1025" s="340"/>
      <c r="AE1025" s="340"/>
      <c r="AF1025" s="340"/>
      <c r="AG1025" s="340"/>
      <c r="AH1025" s="340"/>
      <c r="AI1025" s="340"/>
      <c r="AJ1025" s="340"/>
      <c r="AK1025" s="340"/>
      <c r="AL1025" s="340"/>
      <c r="AM1025" s="340"/>
      <c r="AN1025" s="340"/>
    </row>
    <row r="1026" spans="20:40" x14ac:dyDescent="0.25">
      <c r="T1026" s="340"/>
      <c r="U1026" s="340"/>
      <c r="V1026" s="340"/>
      <c r="W1026" s="340"/>
      <c r="X1026" s="340"/>
      <c r="Y1026" s="340"/>
      <c r="Z1026" s="340"/>
      <c r="AA1026" s="340"/>
      <c r="AB1026" s="340"/>
      <c r="AC1026" s="340"/>
      <c r="AD1026" s="340"/>
      <c r="AE1026" s="340"/>
      <c r="AF1026" s="340"/>
      <c r="AG1026" s="340"/>
      <c r="AH1026" s="340"/>
      <c r="AI1026" s="340"/>
      <c r="AJ1026" s="340"/>
      <c r="AK1026" s="340"/>
      <c r="AL1026" s="340"/>
      <c r="AM1026" s="340"/>
      <c r="AN1026" s="340"/>
    </row>
    <row r="1027" spans="20:40" x14ac:dyDescent="0.25">
      <c r="T1027" s="340"/>
      <c r="U1027" s="340"/>
      <c r="V1027" s="340"/>
      <c r="W1027" s="340"/>
      <c r="X1027" s="340"/>
      <c r="Y1027" s="340"/>
      <c r="Z1027" s="340"/>
      <c r="AA1027" s="340"/>
      <c r="AB1027" s="340"/>
      <c r="AC1027" s="340"/>
      <c r="AD1027" s="340"/>
      <c r="AE1027" s="340"/>
      <c r="AF1027" s="340"/>
      <c r="AG1027" s="340"/>
      <c r="AH1027" s="340"/>
      <c r="AI1027" s="340"/>
      <c r="AJ1027" s="340"/>
      <c r="AK1027" s="340"/>
      <c r="AL1027" s="340"/>
      <c r="AM1027" s="340"/>
      <c r="AN1027" s="340"/>
    </row>
    <row r="1028" spans="20:40" x14ac:dyDescent="0.25">
      <c r="T1028" s="340"/>
      <c r="U1028" s="340"/>
      <c r="V1028" s="340"/>
      <c r="W1028" s="340"/>
      <c r="X1028" s="340"/>
      <c r="Y1028" s="340"/>
      <c r="Z1028" s="340"/>
      <c r="AA1028" s="340"/>
      <c r="AB1028" s="340"/>
      <c r="AC1028" s="340"/>
      <c r="AD1028" s="340"/>
      <c r="AE1028" s="340"/>
      <c r="AF1028" s="340"/>
      <c r="AG1028" s="340"/>
      <c r="AH1028" s="340"/>
      <c r="AI1028" s="340"/>
      <c r="AJ1028" s="340"/>
      <c r="AK1028" s="340"/>
      <c r="AL1028" s="340"/>
      <c r="AM1028" s="340"/>
      <c r="AN1028" s="340"/>
    </row>
    <row r="1029" spans="20:40" x14ac:dyDescent="0.25">
      <c r="T1029" s="340"/>
      <c r="U1029" s="340"/>
      <c r="V1029" s="340"/>
      <c r="W1029" s="340"/>
      <c r="X1029" s="340"/>
      <c r="Y1029" s="340"/>
      <c r="Z1029" s="340"/>
      <c r="AA1029" s="340"/>
      <c r="AB1029" s="340"/>
      <c r="AC1029" s="340"/>
      <c r="AD1029" s="340"/>
      <c r="AE1029" s="340"/>
      <c r="AF1029" s="340"/>
      <c r="AG1029" s="340"/>
      <c r="AH1029" s="340"/>
      <c r="AI1029" s="340"/>
      <c r="AJ1029" s="340"/>
      <c r="AK1029" s="340"/>
      <c r="AL1029" s="340"/>
      <c r="AM1029" s="340"/>
      <c r="AN1029" s="340"/>
    </row>
    <row r="1030" spans="20:40" x14ac:dyDescent="0.25">
      <c r="T1030" s="340"/>
      <c r="U1030" s="340"/>
      <c r="V1030" s="340"/>
      <c r="W1030" s="340"/>
      <c r="X1030" s="340"/>
      <c r="Y1030" s="340"/>
      <c r="Z1030" s="340"/>
      <c r="AA1030" s="340"/>
      <c r="AB1030" s="340"/>
      <c r="AC1030" s="340"/>
      <c r="AD1030" s="340"/>
      <c r="AE1030" s="340"/>
      <c r="AF1030" s="340"/>
      <c r="AG1030" s="340"/>
      <c r="AH1030" s="340"/>
      <c r="AI1030" s="340"/>
      <c r="AJ1030" s="340"/>
      <c r="AK1030" s="340"/>
      <c r="AL1030" s="340"/>
      <c r="AM1030" s="340"/>
      <c r="AN1030" s="340"/>
    </row>
    <row r="1031" spans="20:40" x14ac:dyDescent="0.25">
      <c r="T1031" s="340"/>
      <c r="U1031" s="340"/>
      <c r="V1031" s="340"/>
      <c r="W1031" s="340"/>
      <c r="X1031" s="340"/>
      <c r="Y1031" s="340"/>
      <c r="Z1031" s="340"/>
      <c r="AA1031" s="340"/>
      <c r="AB1031" s="340"/>
      <c r="AC1031" s="340"/>
      <c r="AD1031" s="340"/>
      <c r="AE1031" s="340"/>
      <c r="AF1031" s="340"/>
      <c r="AG1031" s="340"/>
      <c r="AH1031" s="340"/>
      <c r="AI1031" s="340"/>
      <c r="AJ1031" s="340"/>
      <c r="AK1031" s="340"/>
      <c r="AL1031" s="340"/>
      <c r="AM1031" s="340"/>
      <c r="AN1031" s="340"/>
    </row>
    <row r="1032" spans="20:40" x14ac:dyDescent="0.25">
      <c r="T1032" s="340"/>
      <c r="U1032" s="340"/>
      <c r="V1032" s="340"/>
      <c r="W1032" s="340"/>
      <c r="X1032" s="340"/>
      <c r="Y1032" s="340"/>
      <c r="Z1032" s="340"/>
      <c r="AA1032" s="340"/>
      <c r="AB1032" s="340"/>
      <c r="AC1032" s="340"/>
      <c r="AD1032" s="340"/>
      <c r="AE1032" s="340"/>
      <c r="AF1032" s="340"/>
      <c r="AG1032" s="340"/>
      <c r="AH1032" s="340"/>
      <c r="AI1032" s="340"/>
      <c r="AJ1032" s="340"/>
      <c r="AK1032" s="340"/>
      <c r="AL1032" s="340"/>
      <c r="AM1032" s="340"/>
      <c r="AN1032" s="340"/>
    </row>
    <row r="1033" spans="20:40" x14ac:dyDescent="0.25">
      <c r="T1033" s="340"/>
      <c r="U1033" s="340"/>
      <c r="V1033" s="340"/>
      <c r="W1033" s="340"/>
      <c r="X1033" s="340"/>
      <c r="Y1033" s="340"/>
      <c r="Z1033" s="340"/>
      <c r="AA1033" s="340"/>
      <c r="AB1033" s="340"/>
      <c r="AC1033" s="340"/>
      <c r="AD1033" s="340"/>
      <c r="AE1033" s="340"/>
      <c r="AF1033" s="340"/>
      <c r="AG1033" s="340"/>
      <c r="AH1033" s="340"/>
      <c r="AI1033" s="340"/>
      <c r="AJ1033" s="340"/>
      <c r="AK1033" s="340"/>
      <c r="AL1033" s="340"/>
      <c r="AM1033" s="340"/>
      <c r="AN1033" s="340"/>
    </row>
    <row r="1034" spans="20:40" x14ac:dyDescent="0.25">
      <c r="T1034" s="340"/>
      <c r="U1034" s="340"/>
      <c r="V1034" s="340"/>
      <c r="W1034" s="340"/>
      <c r="X1034" s="340"/>
      <c r="Y1034" s="340"/>
      <c r="Z1034" s="340"/>
      <c r="AA1034" s="340"/>
      <c r="AB1034" s="340"/>
      <c r="AC1034" s="340"/>
      <c r="AD1034" s="340"/>
      <c r="AE1034" s="340"/>
      <c r="AF1034" s="340"/>
      <c r="AG1034" s="340"/>
      <c r="AH1034" s="340"/>
      <c r="AI1034" s="340"/>
      <c r="AJ1034" s="340"/>
      <c r="AK1034" s="340"/>
      <c r="AL1034" s="340"/>
      <c r="AM1034" s="340"/>
      <c r="AN1034" s="340"/>
    </row>
    <row r="1035" spans="20:40" x14ac:dyDescent="0.25">
      <c r="T1035" s="340"/>
      <c r="U1035" s="340"/>
      <c r="V1035" s="340"/>
      <c r="W1035" s="340"/>
      <c r="X1035" s="340"/>
      <c r="Y1035" s="340"/>
      <c r="Z1035" s="340"/>
      <c r="AA1035" s="340"/>
      <c r="AB1035" s="340"/>
      <c r="AC1035" s="340"/>
      <c r="AD1035" s="340"/>
      <c r="AE1035" s="340"/>
      <c r="AF1035" s="340"/>
      <c r="AG1035" s="340"/>
      <c r="AH1035" s="340"/>
      <c r="AI1035" s="340"/>
      <c r="AJ1035" s="340"/>
      <c r="AK1035" s="340"/>
      <c r="AL1035" s="340"/>
      <c r="AM1035" s="340"/>
      <c r="AN1035" s="340"/>
    </row>
    <row r="1036" spans="20:40" x14ac:dyDescent="0.25">
      <c r="T1036" s="340"/>
      <c r="U1036" s="340"/>
      <c r="V1036" s="340"/>
      <c r="W1036" s="340"/>
      <c r="X1036" s="340"/>
      <c r="Y1036" s="340"/>
      <c r="Z1036" s="340"/>
      <c r="AA1036" s="340"/>
      <c r="AB1036" s="340"/>
      <c r="AC1036" s="340"/>
      <c r="AD1036" s="340"/>
      <c r="AE1036" s="340"/>
      <c r="AF1036" s="340"/>
      <c r="AG1036" s="340"/>
      <c r="AH1036" s="340"/>
      <c r="AI1036" s="340"/>
      <c r="AJ1036" s="340"/>
      <c r="AK1036" s="340"/>
      <c r="AL1036" s="340"/>
      <c r="AM1036" s="340"/>
      <c r="AN1036" s="340"/>
    </row>
    <row r="1037" spans="20:40" x14ac:dyDescent="0.25">
      <c r="T1037" s="340"/>
      <c r="U1037" s="340"/>
      <c r="V1037" s="340"/>
      <c r="W1037" s="340"/>
      <c r="X1037" s="340"/>
      <c r="Y1037" s="340"/>
      <c r="Z1037" s="340"/>
      <c r="AA1037" s="340"/>
      <c r="AB1037" s="340"/>
      <c r="AC1037" s="340"/>
      <c r="AD1037" s="340"/>
      <c r="AE1037" s="340"/>
      <c r="AF1037" s="340"/>
      <c r="AG1037" s="340"/>
      <c r="AH1037" s="340"/>
      <c r="AI1037" s="340"/>
      <c r="AJ1037" s="340"/>
      <c r="AK1037" s="340"/>
      <c r="AL1037" s="340"/>
      <c r="AM1037" s="340"/>
      <c r="AN1037" s="340"/>
    </row>
    <row r="1038" spans="20:40" x14ac:dyDescent="0.25">
      <c r="T1038" s="340"/>
      <c r="U1038" s="340"/>
      <c r="V1038" s="340"/>
      <c r="W1038" s="340"/>
      <c r="X1038" s="340"/>
      <c r="Y1038" s="340"/>
      <c r="Z1038" s="340"/>
      <c r="AA1038" s="340"/>
      <c r="AB1038" s="340"/>
      <c r="AC1038" s="340"/>
      <c r="AD1038" s="340"/>
      <c r="AE1038" s="340"/>
      <c r="AF1038" s="340"/>
      <c r="AG1038" s="340"/>
      <c r="AH1038" s="340"/>
      <c r="AI1038" s="340"/>
      <c r="AJ1038" s="340"/>
      <c r="AK1038" s="340"/>
      <c r="AL1038" s="340"/>
      <c r="AM1038" s="340"/>
      <c r="AN1038" s="340"/>
    </row>
    <row r="1039" spans="20:40" x14ac:dyDescent="0.25">
      <c r="T1039" s="340"/>
      <c r="U1039" s="340"/>
      <c r="V1039" s="340"/>
      <c r="W1039" s="340"/>
      <c r="X1039" s="340"/>
      <c r="Y1039" s="340"/>
      <c r="Z1039" s="340"/>
      <c r="AA1039" s="340"/>
      <c r="AB1039" s="340"/>
      <c r="AC1039" s="340"/>
      <c r="AD1039" s="340"/>
      <c r="AE1039" s="340"/>
      <c r="AF1039" s="340"/>
      <c r="AG1039" s="340"/>
      <c r="AH1039" s="340"/>
      <c r="AI1039" s="340"/>
      <c r="AJ1039" s="340"/>
      <c r="AK1039" s="340"/>
      <c r="AL1039" s="340"/>
      <c r="AM1039" s="340"/>
      <c r="AN1039" s="340"/>
    </row>
    <row r="1040" spans="20:40" x14ac:dyDescent="0.25">
      <c r="T1040" s="340"/>
      <c r="U1040" s="340"/>
      <c r="V1040" s="340"/>
      <c r="W1040" s="340"/>
      <c r="X1040" s="340"/>
      <c r="Y1040" s="340"/>
      <c r="Z1040" s="340"/>
      <c r="AA1040" s="340"/>
      <c r="AB1040" s="340"/>
      <c r="AC1040" s="340"/>
      <c r="AD1040" s="340"/>
      <c r="AE1040" s="340"/>
      <c r="AF1040" s="340"/>
      <c r="AG1040" s="340"/>
      <c r="AH1040" s="340"/>
      <c r="AI1040" s="340"/>
      <c r="AJ1040" s="340"/>
      <c r="AK1040" s="340"/>
      <c r="AL1040" s="340"/>
      <c r="AM1040" s="340"/>
      <c r="AN1040" s="340"/>
    </row>
    <row r="1041" spans="20:40" x14ac:dyDescent="0.25">
      <c r="T1041" s="340"/>
      <c r="U1041" s="340"/>
      <c r="V1041" s="340"/>
      <c r="W1041" s="340"/>
      <c r="X1041" s="340"/>
      <c r="Y1041" s="340"/>
      <c r="Z1041" s="340"/>
      <c r="AA1041" s="340"/>
      <c r="AB1041" s="340"/>
      <c r="AC1041" s="340"/>
      <c r="AD1041" s="340"/>
      <c r="AE1041" s="340"/>
      <c r="AF1041" s="340"/>
      <c r="AG1041" s="340"/>
      <c r="AH1041" s="340"/>
      <c r="AI1041" s="340"/>
      <c r="AJ1041" s="340"/>
      <c r="AK1041" s="340"/>
      <c r="AL1041" s="340"/>
      <c r="AM1041" s="340"/>
      <c r="AN1041" s="340"/>
    </row>
    <row r="1042" spans="20:40" x14ac:dyDescent="0.25">
      <c r="T1042" s="340"/>
      <c r="U1042" s="340"/>
      <c r="V1042" s="340"/>
      <c r="W1042" s="340"/>
      <c r="X1042" s="340"/>
      <c r="Y1042" s="340"/>
      <c r="Z1042" s="340"/>
      <c r="AA1042" s="340"/>
      <c r="AB1042" s="340"/>
      <c r="AC1042" s="340"/>
      <c r="AD1042" s="340"/>
      <c r="AE1042" s="340"/>
      <c r="AF1042" s="340"/>
      <c r="AG1042" s="340"/>
      <c r="AH1042" s="340"/>
      <c r="AI1042" s="340"/>
      <c r="AJ1042" s="340"/>
      <c r="AK1042" s="340"/>
      <c r="AL1042" s="340"/>
      <c r="AM1042" s="340"/>
      <c r="AN1042" s="340"/>
    </row>
    <row r="1043" spans="20:40" x14ac:dyDescent="0.25">
      <c r="T1043" s="340"/>
      <c r="U1043" s="340"/>
      <c r="V1043" s="340"/>
      <c r="W1043" s="340"/>
      <c r="X1043" s="340"/>
      <c r="Y1043" s="340"/>
      <c r="Z1043" s="340"/>
      <c r="AA1043" s="340"/>
      <c r="AB1043" s="340"/>
      <c r="AC1043" s="340"/>
      <c r="AD1043" s="340"/>
      <c r="AE1043" s="340"/>
      <c r="AF1043" s="340"/>
      <c r="AG1043" s="340"/>
      <c r="AH1043" s="340"/>
      <c r="AI1043" s="340"/>
      <c r="AJ1043" s="340"/>
      <c r="AK1043" s="340"/>
      <c r="AL1043" s="340"/>
      <c r="AM1043" s="340"/>
      <c r="AN1043" s="340"/>
    </row>
    <row r="1044" spans="20:40" x14ac:dyDescent="0.25">
      <c r="T1044" s="340"/>
      <c r="U1044" s="340"/>
      <c r="V1044" s="340"/>
      <c r="W1044" s="340"/>
      <c r="X1044" s="340"/>
      <c r="Y1044" s="340"/>
      <c r="Z1044" s="340"/>
      <c r="AA1044" s="340"/>
      <c r="AB1044" s="340"/>
      <c r="AC1044" s="340"/>
      <c r="AD1044" s="340"/>
      <c r="AE1044" s="340"/>
      <c r="AF1044" s="340"/>
      <c r="AG1044" s="340"/>
      <c r="AH1044" s="340"/>
      <c r="AI1044" s="340"/>
      <c r="AJ1044" s="340"/>
      <c r="AK1044" s="340"/>
      <c r="AL1044" s="340"/>
      <c r="AM1044" s="340"/>
      <c r="AN1044" s="340"/>
    </row>
    <row r="1045" spans="20:40" x14ac:dyDescent="0.25">
      <c r="T1045" s="340"/>
      <c r="U1045" s="340"/>
      <c r="V1045" s="340"/>
      <c r="W1045" s="340"/>
      <c r="X1045" s="340"/>
      <c r="Y1045" s="340"/>
      <c r="Z1045" s="340"/>
      <c r="AA1045" s="340"/>
      <c r="AB1045" s="340"/>
      <c r="AC1045" s="340"/>
      <c r="AD1045" s="340"/>
      <c r="AE1045" s="340"/>
      <c r="AF1045" s="340"/>
      <c r="AG1045" s="340"/>
      <c r="AH1045" s="340"/>
      <c r="AI1045" s="340"/>
      <c r="AJ1045" s="340"/>
      <c r="AK1045" s="340"/>
      <c r="AL1045" s="340"/>
      <c r="AM1045" s="340"/>
      <c r="AN1045" s="340"/>
    </row>
    <row r="1046" spans="20:40" x14ac:dyDescent="0.25">
      <c r="T1046" s="340"/>
      <c r="U1046" s="340"/>
      <c r="V1046" s="340"/>
      <c r="W1046" s="340"/>
      <c r="X1046" s="340"/>
      <c r="Y1046" s="340"/>
      <c r="Z1046" s="340"/>
      <c r="AA1046" s="340"/>
      <c r="AB1046" s="340"/>
      <c r="AC1046" s="340"/>
      <c r="AD1046" s="340"/>
      <c r="AE1046" s="340"/>
      <c r="AF1046" s="340"/>
      <c r="AG1046" s="340"/>
      <c r="AH1046" s="340"/>
      <c r="AI1046" s="340"/>
      <c r="AJ1046" s="340"/>
      <c r="AK1046" s="340"/>
      <c r="AL1046" s="340"/>
      <c r="AM1046" s="340"/>
      <c r="AN1046" s="340"/>
    </row>
    <row r="1047" spans="20:40" x14ac:dyDescent="0.25">
      <c r="T1047" s="340"/>
      <c r="U1047" s="340"/>
      <c r="V1047" s="340"/>
      <c r="W1047" s="340"/>
      <c r="X1047" s="340"/>
      <c r="Y1047" s="340"/>
      <c r="Z1047" s="340"/>
      <c r="AA1047" s="340"/>
      <c r="AB1047" s="340"/>
      <c r="AC1047" s="340"/>
      <c r="AD1047" s="340"/>
      <c r="AE1047" s="340"/>
      <c r="AF1047" s="340"/>
      <c r="AG1047" s="340"/>
      <c r="AH1047" s="340"/>
      <c r="AI1047" s="340"/>
      <c r="AJ1047" s="340"/>
      <c r="AK1047" s="340"/>
      <c r="AL1047" s="340"/>
      <c r="AM1047" s="340"/>
      <c r="AN1047" s="340"/>
    </row>
    <row r="1048" spans="20:40" x14ac:dyDescent="0.25">
      <c r="T1048" s="340"/>
      <c r="U1048" s="340"/>
      <c r="V1048" s="340"/>
      <c r="W1048" s="340"/>
      <c r="X1048" s="340"/>
      <c r="Y1048" s="340"/>
      <c r="Z1048" s="340"/>
      <c r="AA1048" s="340"/>
      <c r="AB1048" s="340"/>
      <c r="AC1048" s="340"/>
      <c r="AD1048" s="340"/>
      <c r="AE1048" s="340"/>
      <c r="AF1048" s="340"/>
      <c r="AG1048" s="340"/>
      <c r="AH1048" s="340"/>
      <c r="AI1048" s="340"/>
      <c r="AJ1048" s="340"/>
      <c r="AK1048" s="340"/>
      <c r="AL1048" s="340"/>
      <c r="AM1048" s="340"/>
      <c r="AN1048" s="340"/>
    </row>
    <row r="1049" spans="20:40" x14ac:dyDescent="0.25">
      <c r="T1049" s="340"/>
      <c r="U1049" s="340"/>
      <c r="V1049" s="340"/>
      <c r="W1049" s="340"/>
      <c r="X1049" s="340"/>
      <c r="Y1049" s="340"/>
      <c r="Z1049" s="340"/>
      <c r="AA1049" s="340"/>
      <c r="AB1049" s="340"/>
      <c r="AC1049" s="340"/>
      <c r="AD1049" s="340"/>
      <c r="AE1049" s="340"/>
      <c r="AF1049" s="340"/>
      <c r="AG1049" s="340"/>
      <c r="AH1049" s="340"/>
      <c r="AI1049" s="340"/>
      <c r="AJ1049" s="340"/>
      <c r="AK1049" s="340"/>
      <c r="AL1049" s="340"/>
      <c r="AM1049" s="340"/>
      <c r="AN1049" s="340"/>
    </row>
    <row r="1050" spans="20:40" x14ac:dyDescent="0.25">
      <c r="T1050" s="340"/>
      <c r="U1050" s="340"/>
      <c r="V1050" s="340"/>
      <c r="W1050" s="340"/>
      <c r="X1050" s="340"/>
      <c r="Y1050" s="340"/>
      <c r="Z1050" s="340"/>
      <c r="AA1050" s="340"/>
      <c r="AB1050" s="340"/>
      <c r="AC1050" s="340"/>
      <c r="AD1050" s="340"/>
      <c r="AE1050" s="340"/>
      <c r="AF1050" s="340"/>
      <c r="AG1050" s="340"/>
      <c r="AH1050" s="340"/>
      <c r="AI1050" s="340"/>
      <c r="AJ1050" s="340"/>
      <c r="AK1050" s="340"/>
      <c r="AL1050" s="340"/>
      <c r="AM1050" s="340"/>
      <c r="AN1050" s="340"/>
    </row>
    <row r="1051" spans="20:40" x14ac:dyDescent="0.25">
      <c r="T1051" s="340"/>
      <c r="U1051" s="340"/>
      <c r="V1051" s="340"/>
      <c r="W1051" s="340"/>
      <c r="X1051" s="340"/>
      <c r="Y1051" s="340"/>
      <c r="Z1051" s="340"/>
      <c r="AA1051" s="340"/>
      <c r="AB1051" s="340"/>
      <c r="AC1051" s="340"/>
      <c r="AD1051" s="340"/>
      <c r="AE1051" s="340"/>
      <c r="AF1051" s="340"/>
      <c r="AG1051" s="340"/>
      <c r="AH1051" s="340"/>
      <c r="AI1051" s="340"/>
      <c r="AJ1051" s="340"/>
      <c r="AK1051" s="340"/>
      <c r="AL1051" s="340"/>
      <c r="AM1051" s="340"/>
      <c r="AN1051" s="340"/>
    </row>
    <row r="1052" spans="20:40" x14ac:dyDescent="0.25">
      <c r="T1052" s="340"/>
      <c r="U1052" s="340"/>
      <c r="V1052" s="340"/>
      <c r="W1052" s="340"/>
      <c r="X1052" s="340"/>
      <c r="Y1052" s="340"/>
      <c r="Z1052" s="340"/>
      <c r="AA1052" s="340"/>
      <c r="AB1052" s="340"/>
      <c r="AC1052" s="340"/>
      <c r="AD1052" s="340"/>
      <c r="AE1052" s="340"/>
      <c r="AF1052" s="340"/>
      <c r="AG1052" s="340"/>
      <c r="AH1052" s="340"/>
      <c r="AI1052" s="340"/>
      <c r="AJ1052" s="340"/>
      <c r="AK1052" s="340"/>
      <c r="AL1052" s="340"/>
      <c r="AM1052" s="340"/>
      <c r="AN1052" s="340"/>
    </row>
    <row r="1053" spans="20:40" x14ac:dyDescent="0.25">
      <c r="T1053" s="340"/>
      <c r="U1053" s="340"/>
      <c r="V1053" s="340"/>
      <c r="W1053" s="340"/>
      <c r="X1053" s="340"/>
      <c r="Y1053" s="340"/>
      <c r="Z1053" s="340"/>
      <c r="AA1053" s="340"/>
      <c r="AB1053" s="340"/>
      <c r="AC1053" s="340"/>
      <c r="AD1053" s="340"/>
      <c r="AE1053" s="340"/>
      <c r="AF1053" s="340"/>
      <c r="AG1053" s="340"/>
      <c r="AH1053" s="340"/>
      <c r="AI1053" s="340"/>
      <c r="AJ1053" s="340"/>
      <c r="AK1053" s="340"/>
      <c r="AL1053" s="340"/>
      <c r="AM1053" s="340"/>
      <c r="AN1053" s="340"/>
    </row>
    <row r="1054" spans="20:40" x14ac:dyDescent="0.25">
      <c r="T1054" s="340"/>
      <c r="U1054" s="340"/>
      <c r="V1054" s="340"/>
      <c r="W1054" s="340"/>
      <c r="X1054" s="340"/>
      <c r="Y1054" s="340"/>
      <c r="Z1054" s="340"/>
      <c r="AA1054" s="340"/>
      <c r="AB1054" s="340"/>
      <c r="AC1054" s="340"/>
      <c r="AD1054" s="340"/>
      <c r="AE1054" s="340"/>
      <c r="AF1054" s="340"/>
      <c r="AG1054" s="340"/>
      <c r="AH1054" s="340"/>
      <c r="AI1054" s="340"/>
      <c r="AJ1054" s="340"/>
      <c r="AK1054" s="340"/>
      <c r="AL1054" s="340"/>
      <c r="AM1054" s="340"/>
      <c r="AN1054" s="340"/>
    </row>
    <row r="1055" spans="20:40" x14ac:dyDescent="0.25">
      <c r="T1055" s="340"/>
      <c r="U1055" s="340"/>
      <c r="V1055" s="340"/>
      <c r="W1055" s="340"/>
      <c r="X1055" s="340"/>
      <c r="Y1055" s="340"/>
      <c r="Z1055" s="340"/>
      <c r="AA1055" s="340"/>
      <c r="AB1055" s="340"/>
      <c r="AC1055" s="340"/>
      <c r="AD1055" s="340"/>
      <c r="AE1055" s="340"/>
      <c r="AF1055" s="340"/>
      <c r="AG1055" s="340"/>
      <c r="AH1055" s="340"/>
      <c r="AI1055" s="340"/>
      <c r="AJ1055" s="340"/>
      <c r="AK1055" s="340"/>
      <c r="AL1055" s="340"/>
      <c r="AM1055" s="340"/>
      <c r="AN1055" s="340"/>
    </row>
    <row r="1056" spans="20:40" x14ac:dyDescent="0.25">
      <c r="T1056" s="340"/>
      <c r="U1056" s="340"/>
      <c r="V1056" s="340"/>
      <c r="W1056" s="340"/>
      <c r="X1056" s="340"/>
      <c r="Y1056" s="340"/>
      <c r="Z1056" s="340"/>
      <c r="AA1056" s="340"/>
      <c r="AB1056" s="340"/>
      <c r="AC1056" s="340"/>
      <c r="AD1056" s="340"/>
      <c r="AE1056" s="340"/>
      <c r="AF1056" s="340"/>
      <c r="AG1056" s="340"/>
      <c r="AH1056" s="340"/>
      <c r="AI1056" s="340"/>
      <c r="AJ1056" s="340"/>
      <c r="AK1056" s="340"/>
      <c r="AL1056" s="340"/>
      <c r="AM1056" s="340"/>
      <c r="AN1056" s="340"/>
    </row>
    <row r="1057" spans="20:40" x14ac:dyDescent="0.25">
      <c r="T1057" s="340"/>
      <c r="U1057" s="340"/>
      <c r="V1057" s="340"/>
      <c r="W1057" s="340"/>
      <c r="X1057" s="340"/>
      <c r="Y1057" s="340"/>
      <c r="Z1057" s="340"/>
      <c r="AA1057" s="340"/>
      <c r="AB1057" s="340"/>
      <c r="AC1057" s="340"/>
      <c r="AD1057" s="340"/>
      <c r="AE1057" s="340"/>
      <c r="AF1057" s="340"/>
      <c r="AG1057" s="340"/>
      <c r="AH1057" s="340"/>
      <c r="AI1057" s="340"/>
      <c r="AJ1057" s="340"/>
      <c r="AK1057" s="340"/>
      <c r="AL1057" s="340"/>
      <c r="AM1057" s="340"/>
      <c r="AN1057" s="340"/>
    </row>
    <row r="1058" spans="20:40" x14ac:dyDescent="0.25">
      <c r="T1058" s="340"/>
      <c r="U1058" s="340"/>
      <c r="V1058" s="340"/>
      <c r="W1058" s="340"/>
      <c r="X1058" s="340"/>
      <c r="Y1058" s="340"/>
      <c r="Z1058" s="340"/>
      <c r="AA1058" s="340"/>
      <c r="AB1058" s="340"/>
      <c r="AC1058" s="340"/>
      <c r="AD1058" s="340"/>
      <c r="AE1058" s="340"/>
      <c r="AF1058" s="340"/>
      <c r="AG1058" s="340"/>
      <c r="AH1058" s="340"/>
      <c r="AI1058" s="340"/>
      <c r="AJ1058" s="340"/>
      <c r="AK1058" s="340"/>
      <c r="AL1058" s="340"/>
      <c r="AM1058" s="340"/>
      <c r="AN1058" s="340"/>
    </row>
    <row r="1059" spans="20:40" x14ac:dyDescent="0.25">
      <c r="T1059" s="340"/>
      <c r="U1059" s="340"/>
      <c r="V1059" s="340"/>
      <c r="W1059" s="340"/>
      <c r="X1059" s="340"/>
      <c r="Y1059" s="340"/>
      <c r="Z1059" s="340"/>
      <c r="AA1059" s="340"/>
      <c r="AB1059" s="340"/>
      <c r="AC1059" s="340"/>
      <c r="AD1059" s="340"/>
      <c r="AE1059" s="340"/>
      <c r="AF1059" s="340"/>
      <c r="AG1059" s="340"/>
      <c r="AH1059" s="340"/>
      <c r="AI1059" s="340"/>
      <c r="AJ1059" s="340"/>
      <c r="AK1059" s="340"/>
      <c r="AL1059" s="340"/>
      <c r="AM1059" s="340"/>
      <c r="AN1059" s="340"/>
    </row>
    <row r="1060" spans="20:40" x14ac:dyDescent="0.25">
      <c r="T1060" s="340"/>
      <c r="U1060" s="340"/>
      <c r="V1060" s="340"/>
      <c r="W1060" s="340"/>
      <c r="X1060" s="340"/>
      <c r="Y1060" s="340"/>
      <c r="Z1060" s="340"/>
      <c r="AA1060" s="340"/>
      <c r="AB1060" s="340"/>
      <c r="AC1060" s="340"/>
      <c r="AD1060" s="340"/>
      <c r="AE1060" s="340"/>
      <c r="AF1060" s="340"/>
      <c r="AG1060" s="340"/>
      <c r="AH1060" s="340"/>
      <c r="AI1060" s="340"/>
      <c r="AJ1060" s="340"/>
      <c r="AK1060" s="340"/>
      <c r="AL1060" s="340"/>
      <c r="AM1060" s="340"/>
      <c r="AN1060" s="340"/>
    </row>
    <row r="1061" spans="20:40" x14ac:dyDescent="0.25">
      <c r="T1061" s="340"/>
      <c r="U1061" s="340"/>
      <c r="V1061" s="340"/>
      <c r="W1061" s="340"/>
      <c r="X1061" s="340"/>
      <c r="Y1061" s="340"/>
      <c r="Z1061" s="340"/>
      <c r="AA1061" s="340"/>
      <c r="AB1061" s="340"/>
      <c r="AC1061" s="340"/>
      <c r="AD1061" s="340"/>
      <c r="AE1061" s="340"/>
      <c r="AF1061" s="340"/>
      <c r="AG1061" s="340"/>
      <c r="AH1061" s="340"/>
      <c r="AI1061" s="340"/>
      <c r="AJ1061" s="340"/>
      <c r="AK1061" s="340"/>
      <c r="AL1061" s="340"/>
      <c r="AM1061" s="340"/>
      <c r="AN1061" s="340"/>
    </row>
    <row r="1062" spans="20:40" x14ac:dyDescent="0.25">
      <c r="T1062" s="340"/>
      <c r="U1062" s="340"/>
      <c r="V1062" s="340"/>
      <c r="W1062" s="340"/>
      <c r="X1062" s="340"/>
      <c r="Y1062" s="340"/>
      <c r="Z1062" s="340"/>
      <c r="AA1062" s="340"/>
      <c r="AB1062" s="340"/>
      <c r="AC1062" s="340"/>
      <c r="AD1062" s="340"/>
      <c r="AE1062" s="340"/>
      <c r="AF1062" s="340"/>
      <c r="AG1062" s="340"/>
      <c r="AH1062" s="340"/>
      <c r="AI1062" s="340"/>
      <c r="AJ1062" s="340"/>
      <c r="AK1062" s="340"/>
      <c r="AL1062" s="340"/>
      <c r="AM1062" s="340"/>
      <c r="AN1062" s="340"/>
    </row>
    <row r="1063" spans="20:40" x14ac:dyDescent="0.25">
      <c r="T1063" s="340"/>
      <c r="U1063" s="340"/>
      <c r="V1063" s="340"/>
      <c r="W1063" s="340"/>
      <c r="X1063" s="340"/>
      <c r="Y1063" s="340"/>
      <c r="Z1063" s="340"/>
      <c r="AA1063" s="340"/>
      <c r="AB1063" s="340"/>
      <c r="AC1063" s="340"/>
      <c r="AD1063" s="340"/>
      <c r="AE1063" s="340"/>
      <c r="AF1063" s="340"/>
      <c r="AG1063" s="340"/>
      <c r="AH1063" s="340"/>
      <c r="AI1063" s="340"/>
      <c r="AJ1063" s="340"/>
      <c r="AK1063" s="340"/>
      <c r="AL1063" s="340"/>
      <c r="AM1063" s="340"/>
      <c r="AN1063" s="340"/>
    </row>
    <row r="1064" spans="20:40" x14ac:dyDescent="0.25">
      <c r="T1064" s="340"/>
      <c r="U1064" s="340"/>
      <c r="V1064" s="340"/>
      <c r="W1064" s="340"/>
      <c r="X1064" s="340"/>
      <c r="Y1064" s="340"/>
      <c r="Z1064" s="340"/>
      <c r="AA1064" s="340"/>
      <c r="AB1064" s="340"/>
      <c r="AC1064" s="340"/>
      <c r="AD1064" s="340"/>
      <c r="AE1064" s="340"/>
      <c r="AF1064" s="340"/>
      <c r="AG1064" s="340"/>
      <c r="AH1064" s="340"/>
      <c r="AI1064" s="340"/>
      <c r="AJ1064" s="340"/>
      <c r="AK1064" s="340"/>
      <c r="AL1064" s="340"/>
      <c r="AM1064" s="340"/>
      <c r="AN1064" s="340"/>
    </row>
    <row r="1065" spans="20:40" x14ac:dyDescent="0.25">
      <c r="T1065" s="340"/>
      <c r="U1065" s="340"/>
      <c r="V1065" s="340"/>
      <c r="W1065" s="340"/>
      <c r="X1065" s="340"/>
      <c r="Y1065" s="340"/>
      <c r="Z1065" s="340"/>
      <c r="AA1065" s="340"/>
      <c r="AB1065" s="340"/>
      <c r="AC1065" s="340"/>
      <c r="AD1065" s="340"/>
      <c r="AE1065" s="340"/>
      <c r="AF1065" s="340"/>
      <c r="AG1065" s="340"/>
      <c r="AH1065" s="340"/>
      <c r="AI1065" s="340"/>
      <c r="AJ1065" s="340"/>
      <c r="AK1065" s="340"/>
      <c r="AL1065" s="340"/>
      <c r="AM1065" s="340"/>
      <c r="AN1065" s="340"/>
    </row>
    <row r="1066" spans="20:40" x14ac:dyDescent="0.25">
      <c r="T1066" s="340"/>
      <c r="U1066" s="340"/>
      <c r="V1066" s="340"/>
      <c r="W1066" s="340"/>
      <c r="X1066" s="340"/>
      <c r="Y1066" s="340"/>
      <c r="Z1066" s="340"/>
      <c r="AA1066" s="340"/>
      <c r="AB1066" s="340"/>
      <c r="AC1066" s="340"/>
      <c r="AD1066" s="340"/>
      <c r="AE1066" s="340"/>
      <c r="AF1066" s="340"/>
      <c r="AG1066" s="340"/>
      <c r="AH1066" s="340"/>
      <c r="AI1066" s="340"/>
      <c r="AJ1066" s="340"/>
      <c r="AK1066" s="340"/>
      <c r="AL1066" s="340"/>
      <c r="AM1066" s="340"/>
      <c r="AN1066" s="340"/>
    </row>
    <row r="1067" spans="20:40" x14ac:dyDescent="0.25">
      <c r="T1067" s="340"/>
      <c r="U1067" s="340"/>
      <c r="V1067" s="340"/>
      <c r="W1067" s="340"/>
      <c r="X1067" s="340"/>
      <c r="Y1067" s="340"/>
      <c r="Z1067" s="340"/>
      <c r="AA1067" s="340"/>
      <c r="AB1067" s="340"/>
      <c r="AC1067" s="340"/>
      <c r="AD1067" s="340"/>
      <c r="AE1067" s="340"/>
      <c r="AF1067" s="340"/>
      <c r="AG1067" s="340"/>
      <c r="AH1067" s="340"/>
      <c r="AI1067" s="340"/>
      <c r="AJ1067" s="340"/>
      <c r="AK1067" s="340"/>
      <c r="AL1067" s="340"/>
      <c r="AM1067" s="340"/>
      <c r="AN1067" s="340"/>
    </row>
    <row r="1068" spans="20:40" x14ac:dyDescent="0.25">
      <c r="T1068" s="340"/>
      <c r="U1068" s="340"/>
      <c r="V1068" s="340"/>
      <c r="W1068" s="340"/>
      <c r="X1068" s="340"/>
      <c r="Y1068" s="340"/>
      <c r="Z1068" s="340"/>
      <c r="AA1068" s="340"/>
      <c r="AB1068" s="340"/>
      <c r="AC1068" s="340"/>
      <c r="AD1068" s="340"/>
      <c r="AE1068" s="340"/>
      <c r="AF1068" s="340"/>
      <c r="AG1068" s="340"/>
      <c r="AH1068" s="340"/>
      <c r="AI1068" s="340"/>
      <c r="AJ1068" s="340"/>
      <c r="AK1068" s="340"/>
      <c r="AL1068" s="340"/>
      <c r="AM1068" s="340"/>
      <c r="AN1068" s="340"/>
    </row>
    <row r="1069" spans="20:40" x14ac:dyDescent="0.25">
      <c r="T1069" s="340"/>
      <c r="U1069" s="340"/>
      <c r="V1069" s="340"/>
      <c r="W1069" s="340"/>
      <c r="X1069" s="340"/>
      <c r="Y1069" s="340"/>
      <c r="Z1069" s="340"/>
      <c r="AA1069" s="340"/>
      <c r="AB1069" s="340"/>
      <c r="AC1069" s="340"/>
      <c r="AD1069" s="340"/>
      <c r="AE1069" s="340"/>
      <c r="AF1069" s="340"/>
      <c r="AG1069" s="340"/>
      <c r="AH1069" s="340"/>
      <c r="AI1069" s="340"/>
      <c r="AJ1069" s="340"/>
      <c r="AK1069" s="340"/>
      <c r="AL1069" s="340"/>
      <c r="AM1069" s="340"/>
      <c r="AN1069" s="340"/>
    </row>
    <row r="1070" spans="20:40" x14ac:dyDescent="0.25">
      <c r="T1070" s="340"/>
      <c r="U1070" s="340"/>
      <c r="V1070" s="340"/>
      <c r="W1070" s="340"/>
      <c r="X1070" s="340"/>
      <c r="Y1070" s="340"/>
      <c r="Z1070" s="340"/>
      <c r="AA1070" s="340"/>
      <c r="AB1070" s="340"/>
      <c r="AC1070" s="340"/>
      <c r="AD1070" s="340"/>
      <c r="AE1070" s="340"/>
      <c r="AF1070" s="340"/>
      <c r="AG1070" s="340"/>
      <c r="AH1070" s="340"/>
      <c r="AI1070" s="340"/>
      <c r="AJ1070" s="340"/>
      <c r="AK1070" s="340"/>
      <c r="AL1070" s="340"/>
      <c r="AM1070" s="340"/>
      <c r="AN1070" s="340"/>
    </row>
    <row r="1071" spans="20:40" x14ac:dyDescent="0.25">
      <c r="T1071" s="340"/>
      <c r="U1071" s="340"/>
      <c r="V1071" s="340"/>
      <c r="W1071" s="340"/>
      <c r="X1071" s="340"/>
      <c r="Y1071" s="340"/>
      <c r="Z1071" s="340"/>
      <c r="AA1071" s="340"/>
      <c r="AB1071" s="340"/>
      <c r="AC1071" s="340"/>
      <c r="AD1071" s="340"/>
      <c r="AE1071" s="340"/>
      <c r="AF1071" s="340"/>
      <c r="AG1071" s="340"/>
      <c r="AH1071" s="340"/>
      <c r="AI1071" s="340"/>
      <c r="AJ1071" s="340"/>
      <c r="AK1071" s="340"/>
      <c r="AL1071" s="340"/>
      <c r="AM1071" s="340"/>
      <c r="AN1071" s="340"/>
    </row>
    <row r="1072" spans="20:40" x14ac:dyDescent="0.25">
      <c r="T1072" s="340"/>
      <c r="U1072" s="340"/>
      <c r="V1072" s="340"/>
      <c r="W1072" s="340"/>
      <c r="X1072" s="340"/>
      <c r="Y1072" s="340"/>
      <c r="Z1072" s="340"/>
      <c r="AA1072" s="340"/>
      <c r="AB1072" s="340"/>
      <c r="AC1072" s="340"/>
      <c r="AD1072" s="340"/>
      <c r="AE1072" s="340"/>
      <c r="AF1072" s="340"/>
      <c r="AG1072" s="340"/>
      <c r="AH1072" s="340"/>
      <c r="AI1072" s="340"/>
      <c r="AJ1072" s="340"/>
      <c r="AK1072" s="340"/>
      <c r="AL1072" s="340"/>
      <c r="AM1072" s="340"/>
      <c r="AN1072" s="340"/>
    </row>
    <row r="1073" spans="20:40" x14ac:dyDescent="0.25">
      <c r="T1073" s="340"/>
      <c r="U1073" s="340"/>
      <c r="V1073" s="340"/>
      <c r="W1073" s="340"/>
      <c r="X1073" s="340"/>
      <c r="Y1073" s="340"/>
      <c r="Z1073" s="340"/>
      <c r="AA1073" s="340"/>
      <c r="AB1073" s="340"/>
      <c r="AC1073" s="340"/>
      <c r="AD1073" s="340"/>
      <c r="AE1073" s="340"/>
      <c r="AF1073" s="340"/>
      <c r="AG1073" s="340"/>
      <c r="AH1073" s="340"/>
      <c r="AI1073" s="340"/>
      <c r="AJ1073" s="340"/>
      <c r="AK1073" s="340"/>
      <c r="AL1073" s="340"/>
      <c r="AM1073" s="340"/>
      <c r="AN1073" s="340"/>
    </row>
    <row r="1074" spans="20:40" x14ac:dyDescent="0.25">
      <c r="T1074" s="340"/>
      <c r="U1074" s="340"/>
      <c r="V1074" s="340"/>
      <c r="W1074" s="340"/>
      <c r="X1074" s="340"/>
      <c r="Y1074" s="340"/>
      <c r="Z1074" s="340"/>
      <c r="AA1074" s="340"/>
      <c r="AB1074" s="340"/>
      <c r="AC1074" s="340"/>
      <c r="AD1074" s="340"/>
      <c r="AE1074" s="340"/>
      <c r="AF1074" s="340"/>
      <c r="AG1074" s="340"/>
      <c r="AH1074" s="340"/>
      <c r="AI1074" s="340"/>
      <c r="AJ1074" s="340"/>
      <c r="AK1074" s="340"/>
      <c r="AL1074" s="340"/>
      <c r="AM1074" s="340"/>
      <c r="AN1074" s="340"/>
    </row>
    <row r="1075" spans="20:40" x14ac:dyDescent="0.25">
      <c r="T1075" s="340"/>
      <c r="U1075" s="340"/>
      <c r="V1075" s="340"/>
      <c r="W1075" s="340"/>
      <c r="X1075" s="340"/>
      <c r="Y1075" s="340"/>
      <c r="Z1075" s="340"/>
      <c r="AA1075" s="340"/>
      <c r="AB1075" s="340"/>
      <c r="AC1075" s="340"/>
      <c r="AD1075" s="340"/>
      <c r="AE1075" s="340"/>
      <c r="AF1075" s="340"/>
      <c r="AG1075" s="340"/>
      <c r="AH1075" s="340"/>
      <c r="AI1075" s="340"/>
      <c r="AJ1075" s="340"/>
      <c r="AK1075" s="340"/>
      <c r="AL1075" s="340"/>
      <c r="AM1075" s="340"/>
      <c r="AN1075" s="340"/>
    </row>
    <row r="1076" spans="20:40" x14ac:dyDescent="0.25">
      <c r="T1076" s="340"/>
      <c r="U1076" s="340"/>
      <c r="V1076" s="340"/>
      <c r="W1076" s="340"/>
      <c r="X1076" s="340"/>
      <c r="Y1076" s="340"/>
      <c r="Z1076" s="340"/>
      <c r="AA1076" s="340"/>
      <c r="AB1076" s="340"/>
      <c r="AC1076" s="340"/>
      <c r="AD1076" s="340"/>
      <c r="AE1076" s="340"/>
      <c r="AF1076" s="340"/>
      <c r="AG1076" s="340"/>
      <c r="AH1076" s="340"/>
      <c r="AI1076" s="340"/>
      <c r="AJ1076" s="340"/>
      <c r="AK1076" s="340"/>
      <c r="AL1076" s="340"/>
      <c r="AM1076" s="340"/>
      <c r="AN1076" s="340"/>
    </row>
    <row r="1077" spans="20:40" x14ac:dyDescent="0.25">
      <c r="T1077" s="340"/>
      <c r="U1077" s="340"/>
      <c r="V1077" s="340"/>
      <c r="W1077" s="340"/>
      <c r="X1077" s="340"/>
      <c r="Y1077" s="340"/>
      <c r="Z1077" s="340"/>
      <c r="AA1077" s="340"/>
      <c r="AB1077" s="340"/>
      <c r="AC1077" s="340"/>
      <c r="AD1077" s="340"/>
      <c r="AE1077" s="340"/>
      <c r="AF1077" s="340"/>
      <c r="AG1077" s="340"/>
      <c r="AH1077" s="340"/>
      <c r="AI1077" s="340"/>
      <c r="AJ1077" s="340"/>
      <c r="AK1077" s="340"/>
      <c r="AL1077" s="340"/>
      <c r="AM1077" s="340"/>
      <c r="AN1077" s="340"/>
    </row>
    <row r="1078" spans="20:40" x14ac:dyDescent="0.25">
      <c r="T1078" s="340"/>
      <c r="U1078" s="340"/>
      <c r="V1078" s="340"/>
      <c r="W1078" s="340"/>
      <c r="X1078" s="340"/>
      <c r="Y1078" s="340"/>
      <c r="Z1078" s="340"/>
      <c r="AA1078" s="340"/>
      <c r="AB1078" s="340"/>
      <c r="AC1078" s="340"/>
      <c r="AD1078" s="340"/>
      <c r="AE1078" s="340"/>
      <c r="AF1078" s="340"/>
      <c r="AG1078" s="340"/>
      <c r="AH1078" s="340"/>
      <c r="AI1078" s="340"/>
      <c r="AJ1078" s="340"/>
      <c r="AK1078" s="340"/>
      <c r="AL1078" s="340"/>
      <c r="AM1078" s="340"/>
      <c r="AN1078" s="340"/>
    </row>
    <row r="1079" spans="20:40" x14ac:dyDescent="0.25">
      <c r="T1079" s="340"/>
      <c r="U1079" s="340"/>
      <c r="V1079" s="340"/>
      <c r="W1079" s="340"/>
      <c r="X1079" s="340"/>
      <c r="Y1079" s="340"/>
      <c r="Z1079" s="340"/>
      <c r="AA1079" s="340"/>
      <c r="AB1079" s="340"/>
      <c r="AC1079" s="340"/>
      <c r="AD1079" s="340"/>
      <c r="AE1079" s="340"/>
      <c r="AF1079" s="340"/>
      <c r="AG1079" s="340"/>
      <c r="AH1079" s="340"/>
      <c r="AI1079" s="340"/>
      <c r="AJ1079" s="340"/>
      <c r="AK1079" s="340"/>
      <c r="AL1079" s="340"/>
      <c r="AM1079" s="340"/>
      <c r="AN1079" s="340"/>
    </row>
    <row r="1080" spans="20:40" x14ac:dyDescent="0.25">
      <c r="T1080" s="340"/>
      <c r="U1080" s="340"/>
      <c r="V1080" s="340"/>
      <c r="W1080" s="340"/>
      <c r="X1080" s="340"/>
      <c r="Y1080" s="340"/>
      <c r="Z1080" s="340"/>
      <c r="AA1080" s="340"/>
      <c r="AB1080" s="340"/>
      <c r="AC1080" s="340"/>
      <c r="AD1080" s="340"/>
      <c r="AE1080" s="340"/>
      <c r="AF1080" s="340"/>
      <c r="AG1080" s="340"/>
      <c r="AH1080" s="340"/>
      <c r="AI1080" s="340"/>
      <c r="AJ1080" s="340"/>
      <c r="AK1080" s="340"/>
      <c r="AL1080" s="340"/>
      <c r="AM1080" s="340"/>
      <c r="AN1080" s="340"/>
    </row>
    <row r="1081" spans="20:40" x14ac:dyDescent="0.25">
      <c r="T1081" s="340"/>
      <c r="U1081" s="340"/>
      <c r="V1081" s="340"/>
      <c r="W1081" s="340"/>
      <c r="X1081" s="340"/>
      <c r="Y1081" s="340"/>
      <c r="Z1081" s="340"/>
      <c r="AA1081" s="340"/>
      <c r="AB1081" s="340"/>
      <c r="AC1081" s="340"/>
      <c r="AD1081" s="340"/>
      <c r="AE1081" s="340"/>
      <c r="AF1081" s="340"/>
      <c r="AG1081" s="340"/>
      <c r="AH1081" s="340"/>
      <c r="AI1081" s="340"/>
      <c r="AJ1081" s="340"/>
      <c r="AK1081" s="340"/>
      <c r="AL1081" s="340"/>
      <c r="AM1081" s="340"/>
      <c r="AN1081" s="340"/>
    </row>
    <row r="1082" spans="20:40" x14ac:dyDescent="0.25">
      <c r="T1082" s="340"/>
      <c r="U1082" s="340"/>
      <c r="V1082" s="340"/>
      <c r="W1082" s="340"/>
      <c r="X1082" s="340"/>
      <c r="Y1082" s="340"/>
      <c r="Z1082" s="340"/>
      <c r="AA1082" s="340"/>
      <c r="AB1082" s="340"/>
      <c r="AC1082" s="340"/>
      <c r="AD1082" s="340"/>
      <c r="AE1082" s="340"/>
      <c r="AF1082" s="340"/>
      <c r="AG1082" s="340"/>
      <c r="AH1082" s="340"/>
      <c r="AI1082" s="340"/>
      <c r="AJ1082" s="340"/>
      <c r="AK1082" s="340"/>
      <c r="AL1082" s="340"/>
      <c r="AM1082" s="340"/>
      <c r="AN1082" s="340"/>
    </row>
    <row r="1083" spans="20:40" x14ac:dyDescent="0.25">
      <c r="T1083" s="340"/>
      <c r="U1083" s="340"/>
      <c r="V1083" s="340"/>
      <c r="W1083" s="340"/>
      <c r="X1083" s="340"/>
      <c r="Y1083" s="340"/>
      <c r="Z1083" s="340"/>
      <c r="AA1083" s="340"/>
      <c r="AB1083" s="340"/>
      <c r="AC1083" s="340"/>
      <c r="AD1083" s="340"/>
      <c r="AE1083" s="340"/>
      <c r="AF1083" s="340"/>
      <c r="AG1083" s="340"/>
      <c r="AH1083" s="340"/>
      <c r="AI1083" s="340"/>
      <c r="AJ1083" s="340"/>
      <c r="AK1083" s="340"/>
      <c r="AL1083" s="340"/>
      <c r="AM1083" s="340"/>
      <c r="AN1083" s="340"/>
    </row>
    <row r="1084" spans="20:40" x14ac:dyDescent="0.25">
      <c r="T1084" s="340"/>
      <c r="U1084" s="340"/>
      <c r="V1084" s="340"/>
      <c r="W1084" s="340"/>
      <c r="X1084" s="340"/>
      <c r="Y1084" s="340"/>
      <c r="Z1084" s="340"/>
      <c r="AA1084" s="340"/>
      <c r="AB1084" s="340"/>
      <c r="AC1084" s="340"/>
      <c r="AD1084" s="340"/>
      <c r="AE1084" s="340"/>
      <c r="AF1084" s="340"/>
      <c r="AG1084" s="340"/>
      <c r="AH1084" s="340"/>
      <c r="AI1084" s="340"/>
      <c r="AJ1084" s="340"/>
      <c r="AK1084" s="340"/>
      <c r="AL1084" s="340"/>
      <c r="AM1084" s="340"/>
      <c r="AN1084" s="340"/>
    </row>
    <row r="1085" spans="20:40" x14ac:dyDescent="0.25">
      <c r="T1085" s="340"/>
      <c r="U1085" s="340"/>
      <c r="V1085" s="340"/>
      <c r="W1085" s="340"/>
      <c r="X1085" s="340"/>
      <c r="Y1085" s="340"/>
      <c r="Z1085" s="340"/>
      <c r="AA1085" s="340"/>
      <c r="AB1085" s="340"/>
      <c r="AC1085" s="340"/>
      <c r="AD1085" s="340"/>
      <c r="AE1085" s="340"/>
      <c r="AF1085" s="340"/>
      <c r="AG1085" s="340"/>
      <c r="AH1085" s="340"/>
      <c r="AI1085" s="340"/>
      <c r="AJ1085" s="340"/>
      <c r="AK1085" s="340"/>
      <c r="AL1085" s="340"/>
      <c r="AM1085" s="340"/>
      <c r="AN1085" s="340"/>
    </row>
    <row r="1086" spans="20:40" x14ac:dyDescent="0.25">
      <c r="T1086" s="340"/>
      <c r="U1086" s="340"/>
      <c r="V1086" s="340"/>
      <c r="W1086" s="340"/>
      <c r="X1086" s="340"/>
      <c r="Y1086" s="340"/>
      <c r="Z1086" s="340"/>
      <c r="AA1086" s="340"/>
      <c r="AB1086" s="340"/>
      <c r="AC1086" s="340"/>
      <c r="AD1086" s="340"/>
      <c r="AE1086" s="340"/>
      <c r="AF1086" s="340"/>
      <c r="AG1086" s="340"/>
      <c r="AH1086" s="340"/>
      <c r="AI1086" s="340"/>
      <c r="AJ1086" s="340"/>
      <c r="AK1086" s="340"/>
      <c r="AL1086" s="340"/>
      <c r="AM1086" s="340"/>
      <c r="AN1086" s="340"/>
    </row>
    <row r="1087" spans="20:40" x14ac:dyDescent="0.25">
      <c r="T1087" s="340"/>
      <c r="U1087" s="340"/>
      <c r="V1087" s="340"/>
      <c r="W1087" s="340"/>
      <c r="X1087" s="340"/>
      <c r="Y1087" s="340"/>
      <c r="Z1087" s="340"/>
      <c r="AA1087" s="340"/>
      <c r="AB1087" s="340"/>
      <c r="AC1087" s="340"/>
      <c r="AD1087" s="340"/>
      <c r="AE1087" s="340"/>
      <c r="AF1087" s="340"/>
      <c r="AG1087" s="340"/>
      <c r="AH1087" s="340"/>
      <c r="AI1087" s="340"/>
      <c r="AJ1087" s="340"/>
      <c r="AK1087" s="340"/>
      <c r="AL1087" s="340"/>
      <c r="AM1087" s="340"/>
      <c r="AN1087" s="340"/>
    </row>
    <row r="1088" spans="20:40" x14ac:dyDescent="0.25">
      <c r="T1088" s="340"/>
      <c r="U1088" s="340"/>
      <c r="V1088" s="340"/>
      <c r="W1088" s="340"/>
      <c r="X1088" s="340"/>
      <c r="Y1088" s="340"/>
      <c r="Z1088" s="340"/>
      <c r="AA1088" s="340"/>
      <c r="AB1088" s="340"/>
      <c r="AC1088" s="340"/>
      <c r="AD1088" s="340"/>
      <c r="AE1088" s="340"/>
      <c r="AF1088" s="340"/>
      <c r="AG1088" s="340"/>
      <c r="AH1088" s="340"/>
      <c r="AI1088" s="340"/>
      <c r="AJ1088" s="340"/>
      <c r="AK1088" s="340"/>
      <c r="AL1088" s="340"/>
      <c r="AM1088" s="340"/>
      <c r="AN1088" s="340"/>
    </row>
    <row r="1089" spans="20:40" x14ac:dyDescent="0.25">
      <c r="T1089" s="340"/>
      <c r="U1089" s="340"/>
      <c r="V1089" s="340"/>
      <c r="W1089" s="340"/>
      <c r="X1089" s="340"/>
      <c r="Y1089" s="340"/>
      <c r="Z1089" s="340"/>
      <c r="AA1089" s="340"/>
      <c r="AB1089" s="340"/>
      <c r="AC1089" s="340"/>
      <c r="AD1089" s="340"/>
      <c r="AE1089" s="340"/>
      <c r="AF1089" s="340"/>
      <c r="AG1089" s="340"/>
      <c r="AH1089" s="340"/>
      <c r="AI1089" s="340"/>
      <c r="AJ1089" s="340"/>
      <c r="AK1089" s="340"/>
      <c r="AL1089" s="340"/>
      <c r="AM1089" s="340"/>
      <c r="AN1089" s="340"/>
    </row>
    <row r="1090" spans="20:40" x14ac:dyDescent="0.25">
      <c r="T1090" s="340"/>
      <c r="U1090" s="340"/>
      <c r="V1090" s="340"/>
      <c r="W1090" s="340"/>
      <c r="X1090" s="340"/>
      <c r="Y1090" s="340"/>
      <c r="Z1090" s="340"/>
      <c r="AA1090" s="340"/>
      <c r="AB1090" s="340"/>
      <c r="AC1090" s="340"/>
      <c r="AD1090" s="340"/>
      <c r="AE1090" s="340"/>
      <c r="AF1090" s="340"/>
      <c r="AG1090" s="340"/>
      <c r="AH1090" s="340"/>
      <c r="AI1090" s="340"/>
      <c r="AJ1090" s="340"/>
      <c r="AK1090" s="340"/>
      <c r="AL1090" s="340"/>
      <c r="AM1090" s="340"/>
      <c r="AN1090" s="340"/>
    </row>
    <row r="1091" spans="20:40" x14ac:dyDescent="0.25">
      <c r="T1091" s="340"/>
      <c r="U1091" s="340"/>
      <c r="V1091" s="340"/>
      <c r="W1091" s="340"/>
      <c r="X1091" s="340"/>
      <c r="Y1091" s="340"/>
      <c r="Z1091" s="340"/>
      <c r="AA1091" s="340"/>
      <c r="AB1091" s="340"/>
      <c r="AC1091" s="340"/>
      <c r="AD1091" s="340"/>
      <c r="AE1091" s="340"/>
      <c r="AF1091" s="340"/>
      <c r="AG1091" s="340"/>
      <c r="AH1091" s="340"/>
      <c r="AI1091" s="340"/>
      <c r="AJ1091" s="340"/>
      <c r="AK1091" s="340"/>
      <c r="AL1091" s="340"/>
      <c r="AM1091" s="340"/>
      <c r="AN1091" s="340"/>
    </row>
    <row r="1092" spans="20:40" x14ac:dyDescent="0.25">
      <c r="T1092" s="340"/>
      <c r="U1092" s="340"/>
      <c r="V1092" s="340"/>
      <c r="W1092" s="340"/>
      <c r="X1092" s="340"/>
      <c r="Y1092" s="340"/>
      <c r="Z1092" s="340"/>
      <c r="AA1092" s="340"/>
      <c r="AB1092" s="340"/>
      <c r="AC1092" s="340"/>
      <c r="AD1092" s="340"/>
      <c r="AE1092" s="340"/>
      <c r="AF1092" s="340"/>
      <c r="AG1092" s="340"/>
      <c r="AH1092" s="340"/>
      <c r="AI1092" s="340"/>
      <c r="AJ1092" s="340"/>
      <c r="AK1092" s="340"/>
      <c r="AL1092" s="340"/>
      <c r="AM1092" s="340"/>
      <c r="AN1092" s="340"/>
    </row>
    <row r="1093" spans="20:40" x14ac:dyDescent="0.25">
      <c r="T1093" s="340"/>
      <c r="U1093" s="340"/>
      <c r="V1093" s="340"/>
      <c r="W1093" s="340"/>
      <c r="X1093" s="340"/>
      <c r="Y1093" s="340"/>
      <c r="Z1093" s="340"/>
      <c r="AA1093" s="340"/>
      <c r="AB1093" s="340"/>
      <c r="AC1093" s="340"/>
      <c r="AD1093" s="340"/>
      <c r="AE1093" s="340"/>
      <c r="AF1093" s="340"/>
      <c r="AG1093" s="340"/>
      <c r="AH1093" s="340"/>
      <c r="AI1093" s="340"/>
      <c r="AJ1093" s="340"/>
      <c r="AK1093" s="340"/>
      <c r="AL1093" s="340"/>
      <c r="AM1093" s="340"/>
      <c r="AN1093" s="340"/>
    </row>
    <row r="1094" spans="20:40" x14ac:dyDescent="0.25">
      <c r="T1094" s="340"/>
      <c r="U1094" s="340"/>
      <c r="V1094" s="340"/>
      <c r="W1094" s="340"/>
      <c r="X1094" s="340"/>
      <c r="Y1094" s="340"/>
      <c r="Z1094" s="340"/>
      <c r="AA1094" s="340"/>
      <c r="AB1094" s="340"/>
      <c r="AC1094" s="340"/>
      <c r="AD1094" s="340"/>
      <c r="AE1094" s="340"/>
      <c r="AF1094" s="340"/>
      <c r="AG1094" s="340"/>
      <c r="AH1094" s="340"/>
      <c r="AI1094" s="340"/>
      <c r="AJ1094" s="340"/>
      <c r="AK1094" s="340"/>
      <c r="AL1094" s="340"/>
      <c r="AM1094" s="340"/>
      <c r="AN1094" s="340"/>
    </row>
    <row r="1095" spans="20:40" x14ac:dyDescent="0.25">
      <c r="T1095" s="340"/>
      <c r="U1095" s="340"/>
      <c r="V1095" s="340"/>
      <c r="W1095" s="340"/>
      <c r="X1095" s="340"/>
      <c r="Y1095" s="340"/>
      <c r="Z1095" s="340"/>
      <c r="AA1095" s="340"/>
      <c r="AB1095" s="340"/>
      <c r="AC1095" s="340"/>
      <c r="AD1095" s="340"/>
      <c r="AE1095" s="340"/>
      <c r="AF1095" s="340"/>
      <c r="AG1095" s="340"/>
      <c r="AH1095" s="340"/>
      <c r="AI1095" s="340"/>
      <c r="AJ1095" s="340"/>
      <c r="AK1095" s="340"/>
      <c r="AL1095" s="340"/>
      <c r="AM1095" s="340"/>
      <c r="AN1095" s="340"/>
    </row>
    <row r="1096" spans="20:40" x14ac:dyDescent="0.25">
      <c r="T1096" s="340"/>
      <c r="U1096" s="340"/>
      <c r="V1096" s="340"/>
      <c r="W1096" s="340"/>
      <c r="X1096" s="340"/>
      <c r="Y1096" s="340"/>
      <c r="Z1096" s="340"/>
      <c r="AA1096" s="340"/>
      <c r="AB1096" s="340"/>
      <c r="AC1096" s="340"/>
      <c r="AD1096" s="340"/>
      <c r="AE1096" s="340"/>
      <c r="AF1096" s="340"/>
      <c r="AG1096" s="340"/>
      <c r="AH1096" s="340"/>
      <c r="AI1096" s="340"/>
      <c r="AJ1096" s="340"/>
      <c r="AK1096" s="340"/>
      <c r="AL1096" s="340"/>
      <c r="AM1096" s="340"/>
      <c r="AN1096" s="340"/>
    </row>
    <row r="1097" spans="20:40" x14ac:dyDescent="0.25">
      <c r="T1097" s="340"/>
      <c r="U1097" s="340"/>
      <c r="V1097" s="340"/>
      <c r="W1097" s="340"/>
      <c r="X1097" s="340"/>
      <c r="Y1097" s="340"/>
      <c r="Z1097" s="340"/>
      <c r="AA1097" s="340"/>
      <c r="AB1097" s="340"/>
      <c r="AC1097" s="340"/>
      <c r="AD1097" s="340"/>
      <c r="AE1097" s="340"/>
      <c r="AF1097" s="340"/>
      <c r="AG1097" s="340"/>
      <c r="AH1097" s="340"/>
      <c r="AI1097" s="340"/>
      <c r="AJ1097" s="340"/>
      <c r="AK1097" s="340"/>
      <c r="AL1097" s="340"/>
      <c r="AM1097" s="340"/>
      <c r="AN1097" s="340"/>
    </row>
    <row r="1098" spans="20:40" x14ac:dyDescent="0.25">
      <c r="T1098" s="340"/>
      <c r="U1098" s="340"/>
      <c r="V1098" s="340"/>
      <c r="W1098" s="340"/>
      <c r="X1098" s="340"/>
      <c r="Y1098" s="340"/>
      <c r="Z1098" s="340"/>
      <c r="AA1098" s="340"/>
      <c r="AB1098" s="340"/>
      <c r="AC1098" s="340"/>
      <c r="AD1098" s="340"/>
      <c r="AE1098" s="340"/>
      <c r="AF1098" s="340"/>
      <c r="AG1098" s="340"/>
      <c r="AH1098" s="340"/>
      <c r="AI1098" s="340"/>
      <c r="AJ1098" s="340"/>
      <c r="AK1098" s="340"/>
      <c r="AL1098" s="340"/>
      <c r="AM1098" s="340"/>
      <c r="AN1098" s="340"/>
    </row>
    <row r="1099" spans="20:40" x14ac:dyDescent="0.25">
      <c r="T1099" s="340"/>
      <c r="U1099" s="340"/>
      <c r="V1099" s="340"/>
      <c r="W1099" s="340"/>
      <c r="X1099" s="340"/>
      <c r="Y1099" s="340"/>
      <c r="Z1099" s="340"/>
      <c r="AA1099" s="340"/>
      <c r="AB1099" s="340"/>
      <c r="AC1099" s="340"/>
      <c r="AD1099" s="340"/>
      <c r="AE1099" s="340"/>
      <c r="AF1099" s="340"/>
      <c r="AG1099" s="340"/>
      <c r="AH1099" s="340"/>
      <c r="AI1099" s="340"/>
      <c r="AJ1099" s="340"/>
      <c r="AK1099" s="340"/>
      <c r="AL1099" s="340"/>
      <c r="AM1099" s="340"/>
      <c r="AN1099" s="340"/>
    </row>
    <row r="1100" spans="20:40" x14ac:dyDescent="0.25">
      <c r="T1100" s="340"/>
      <c r="U1100" s="340"/>
      <c r="V1100" s="340"/>
      <c r="W1100" s="340"/>
      <c r="X1100" s="340"/>
      <c r="Y1100" s="340"/>
      <c r="Z1100" s="340"/>
      <c r="AA1100" s="340"/>
      <c r="AB1100" s="340"/>
      <c r="AC1100" s="340"/>
      <c r="AD1100" s="340"/>
      <c r="AE1100" s="340"/>
      <c r="AF1100" s="340"/>
      <c r="AG1100" s="340"/>
      <c r="AH1100" s="340"/>
      <c r="AI1100" s="340"/>
      <c r="AJ1100" s="340"/>
      <c r="AK1100" s="340"/>
      <c r="AL1100" s="340"/>
      <c r="AM1100" s="340"/>
      <c r="AN1100" s="340"/>
    </row>
    <row r="1101" spans="20:40" x14ac:dyDescent="0.25">
      <c r="T1101" s="340"/>
      <c r="U1101" s="340"/>
      <c r="V1101" s="340"/>
      <c r="W1101" s="340"/>
      <c r="X1101" s="340"/>
      <c r="Y1101" s="340"/>
      <c r="Z1101" s="340"/>
      <c r="AA1101" s="340"/>
      <c r="AB1101" s="340"/>
      <c r="AC1101" s="340"/>
      <c r="AD1101" s="340"/>
      <c r="AE1101" s="340"/>
      <c r="AF1101" s="340"/>
      <c r="AG1101" s="340"/>
      <c r="AH1101" s="340"/>
      <c r="AI1101" s="340"/>
      <c r="AJ1101" s="340"/>
      <c r="AK1101" s="340"/>
      <c r="AL1101" s="340"/>
      <c r="AM1101" s="340"/>
      <c r="AN1101" s="340"/>
    </row>
    <row r="1102" spans="20:40" x14ac:dyDescent="0.25">
      <c r="T1102" s="340"/>
      <c r="U1102" s="340"/>
      <c r="V1102" s="340"/>
      <c r="W1102" s="340"/>
      <c r="X1102" s="340"/>
      <c r="Y1102" s="340"/>
      <c r="Z1102" s="340"/>
      <c r="AA1102" s="340"/>
      <c r="AB1102" s="340"/>
      <c r="AC1102" s="340"/>
      <c r="AD1102" s="340"/>
      <c r="AE1102" s="340"/>
      <c r="AF1102" s="340"/>
      <c r="AG1102" s="340"/>
      <c r="AH1102" s="340"/>
      <c r="AI1102" s="340"/>
      <c r="AJ1102" s="340"/>
      <c r="AK1102" s="340"/>
      <c r="AL1102" s="340"/>
      <c r="AM1102" s="340"/>
      <c r="AN1102" s="340"/>
    </row>
    <row r="1103" spans="20:40" x14ac:dyDescent="0.25">
      <c r="T1103" s="340"/>
      <c r="U1103" s="340"/>
      <c r="V1103" s="340"/>
      <c r="W1103" s="340"/>
      <c r="X1103" s="340"/>
      <c r="Y1103" s="340"/>
      <c r="Z1103" s="340"/>
      <c r="AA1103" s="340"/>
      <c r="AB1103" s="340"/>
      <c r="AC1103" s="340"/>
      <c r="AD1103" s="340"/>
      <c r="AE1103" s="340"/>
      <c r="AF1103" s="340"/>
      <c r="AG1103" s="340"/>
      <c r="AH1103" s="340"/>
      <c r="AI1103" s="340"/>
      <c r="AJ1103" s="340"/>
      <c r="AK1103" s="340"/>
      <c r="AL1103" s="340"/>
      <c r="AM1103" s="340"/>
      <c r="AN1103" s="340"/>
    </row>
    <row r="1104" spans="20:40" x14ac:dyDescent="0.25">
      <c r="T1104" s="340"/>
      <c r="U1104" s="340"/>
      <c r="V1104" s="340"/>
      <c r="W1104" s="340"/>
      <c r="X1104" s="340"/>
      <c r="Y1104" s="340"/>
      <c r="Z1104" s="340"/>
      <c r="AA1104" s="340"/>
      <c r="AB1104" s="340"/>
      <c r="AC1104" s="340"/>
      <c r="AD1104" s="340"/>
      <c r="AE1104" s="340"/>
      <c r="AF1104" s="340"/>
      <c r="AG1104" s="340"/>
      <c r="AH1104" s="340"/>
      <c r="AI1104" s="340"/>
      <c r="AJ1104" s="340"/>
      <c r="AK1104" s="340"/>
      <c r="AL1104" s="340"/>
      <c r="AM1104" s="340"/>
      <c r="AN1104" s="340"/>
    </row>
    <row r="1105" spans="20:40" x14ac:dyDescent="0.25">
      <c r="T1105" s="340"/>
      <c r="U1105" s="340"/>
      <c r="V1105" s="340"/>
      <c r="W1105" s="340"/>
      <c r="X1105" s="340"/>
      <c r="Y1105" s="340"/>
      <c r="Z1105" s="340"/>
      <c r="AA1105" s="340"/>
      <c r="AB1105" s="340"/>
      <c r="AC1105" s="340"/>
      <c r="AD1105" s="340"/>
      <c r="AE1105" s="340"/>
      <c r="AF1105" s="340"/>
      <c r="AG1105" s="340"/>
      <c r="AH1105" s="340"/>
      <c r="AI1105" s="340"/>
      <c r="AJ1105" s="340"/>
      <c r="AK1105" s="340"/>
      <c r="AL1105" s="340"/>
      <c r="AM1105" s="340"/>
      <c r="AN1105" s="340"/>
    </row>
    <row r="1106" spans="20:40" x14ac:dyDescent="0.25">
      <c r="T1106" s="340"/>
      <c r="U1106" s="340"/>
      <c r="V1106" s="340"/>
      <c r="W1106" s="340"/>
      <c r="X1106" s="340"/>
      <c r="Y1106" s="340"/>
      <c r="Z1106" s="340"/>
      <c r="AA1106" s="340"/>
      <c r="AB1106" s="340"/>
      <c r="AC1106" s="340"/>
      <c r="AD1106" s="340"/>
      <c r="AE1106" s="340"/>
      <c r="AF1106" s="340"/>
      <c r="AG1106" s="340"/>
      <c r="AH1106" s="340"/>
      <c r="AI1106" s="340"/>
      <c r="AJ1106" s="340"/>
      <c r="AK1106" s="340"/>
      <c r="AL1106" s="340"/>
      <c r="AM1106" s="340"/>
      <c r="AN1106" s="340"/>
    </row>
    <row r="1107" spans="20:40" x14ac:dyDescent="0.25">
      <c r="T1107" s="340"/>
      <c r="U1107" s="340"/>
      <c r="V1107" s="340"/>
      <c r="W1107" s="340"/>
      <c r="X1107" s="340"/>
      <c r="Y1107" s="340"/>
      <c r="Z1107" s="340"/>
      <c r="AA1107" s="340"/>
      <c r="AB1107" s="340"/>
      <c r="AC1107" s="340"/>
      <c r="AD1107" s="340"/>
      <c r="AE1107" s="340"/>
      <c r="AF1107" s="340"/>
      <c r="AG1107" s="340"/>
      <c r="AH1107" s="340"/>
      <c r="AI1107" s="340"/>
      <c r="AJ1107" s="340"/>
      <c r="AK1107" s="340"/>
      <c r="AL1107" s="340"/>
      <c r="AM1107" s="340"/>
      <c r="AN1107" s="340"/>
    </row>
    <row r="1108" spans="20:40" x14ac:dyDescent="0.25">
      <c r="T1108" s="340"/>
      <c r="U1108" s="340"/>
      <c r="V1108" s="340"/>
      <c r="W1108" s="340"/>
      <c r="X1108" s="340"/>
      <c r="Y1108" s="340"/>
      <c r="Z1108" s="340"/>
      <c r="AA1108" s="340"/>
      <c r="AB1108" s="340"/>
      <c r="AC1108" s="340"/>
      <c r="AD1108" s="340"/>
      <c r="AE1108" s="340"/>
      <c r="AF1108" s="340"/>
      <c r="AG1108" s="340"/>
      <c r="AH1108" s="340"/>
      <c r="AI1108" s="340"/>
      <c r="AJ1108" s="340"/>
      <c r="AK1108" s="340"/>
      <c r="AL1108" s="340"/>
      <c r="AM1108" s="340"/>
      <c r="AN1108" s="340"/>
    </row>
    <row r="1109" spans="20:40" x14ac:dyDescent="0.25">
      <c r="T1109" s="340"/>
      <c r="U1109" s="340"/>
      <c r="V1109" s="340"/>
      <c r="W1109" s="340"/>
      <c r="X1109" s="340"/>
      <c r="Y1109" s="340"/>
      <c r="Z1109" s="340"/>
      <c r="AA1109" s="340"/>
      <c r="AB1109" s="340"/>
      <c r="AC1109" s="340"/>
      <c r="AD1109" s="340"/>
      <c r="AE1109" s="340"/>
      <c r="AF1109" s="340"/>
      <c r="AG1109" s="340"/>
      <c r="AH1109" s="340"/>
      <c r="AI1109" s="340"/>
      <c r="AJ1109" s="340"/>
      <c r="AK1109" s="340"/>
      <c r="AL1109" s="340"/>
      <c r="AM1109" s="340"/>
      <c r="AN1109" s="340"/>
    </row>
    <row r="1110" spans="20:40" x14ac:dyDescent="0.25">
      <c r="T1110" s="340"/>
      <c r="U1110" s="340"/>
      <c r="V1110" s="340"/>
      <c r="W1110" s="340"/>
      <c r="X1110" s="340"/>
      <c r="Y1110" s="340"/>
      <c r="Z1110" s="340"/>
      <c r="AA1110" s="340"/>
      <c r="AB1110" s="340"/>
      <c r="AC1110" s="340"/>
      <c r="AD1110" s="340"/>
      <c r="AE1110" s="340"/>
      <c r="AF1110" s="340"/>
      <c r="AG1110" s="340"/>
      <c r="AH1110" s="340"/>
      <c r="AI1110" s="340"/>
      <c r="AJ1110" s="340"/>
      <c r="AK1110" s="340"/>
      <c r="AL1110" s="340"/>
      <c r="AM1110" s="340"/>
      <c r="AN1110" s="340"/>
    </row>
    <row r="1111" spans="20:40" x14ac:dyDescent="0.25">
      <c r="T1111" s="340"/>
      <c r="U1111" s="340"/>
      <c r="V1111" s="340"/>
      <c r="W1111" s="340"/>
      <c r="X1111" s="340"/>
      <c r="Y1111" s="340"/>
      <c r="Z1111" s="340"/>
      <c r="AA1111" s="340"/>
      <c r="AB1111" s="340"/>
      <c r="AC1111" s="340"/>
      <c r="AD1111" s="340"/>
      <c r="AE1111" s="340"/>
      <c r="AF1111" s="340"/>
      <c r="AG1111" s="340"/>
      <c r="AH1111" s="340"/>
      <c r="AI1111" s="340"/>
      <c r="AJ1111" s="340"/>
      <c r="AK1111" s="340"/>
      <c r="AL1111" s="340"/>
      <c r="AM1111" s="340"/>
      <c r="AN1111" s="340"/>
    </row>
    <row r="1112" spans="20:40" x14ac:dyDescent="0.25">
      <c r="T1112" s="340"/>
      <c r="U1112" s="340"/>
      <c r="V1112" s="340"/>
      <c r="W1112" s="340"/>
      <c r="X1112" s="340"/>
      <c r="Y1112" s="340"/>
      <c r="Z1112" s="340"/>
      <c r="AA1112" s="340"/>
      <c r="AB1112" s="340"/>
      <c r="AC1112" s="340"/>
      <c r="AD1112" s="340"/>
      <c r="AE1112" s="340"/>
      <c r="AF1112" s="340"/>
      <c r="AG1112" s="340"/>
      <c r="AH1112" s="340"/>
      <c r="AI1112" s="340"/>
      <c r="AJ1112" s="340"/>
      <c r="AK1112" s="340"/>
      <c r="AL1112" s="340"/>
      <c r="AM1112" s="340"/>
      <c r="AN1112" s="340"/>
    </row>
    <row r="1113" spans="20:40" x14ac:dyDescent="0.25">
      <c r="T1113" s="340"/>
      <c r="U1113" s="340"/>
      <c r="V1113" s="340"/>
      <c r="W1113" s="340"/>
      <c r="X1113" s="340"/>
      <c r="Y1113" s="340"/>
      <c r="Z1113" s="340"/>
      <c r="AA1113" s="340"/>
      <c r="AB1113" s="340"/>
      <c r="AC1113" s="340"/>
      <c r="AD1113" s="340"/>
      <c r="AE1113" s="340"/>
      <c r="AF1113" s="340"/>
      <c r="AG1113" s="340"/>
      <c r="AH1113" s="340"/>
      <c r="AI1113" s="340"/>
      <c r="AJ1113" s="340"/>
      <c r="AK1113" s="340"/>
      <c r="AL1113" s="340"/>
      <c r="AM1113" s="340"/>
      <c r="AN1113" s="340"/>
    </row>
    <row r="1114" spans="20:40" x14ac:dyDescent="0.25">
      <c r="T1114" s="340"/>
      <c r="U1114" s="340"/>
      <c r="V1114" s="340"/>
      <c r="W1114" s="340"/>
      <c r="X1114" s="340"/>
      <c r="Y1114" s="340"/>
      <c r="Z1114" s="340"/>
      <c r="AA1114" s="340"/>
      <c r="AB1114" s="340"/>
      <c r="AC1114" s="340"/>
      <c r="AD1114" s="340"/>
      <c r="AE1114" s="340"/>
      <c r="AF1114" s="340"/>
      <c r="AG1114" s="340"/>
      <c r="AH1114" s="340"/>
      <c r="AI1114" s="340"/>
      <c r="AJ1114" s="340"/>
      <c r="AK1114" s="340"/>
      <c r="AL1114" s="340"/>
      <c r="AM1114" s="340"/>
      <c r="AN1114" s="340"/>
    </row>
    <row r="1115" spans="20:40" x14ac:dyDescent="0.25">
      <c r="T1115" s="340"/>
      <c r="U1115" s="340"/>
      <c r="V1115" s="340"/>
      <c r="W1115" s="340"/>
      <c r="X1115" s="340"/>
      <c r="Y1115" s="340"/>
      <c r="Z1115" s="340"/>
      <c r="AA1115" s="340"/>
      <c r="AB1115" s="340"/>
      <c r="AC1115" s="340"/>
      <c r="AD1115" s="340"/>
      <c r="AE1115" s="340"/>
      <c r="AF1115" s="340"/>
      <c r="AG1115" s="340"/>
      <c r="AH1115" s="340"/>
      <c r="AI1115" s="340"/>
      <c r="AJ1115" s="340"/>
      <c r="AK1115" s="340"/>
      <c r="AL1115" s="340"/>
      <c r="AM1115" s="340"/>
      <c r="AN1115" s="340"/>
    </row>
    <row r="1116" spans="20:40" x14ac:dyDescent="0.25">
      <c r="T1116" s="340"/>
      <c r="U1116" s="340"/>
      <c r="V1116" s="340"/>
      <c r="W1116" s="340"/>
      <c r="X1116" s="340"/>
      <c r="Y1116" s="340"/>
      <c r="Z1116" s="340"/>
      <c r="AA1116" s="340"/>
      <c r="AB1116" s="340"/>
      <c r="AC1116" s="340"/>
      <c r="AD1116" s="340"/>
      <c r="AE1116" s="340"/>
      <c r="AF1116" s="340"/>
      <c r="AG1116" s="340"/>
      <c r="AH1116" s="340"/>
      <c r="AI1116" s="340"/>
      <c r="AJ1116" s="340"/>
      <c r="AK1116" s="340"/>
      <c r="AL1116" s="340"/>
      <c r="AM1116" s="340"/>
      <c r="AN1116" s="340"/>
    </row>
    <row r="1117" spans="20:40" x14ac:dyDescent="0.25">
      <c r="T1117" s="340"/>
      <c r="U1117" s="340"/>
      <c r="V1117" s="340"/>
      <c r="W1117" s="340"/>
      <c r="X1117" s="340"/>
      <c r="Y1117" s="340"/>
      <c r="Z1117" s="340"/>
      <c r="AA1117" s="340"/>
      <c r="AB1117" s="340"/>
      <c r="AC1117" s="340"/>
      <c r="AD1117" s="340"/>
      <c r="AE1117" s="340"/>
      <c r="AF1117" s="340"/>
      <c r="AG1117" s="340"/>
      <c r="AH1117" s="340"/>
      <c r="AI1117" s="340"/>
      <c r="AJ1117" s="340"/>
      <c r="AK1117" s="340"/>
      <c r="AL1117" s="340"/>
      <c r="AM1117" s="340"/>
      <c r="AN1117" s="340"/>
    </row>
    <row r="1118" spans="20:40" x14ac:dyDescent="0.25">
      <c r="T1118" s="340"/>
      <c r="U1118" s="340"/>
      <c r="V1118" s="340"/>
      <c r="W1118" s="340"/>
      <c r="X1118" s="340"/>
      <c r="Y1118" s="340"/>
      <c r="Z1118" s="340"/>
      <c r="AA1118" s="340"/>
      <c r="AB1118" s="340"/>
      <c r="AC1118" s="340"/>
      <c r="AD1118" s="340"/>
      <c r="AE1118" s="340"/>
      <c r="AF1118" s="340"/>
      <c r="AG1118" s="340"/>
      <c r="AH1118" s="340"/>
      <c r="AI1118" s="340"/>
      <c r="AJ1118" s="340"/>
      <c r="AK1118" s="340"/>
      <c r="AL1118" s="340"/>
      <c r="AM1118" s="340"/>
      <c r="AN1118" s="340"/>
    </row>
    <row r="1119" spans="20:40" x14ac:dyDescent="0.25">
      <c r="T1119" s="340"/>
      <c r="U1119" s="340"/>
      <c r="V1119" s="340"/>
      <c r="W1119" s="340"/>
      <c r="X1119" s="340"/>
      <c r="Y1119" s="340"/>
      <c r="Z1119" s="340"/>
      <c r="AA1119" s="340"/>
      <c r="AB1119" s="340"/>
      <c r="AC1119" s="340"/>
      <c r="AD1119" s="340"/>
      <c r="AE1119" s="340"/>
      <c r="AF1119" s="340"/>
      <c r="AG1119" s="340"/>
      <c r="AH1119" s="340"/>
      <c r="AI1119" s="340"/>
      <c r="AJ1119" s="340"/>
      <c r="AK1119" s="340"/>
      <c r="AL1119" s="340"/>
      <c r="AM1119" s="340"/>
      <c r="AN1119" s="340"/>
    </row>
    <row r="1120" spans="20:40" x14ac:dyDescent="0.25">
      <c r="T1120" s="340"/>
      <c r="U1120" s="340"/>
      <c r="V1120" s="340"/>
      <c r="W1120" s="340"/>
      <c r="X1120" s="340"/>
      <c r="Y1120" s="340"/>
      <c r="Z1120" s="340"/>
      <c r="AA1120" s="340"/>
      <c r="AB1120" s="340"/>
      <c r="AC1120" s="340"/>
      <c r="AD1120" s="340"/>
      <c r="AE1120" s="340"/>
      <c r="AF1120" s="340"/>
      <c r="AG1120" s="340"/>
      <c r="AH1120" s="340"/>
      <c r="AI1120" s="340"/>
      <c r="AJ1120" s="340"/>
      <c r="AK1120" s="340"/>
      <c r="AL1120" s="340"/>
      <c r="AM1120" s="340"/>
      <c r="AN1120" s="340"/>
    </row>
    <row r="1121" spans="20:40" x14ac:dyDescent="0.25">
      <c r="T1121" s="340"/>
      <c r="U1121" s="340"/>
      <c r="V1121" s="340"/>
      <c r="W1121" s="340"/>
      <c r="X1121" s="340"/>
      <c r="Y1121" s="340"/>
      <c r="Z1121" s="340"/>
      <c r="AA1121" s="340"/>
      <c r="AB1121" s="340"/>
      <c r="AC1121" s="340"/>
      <c r="AD1121" s="340"/>
      <c r="AE1121" s="340"/>
      <c r="AF1121" s="340"/>
      <c r="AG1121" s="340"/>
      <c r="AH1121" s="340"/>
      <c r="AI1121" s="340"/>
      <c r="AJ1121" s="340"/>
      <c r="AK1121" s="340"/>
      <c r="AL1121" s="340"/>
      <c r="AM1121" s="340"/>
      <c r="AN1121" s="340"/>
    </row>
    <row r="1122" spans="20:40" x14ac:dyDescent="0.25">
      <c r="T1122" s="340"/>
      <c r="U1122" s="340"/>
      <c r="V1122" s="340"/>
      <c r="W1122" s="340"/>
      <c r="X1122" s="340"/>
      <c r="Y1122" s="340"/>
      <c r="Z1122" s="340"/>
      <c r="AA1122" s="340"/>
      <c r="AB1122" s="340"/>
      <c r="AC1122" s="340"/>
      <c r="AD1122" s="340"/>
      <c r="AE1122" s="340"/>
      <c r="AF1122" s="340"/>
      <c r="AG1122" s="340"/>
      <c r="AH1122" s="340"/>
      <c r="AI1122" s="340"/>
      <c r="AJ1122" s="340"/>
      <c r="AK1122" s="340"/>
      <c r="AL1122" s="340"/>
      <c r="AM1122" s="340"/>
      <c r="AN1122" s="340"/>
    </row>
    <row r="1123" spans="20:40" x14ac:dyDescent="0.25">
      <c r="T1123" s="340"/>
      <c r="U1123" s="340"/>
      <c r="V1123" s="340"/>
      <c r="W1123" s="340"/>
      <c r="X1123" s="340"/>
      <c r="Y1123" s="340"/>
      <c r="Z1123" s="340"/>
      <c r="AA1123" s="340"/>
      <c r="AB1123" s="340"/>
      <c r="AC1123" s="340"/>
      <c r="AD1123" s="340"/>
      <c r="AE1123" s="340"/>
      <c r="AF1123" s="340"/>
      <c r="AG1123" s="340"/>
      <c r="AH1123" s="340"/>
      <c r="AI1123" s="340"/>
      <c r="AJ1123" s="340"/>
      <c r="AK1123" s="340"/>
      <c r="AL1123" s="340"/>
      <c r="AM1123" s="340"/>
      <c r="AN1123" s="340"/>
    </row>
    <row r="1124" spans="20:40" x14ac:dyDescent="0.25">
      <c r="T1124" s="340"/>
      <c r="U1124" s="340"/>
      <c r="V1124" s="340"/>
      <c r="W1124" s="340"/>
      <c r="X1124" s="340"/>
      <c r="Y1124" s="340"/>
      <c r="Z1124" s="340"/>
      <c r="AA1124" s="340"/>
      <c r="AB1124" s="340"/>
      <c r="AC1124" s="340"/>
      <c r="AD1124" s="340"/>
      <c r="AE1124" s="340"/>
      <c r="AF1124" s="340"/>
      <c r="AG1124" s="340"/>
      <c r="AH1124" s="340"/>
      <c r="AI1124" s="340"/>
      <c r="AJ1124" s="340"/>
      <c r="AK1124" s="340"/>
      <c r="AL1124" s="340"/>
      <c r="AM1124" s="340"/>
      <c r="AN1124" s="340"/>
    </row>
    <row r="1125" spans="20:40" x14ac:dyDescent="0.25">
      <c r="T1125" s="340"/>
      <c r="U1125" s="340"/>
      <c r="V1125" s="340"/>
      <c r="W1125" s="340"/>
      <c r="X1125" s="340"/>
      <c r="Y1125" s="340"/>
      <c r="Z1125" s="340"/>
      <c r="AA1125" s="340"/>
      <c r="AB1125" s="340"/>
      <c r="AC1125" s="340"/>
      <c r="AD1125" s="340"/>
      <c r="AE1125" s="340"/>
      <c r="AF1125" s="340"/>
      <c r="AG1125" s="340"/>
      <c r="AH1125" s="340"/>
      <c r="AI1125" s="340"/>
      <c r="AJ1125" s="340"/>
      <c r="AK1125" s="340"/>
      <c r="AL1125" s="340"/>
      <c r="AM1125" s="340"/>
      <c r="AN1125" s="340"/>
    </row>
    <row r="1126" spans="20:40" x14ac:dyDescent="0.25">
      <c r="T1126" s="340"/>
      <c r="U1126" s="340"/>
      <c r="V1126" s="340"/>
      <c r="W1126" s="340"/>
      <c r="X1126" s="340"/>
      <c r="Y1126" s="340"/>
      <c r="Z1126" s="340"/>
      <c r="AA1126" s="340"/>
      <c r="AB1126" s="340"/>
      <c r="AC1126" s="340"/>
      <c r="AD1126" s="340"/>
      <c r="AE1126" s="340"/>
      <c r="AF1126" s="340"/>
      <c r="AG1126" s="340"/>
      <c r="AH1126" s="340"/>
      <c r="AI1126" s="340"/>
      <c r="AJ1126" s="340"/>
      <c r="AK1126" s="340"/>
      <c r="AL1126" s="340"/>
      <c r="AM1126" s="340"/>
      <c r="AN1126" s="340"/>
    </row>
    <row r="1127" spans="20:40" x14ac:dyDescent="0.25">
      <c r="T1127" s="340"/>
      <c r="U1127" s="340"/>
      <c r="V1127" s="340"/>
      <c r="W1127" s="340"/>
      <c r="X1127" s="340"/>
      <c r="Y1127" s="340"/>
      <c r="Z1127" s="340"/>
      <c r="AA1127" s="340"/>
      <c r="AB1127" s="340"/>
      <c r="AC1127" s="340"/>
      <c r="AD1127" s="340"/>
      <c r="AE1127" s="340"/>
      <c r="AF1127" s="340"/>
      <c r="AG1127" s="340"/>
      <c r="AH1127" s="340"/>
      <c r="AI1127" s="340"/>
      <c r="AJ1127" s="340"/>
      <c r="AK1127" s="340"/>
      <c r="AL1127" s="340"/>
      <c r="AM1127" s="340"/>
      <c r="AN1127" s="340"/>
    </row>
    <row r="1128" spans="20:40" x14ac:dyDescent="0.25">
      <c r="T1128" s="340"/>
      <c r="U1128" s="340"/>
      <c r="V1128" s="340"/>
      <c r="W1128" s="340"/>
      <c r="X1128" s="340"/>
      <c r="Y1128" s="340"/>
      <c r="Z1128" s="340"/>
      <c r="AA1128" s="340"/>
      <c r="AB1128" s="340"/>
      <c r="AC1128" s="340"/>
      <c r="AD1128" s="340"/>
      <c r="AE1128" s="340"/>
      <c r="AF1128" s="340"/>
      <c r="AG1128" s="340"/>
      <c r="AH1128" s="340"/>
      <c r="AI1128" s="340"/>
      <c r="AJ1128" s="340"/>
      <c r="AK1128" s="340"/>
      <c r="AL1128" s="340"/>
      <c r="AM1128" s="340"/>
      <c r="AN1128" s="340"/>
    </row>
    <row r="1129" spans="20:40" x14ac:dyDescent="0.25">
      <c r="T1129" s="340"/>
      <c r="U1129" s="340"/>
      <c r="V1129" s="340"/>
      <c r="W1129" s="340"/>
      <c r="X1129" s="340"/>
      <c r="Y1129" s="340"/>
      <c r="Z1129" s="340"/>
      <c r="AA1129" s="340"/>
      <c r="AB1129" s="340"/>
      <c r="AC1129" s="340"/>
      <c r="AD1129" s="340"/>
      <c r="AE1129" s="340"/>
      <c r="AF1129" s="340"/>
      <c r="AG1129" s="340"/>
      <c r="AH1129" s="340"/>
      <c r="AI1129" s="340"/>
      <c r="AJ1129" s="340"/>
      <c r="AK1129" s="340"/>
      <c r="AL1129" s="340"/>
      <c r="AM1129" s="340"/>
      <c r="AN1129" s="340"/>
    </row>
    <row r="1130" spans="20:40" x14ac:dyDescent="0.25">
      <c r="T1130" s="340"/>
      <c r="U1130" s="340"/>
      <c r="V1130" s="340"/>
      <c r="W1130" s="340"/>
      <c r="X1130" s="340"/>
      <c r="Y1130" s="340"/>
      <c r="Z1130" s="340"/>
      <c r="AA1130" s="340"/>
      <c r="AB1130" s="340"/>
      <c r="AC1130" s="340"/>
      <c r="AD1130" s="340"/>
      <c r="AE1130" s="340"/>
      <c r="AF1130" s="340"/>
      <c r="AG1130" s="340"/>
      <c r="AH1130" s="340"/>
      <c r="AI1130" s="340"/>
      <c r="AJ1130" s="340"/>
      <c r="AK1130" s="340"/>
      <c r="AL1130" s="340"/>
      <c r="AM1130" s="340"/>
      <c r="AN1130" s="340"/>
    </row>
    <row r="1131" spans="20:40" x14ac:dyDescent="0.25">
      <c r="T1131" s="340"/>
      <c r="U1131" s="340"/>
      <c r="V1131" s="340"/>
      <c r="W1131" s="340"/>
      <c r="X1131" s="340"/>
      <c r="Y1131" s="340"/>
      <c r="Z1131" s="340"/>
      <c r="AA1131" s="340"/>
      <c r="AB1131" s="340"/>
      <c r="AC1131" s="340"/>
      <c r="AD1131" s="340"/>
      <c r="AE1131" s="340"/>
      <c r="AF1131" s="340"/>
      <c r="AG1131" s="340"/>
      <c r="AH1131" s="340"/>
      <c r="AI1131" s="340"/>
      <c r="AJ1131" s="340"/>
      <c r="AK1131" s="340"/>
      <c r="AL1131" s="340"/>
      <c r="AM1131" s="340"/>
      <c r="AN1131" s="340"/>
    </row>
    <row r="1132" spans="20:40" x14ac:dyDescent="0.25">
      <c r="T1132" s="340"/>
      <c r="U1132" s="340"/>
      <c r="V1132" s="340"/>
      <c r="W1132" s="340"/>
      <c r="X1132" s="340"/>
      <c r="Y1132" s="340"/>
      <c r="Z1132" s="340"/>
      <c r="AA1132" s="340"/>
      <c r="AB1132" s="340"/>
      <c r="AC1132" s="340"/>
      <c r="AD1132" s="340"/>
      <c r="AE1132" s="340"/>
      <c r="AF1132" s="340"/>
      <c r="AG1132" s="340"/>
      <c r="AH1132" s="340"/>
      <c r="AI1132" s="340"/>
      <c r="AJ1132" s="340"/>
      <c r="AK1132" s="340"/>
      <c r="AL1132" s="340"/>
      <c r="AM1132" s="340"/>
      <c r="AN1132" s="340"/>
    </row>
    <row r="1133" spans="20:40" x14ac:dyDescent="0.25">
      <c r="T1133" s="340"/>
      <c r="U1133" s="340"/>
      <c r="V1133" s="340"/>
      <c r="W1133" s="340"/>
      <c r="X1133" s="340"/>
      <c r="Y1133" s="340"/>
      <c r="Z1133" s="340"/>
      <c r="AA1133" s="340"/>
      <c r="AB1133" s="340"/>
      <c r="AC1133" s="340"/>
      <c r="AD1133" s="340"/>
      <c r="AE1133" s="340"/>
      <c r="AF1133" s="340"/>
      <c r="AG1133" s="340"/>
      <c r="AH1133" s="340"/>
      <c r="AI1133" s="340"/>
      <c r="AJ1133" s="340"/>
      <c r="AK1133" s="340"/>
      <c r="AL1133" s="340"/>
      <c r="AM1133" s="340"/>
      <c r="AN1133" s="340"/>
    </row>
    <row r="1134" spans="20:40" x14ac:dyDescent="0.25">
      <c r="T1134" s="340"/>
      <c r="U1134" s="340"/>
      <c r="V1134" s="340"/>
      <c r="W1134" s="340"/>
      <c r="X1134" s="340"/>
      <c r="Y1134" s="340"/>
      <c r="Z1134" s="340"/>
      <c r="AA1134" s="340"/>
      <c r="AB1134" s="340"/>
      <c r="AC1134" s="340"/>
      <c r="AD1134" s="340"/>
      <c r="AE1134" s="340"/>
      <c r="AF1134" s="340"/>
      <c r="AG1134" s="340"/>
      <c r="AH1134" s="340"/>
      <c r="AI1134" s="340"/>
      <c r="AJ1134" s="340"/>
      <c r="AK1134" s="340"/>
      <c r="AL1134" s="340"/>
      <c r="AM1134" s="340"/>
      <c r="AN1134" s="340"/>
    </row>
    <row r="1135" spans="20:40" x14ac:dyDescent="0.25">
      <c r="T1135" s="340"/>
      <c r="U1135" s="340"/>
      <c r="V1135" s="340"/>
      <c r="W1135" s="340"/>
      <c r="X1135" s="340"/>
      <c r="Y1135" s="340"/>
      <c r="Z1135" s="340"/>
      <c r="AA1135" s="340"/>
      <c r="AB1135" s="340"/>
      <c r="AC1135" s="340"/>
      <c r="AD1135" s="340"/>
      <c r="AE1135" s="340"/>
      <c r="AF1135" s="340"/>
      <c r="AG1135" s="340"/>
      <c r="AH1135" s="340"/>
      <c r="AI1135" s="340"/>
      <c r="AJ1135" s="340"/>
      <c r="AK1135" s="340"/>
      <c r="AL1135" s="340"/>
      <c r="AM1135" s="340"/>
      <c r="AN1135" s="340"/>
    </row>
    <row r="1136" spans="20:40" x14ac:dyDescent="0.25">
      <c r="T1136" s="340"/>
      <c r="U1136" s="340"/>
      <c r="V1136" s="340"/>
      <c r="W1136" s="340"/>
      <c r="X1136" s="340"/>
      <c r="Y1136" s="340"/>
      <c r="Z1136" s="340"/>
      <c r="AA1136" s="340"/>
      <c r="AB1136" s="340"/>
      <c r="AC1136" s="340"/>
      <c r="AD1136" s="340"/>
      <c r="AE1136" s="340"/>
      <c r="AF1136" s="340"/>
      <c r="AG1136" s="340"/>
      <c r="AH1136" s="340"/>
      <c r="AI1136" s="340"/>
      <c r="AJ1136" s="340"/>
      <c r="AK1136" s="340"/>
      <c r="AL1136" s="340"/>
      <c r="AM1136" s="340"/>
      <c r="AN1136" s="340"/>
    </row>
    <row r="1137" spans="20:40" x14ac:dyDescent="0.25">
      <c r="T1137" s="340"/>
      <c r="U1137" s="340"/>
      <c r="V1137" s="340"/>
      <c r="W1137" s="340"/>
      <c r="X1137" s="340"/>
      <c r="Y1137" s="340"/>
      <c r="Z1137" s="340"/>
      <c r="AA1137" s="340"/>
      <c r="AB1137" s="340"/>
      <c r="AC1137" s="340"/>
      <c r="AD1137" s="340"/>
      <c r="AE1137" s="340"/>
      <c r="AF1137" s="340"/>
      <c r="AG1137" s="340"/>
      <c r="AH1137" s="340"/>
      <c r="AI1137" s="340"/>
      <c r="AJ1137" s="340"/>
      <c r="AK1137" s="340"/>
      <c r="AL1137" s="340"/>
      <c r="AM1137" s="340"/>
      <c r="AN1137" s="340"/>
    </row>
    <row r="1138" spans="20:40" x14ac:dyDescent="0.25">
      <c r="T1138" s="340"/>
      <c r="U1138" s="340"/>
      <c r="V1138" s="340"/>
      <c r="W1138" s="340"/>
      <c r="X1138" s="340"/>
      <c r="Y1138" s="340"/>
      <c r="Z1138" s="340"/>
      <c r="AA1138" s="340"/>
      <c r="AB1138" s="340"/>
      <c r="AC1138" s="340"/>
      <c r="AD1138" s="340"/>
      <c r="AE1138" s="340"/>
      <c r="AF1138" s="340"/>
      <c r="AG1138" s="340"/>
      <c r="AH1138" s="340"/>
      <c r="AI1138" s="340"/>
      <c r="AJ1138" s="340"/>
      <c r="AK1138" s="340"/>
      <c r="AL1138" s="340"/>
      <c r="AM1138" s="340"/>
      <c r="AN1138" s="340"/>
    </row>
    <row r="1139" spans="20:40" x14ac:dyDescent="0.25">
      <c r="T1139" s="340"/>
      <c r="U1139" s="340"/>
      <c r="V1139" s="340"/>
      <c r="W1139" s="340"/>
      <c r="X1139" s="340"/>
      <c r="Y1139" s="340"/>
      <c r="Z1139" s="340"/>
      <c r="AA1139" s="340"/>
      <c r="AB1139" s="340"/>
      <c r="AC1139" s="340"/>
      <c r="AD1139" s="340"/>
      <c r="AE1139" s="340"/>
      <c r="AF1139" s="340"/>
      <c r="AG1139" s="340"/>
      <c r="AH1139" s="340"/>
      <c r="AI1139" s="340"/>
      <c r="AJ1139" s="340"/>
      <c r="AK1139" s="340"/>
      <c r="AL1139" s="340"/>
      <c r="AM1139" s="340"/>
      <c r="AN1139" s="340"/>
    </row>
    <row r="1140" spans="20:40" x14ac:dyDescent="0.25">
      <c r="T1140" s="340"/>
      <c r="U1140" s="340"/>
      <c r="V1140" s="340"/>
      <c r="W1140" s="340"/>
      <c r="X1140" s="340"/>
      <c r="Y1140" s="340"/>
      <c r="Z1140" s="340"/>
      <c r="AA1140" s="340"/>
      <c r="AB1140" s="340"/>
      <c r="AC1140" s="340"/>
      <c r="AD1140" s="340"/>
      <c r="AE1140" s="340"/>
      <c r="AF1140" s="340"/>
      <c r="AG1140" s="340"/>
      <c r="AH1140" s="340"/>
      <c r="AI1140" s="340"/>
      <c r="AJ1140" s="340"/>
      <c r="AK1140" s="340"/>
      <c r="AL1140" s="340"/>
      <c r="AM1140" s="340"/>
      <c r="AN1140" s="340"/>
    </row>
    <row r="1141" spans="20:40" x14ac:dyDescent="0.25">
      <c r="T1141" s="340"/>
      <c r="U1141" s="340"/>
      <c r="V1141" s="340"/>
      <c r="W1141" s="340"/>
      <c r="X1141" s="340"/>
      <c r="Y1141" s="340"/>
      <c r="Z1141" s="340"/>
      <c r="AA1141" s="340"/>
      <c r="AB1141" s="340"/>
      <c r="AC1141" s="340"/>
      <c r="AD1141" s="340"/>
      <c r="AE1141" s="340"/>
      <c r="AF1141" s="340"/>
      <c r="AG1141" s="340"/>
      <c r="AH1141" s="340"/>
      <c r="AI1141" s="340"/>
      <c r="AJ1141" s="340"/>
      <c r="AK1141" s="340"/>
      <c r="AL1141" s="340"/>
      <c r="AM1141" s="340"/>
      <c r="AN1141" s="340"/>
    </row>
    <row r="1142" spans="20:40" x14ac:dyDescent="0.25">
      <c r="T1142" s="340"/>
      <c r="U1142" s="340"/>
      <c r="V1142" s="340"/>
      <c r="W1142" s="340"/>
      <c r="X1142" s="340"/>
      <c r="Y1142" s="340"/>
      <c r="Z1142" s="340"/>
      <c r="AA1142" s="340"/>
      <c r="AB1142" s="340"/>
      <c r="AC1142" s="340"/>
      <c r="AD1142" s="340"/>
      <c r="AE1142" s="340"/>
      <c r="AF1142" s="340"/>
      <c r="AG1142" s="340"/>
      <c r="AH1142" s="340"/>
      <c r="AI1142" s="340"/>
      <c r="AJ1142" s="340"/>
      <c r="AK1142" s="340"/>
      <c r="AL1142" s="340"/>
      <c r="AM1142" s="340"/>
      <c r="AN1142" s="340"/>
    </row>
    <row r="1143" spans="20:40" x14ac:dyDescent="0.25">
      <c r="T1143" s="340"/>
      <c r="U1143" s="340"/>
      <c r="V1143" s="340"/>
      <c r="W1143" s="340"/>
      <c r="X1143" s="340"/>
      <c r="Y1143" s="340"/>
      <c r="Z1143" s="340"/>
      <c r="AA1143" s="340"/>
      <c r="AB1143" s="340"/>
      <c r="AC1143" s="340"/>
      <c r="AD1143" s="340"/>
      <c r="AE1143" s="340"/>
      <c r="AF1143" s="340"/>
      <c r="AG1143" s="340"/>
      <c r="AH1143" s="340"/>
      <c r="AI1143" s="340"/>
      <c r="AJ1143" s="340"/>
      <c r="AK1143" s="340"/>
      <c r="AL1143" s="340"/>
      <c r="AM1143" s="340"/>
      <c r="AN1143" s="340"/>
    </row>
    <row r="1144" spans="20:40" x14ac:dyDescent="0.25">
      <c r="T1144" s="340"/>
      <c r="U1144" s="340"/>
      <c r="V1144" s="340"/>
      <c r="W1144" s="340"/>
      <c r="X1144" s="340"/>
      <c r="Y1144" s="340"/>
      <c r="Z1144" s="340"/>
      <c r="AA1144" s="340"/>
      <c r="AB1144" s="340"/>
      <c r="AC1144" s="340"/>
      <c r="AD1144" s="340"/>
      <c r="AE1144" s="340"/>
      <c r="AF1144" s="340"/>
      <c r="AG1144" s="340"/>
      <c r="AH1144" s="340"/>
      <c r="AI1144" s="340"/>
      <c r="AJ1144" s="340"/>
      <c r="AK1144" s="340"/>
      <c r="AL1144" s="340"/>
      <c r="AM1144" s="340"/>
      <c r="AN1144" s="340"/>
    </row>
    <row r="1145" spans="20:40" x14ac:dyDescent="0.25">
      <c r="T1145" s="340"/>
      <c r="U1145" s="340"/>
      <c r="V1145" s="340"/>
      <c r="W1145" s="340"/>
      <c r="X1145" s="340"/>
      <c r="Y1145" s="340"/>
      <c r="Z1145" s="340"/>
      <c r="AA1145" s="340"/>
      <c r="AB1145" s="340"/>
      <c r="AC1145" s="340"/>
      <c r="AD1145" s="340"/>
      <c r="AE1145" s="340"/>
      <c r="AF1145" s="340"/>
      <c r="AG1145" s="340"/>
      <c r="AH1145" s="340"/>
      <c r="AI1145" s="340"/>
      <c r="AJ1145" s="340"/>
      <c r="AK1145" s="340"/>
      <c r="AL1145" s="340"/>
      <c r="AM1145" s="340"/>
      <c r="AN1145" s="340"/>
    </row>
    <row r="1146" spans="20:40" x14ac:dyDescent="0.25">
      <c r="T1146" s="340"/>
      <c r="U1146" s="340"/>
      <c r="V1146" s="340"/>
      <c r="W1146" s="340"/>
      <c r="X1146" s="340"/>
      <c r="Y1146" s="340"/>
      <c r="Z1146" s="340"/>
      <c r="AA1146" s="340"/>
      <c r="AB1146" s="340"/>
      <c r="AC1146" s="340"/>
      <c r="AD1146" s="340"/>
      <c r="AE1146" s="340"/>
      <c r="AF1146" s="340"/>
      <c r="AG1146" s="340"/>
      <c r="AH1146" s="340"/>
      <c r="AI1146" s="340"/>
      <c r="AJ1146" s="340"/>
      <c r="AK1146" s="340"/>
      <c r="AL1146" s="340"/>
      <c r="AM1146" s="340"/>
      <c r="AN1146" s="340"/>
    </row>
    <row r="1147" spans="20:40" x14ac:dyDescent="0.25">
      <c r="T1147" s="340"/>
      <c r="U1147" s="340"/>
      <c r="V1147" s="340"/>
      <c r="W1147" s="340"/>
      <c r="X1147" s="340"/>
      <c r="Y1147" s="340"/>
      <c r="Z1147" s="340"/>
      <c r="AA1147" s="340"/>
      <c r="AB1147" s="340"/>
      <c r="AC1147" s="340"/>
      <c r="AD1147" s="340"/>
      <c r="AE1147" s="340"/>
      <c r="AF1147" s="340"/>
      <c r="AG1147" s="340"/>
      <c r="AH1147" s="340"/>
      <c r="AI1147" s="340"/>
      <c r="AJ1147" s="340"/>
      <c r="AK1147" s="340"/>
      <c r="AL1147" s="340"/>
      <c r="AM1147" s="340"/>
      <c r="AN1147" s="340"/>
    </row>
    <row r="1148" spans="20:40" x14ac:dyDescent="0.25">
      <c r="T1148" s="340"/>
      <c r="U1148" s="340"/>
      <c r="V1148" s="340"/>
      <c r="W1148" s="340"/>
      <c r="X1148" s="340"/>
      <c r="Y1148" s="340"/>
      <c r="Z1148" s="340"/>
      <c r="AA1148" s="340"/>
      <c r="AB1148" s="340"/>
      <c r="AC1148" s="340"/>
      <c r="AD1148" s="340"/>
      <c r="AE1148" s="340"/>
      <c r="AF1148" s="340"/>
      <c r="AG1148" s="340"/>
      <c r="AH1148" s="340"/>
      <c r="AI1148" s="340"/>
      <c r="AJ1148" s="340"/>
      <c r="AK1148" s="340"/>
      <c r="AL1148" s="340"/>
      <c r="AM1148" s="340"/>
      <c r="AN1148" s="340"/>
    </row>
    <row r="1149" spans="20:40" x14ac:dyDescent="0.25">
      <c r="T1149" s="340"/>
      <c r="U1149" s="340"/>
      <c r="V1149" s="340"/>
      <c r="W1149" s="340"/>
      <c r="X1149" s="340"/>
      <c r="Y1149" s="340"/>
      <c r="Z1149" s="340"/>
      <c r="AA1149" s="340"/>
      <c r="AB1149" s="340"/>
      <c r="AC1149" s="340"/>
      <c r="AD1149" s="340"/>
      <c r="AE1149" s="340"/>
      <c r="AF1149" s="340"/>
      <c r="AG1149" s="340"/>
      <c r="AH1149" s="340"/>
      <c r="AI1149" s="340"/>
      <c r="AJ1149" s="340"/>
      <c r="AK1149" s="340"/>
      <c r="AL1149" s="340"/>
      <c r="AM1149" s="340"/>
      <c r="AN1149" s="340"/>
    </row>
    <row r="1150" spans="20:40" x14ac:dyDescent="0.25">
      <c r="T1150" s="340"/>
      <c r="U1150" s="340"/>
      <c r="V1150" s="340"/>
      <c r="W1150" s="340"/>
      <c r="X1150" s="340"/>
      <c r="Y1150" s="340"/>
      <c r="Z1150" s="340"/>
      <c r="AA1150" s="340"/>
      <c r="AB1150" s="340"/>
      <c r="AC1150" s="340"/>
      <c r="AD1150" s="340"/>
      <c r="AE1150" s="340"/>
      <c r="AF1150" s="340"/>
      <c r="AG1150" s="340"/>
      <c r="AH1150" s="340"/>
      <c r="AI1150" s="340"/>
      <c r="AJ1150" s="340"/>
      <c r="AK1150" s="340"/>
      <c r="AL1150" s="340"/>
      <c r="AM1150" s="340"/>
      <c r="AN1150" s="340"/>
    </row>
    <row r="1151" spans="20:40" x14ac:dyDescent="0.25">
      <c r="T1151" s="340"/>
      <c r="U1151" s="340"/>
      <c r="V1151" s="340"/>
      <c r="W1151" s="340"/>
      <c r="X1151" s="340"/>
      <c r="Y1151" s="340"/>
      <c r="Z1151" s="340"/>
      <c r="AA1151" s="340"/>
      <c r="AB1151" s="340"/>
      <c r="AC1151" s="340"/>
      <c r="AD1151" s="340"/>
      <c r="AE1151" s="340"/>
      <c r="AF1151" s="340"/>
      <c r="AG1151" s="340"/>
      <c r="AH1151" s="340"/>
      <c r="AI1151" s="340"/>
      <c r="AJ1151" s="340"/>
      <c r="AK1151" s="340"/>
      <c r="AL1151" s="340"/>
      <c r="AM1151" s="340"/>
      <c r="AN1151" s="340"/>
    </row>
    <row r="1152" spans="20:40" x14ac:dyDescent="0.25">
      <c r="T1152" s="340"/>
      <c r="U1152" s="340"/>
      <c r="V1152" s="340"/>
      <c r="W1152" s="340"/>
      <c r="X1152" s="340"/>
      <c r="Y1152" s="340"/>
      <c r="Z1152" s="340"/>
      <c r="AA1152" s="340"/>
      <c r="AB1152" s="340"/>
      <c r="AC1152" s="340"/>
      <c r="AD1152" s="340"/>
      <c r="AE1152" s="340"/>
      <c r="AF1152" s="340"/>
      <c r="AG1152" s="340"/>
      <c r="AH1152" s="340"/>
      <c r="AI1152" s="340"/>
      <c r="AJ1152" s="340"/>
      <c r="AK1152" s="340"/>
      <c r="AL1152" s="340"/>
      <c r="AM1152" s="340"/>
      <c r="AN1152" s="340"/>
    </row>
    <row r="1153" spans="20:40" x14ac:dyDescent="0.25">
      <c r="T1153" s="340"/>
      <c r="U1153" s="340"/>
      <c r="V1153" s="340"/>
      <c r="W1153" s="340"/>
      <c r="X1153" s="340"/>
      <c r="Y1153" s="340"/>
      <c r="Z1153" s="340"/>
      <c r="AA1153" s="340"/>
      <c r="AB1153" s="340"/>
      <c r="AC1153" s="340"/>
      <c r="AD1153" s="340"/>
      <c r="AE1153" s="340"/>
      <c r="AF1153" s="340"/>
      <c r="AG1153" s="340"/>
      <c r="AH1153" s="340"/>
      <c r="AI1153" s="340"/>
      <c r="AJ1153" s="340"/>
      <c r="AK1153" s="340"/>
      <c r="AL1153" s="340"/>
      <c r="AM1153" s="340"/>
      <c r="AN1153" s="340"/>
    </row>
    <row r="1154" spans="20:40" x14ac:dyDescent="0.25">
      <c r="T1154" s="340"/>
      <c r="U1154" s="340"/>
      <c r="V1154" s="340"/>
      <c r="W1154" s="340"/>
      <c r="X1154" s="340"/>
      <c r="Y1154" s="340"/>
      <c r="Z1154" s="340"/>
      <c r="AA1154" s="340"/>
      <c r="AB1154" s="340"/>
      <c r="AC1154" s="340"/>
      <c r="AD1154" s="340"/>
      <c r="AE1154" s="340"/>
      <c r="AF1154" s="340"/>
      <c r="AG1154" s="340"/>
      <c r="AH1154" s="340"/>
      <c r="AI1154" s="340"/>
      <c r="AJ1154" s="340"/>
      <c r="AK1154" s="340"/>
      <c r="AL1154" s="340"/>
      <c r="AM1154" s="340"/>
      <c r="AN1154" s="340"/>
    </row>
    <row r="1155" spans="20:40" x14ac:dyDescent="0.25">
      <c r="T1155" s="340"/>
      <c r="U1155" s="340"/>
      <c r="V1155" s="340"/>
      <c r="W1155" s="340"/>
      <c r="X1155" s="340"/>
      <c r="Y1155" s="340"/>
      <c r="Z1155" s="340"/>
      <c r="AA1155" s="340"/>
      <c r="AB1155" s="340"/>
      <c r="AC1155" s="340"/>
      <c r="AD1155" s="340"/>
      <c r="AE1155" s="340"/>
      <c r="AF1155" s="340"/>
      <c r="AG1155" s="340"/>
      <c r="AH1155" s="340"/>
      <c r="AI1155" s="340"/>
      <c r="AJ1155" s="340"/>
      <c r="AK1155" s="340"/>
      <c r="AL1155" s="340"/>
      <c r="AM1155" s="340"/>
      <c r="AN1155" s="340"/>
    </row>
    <row r="1156" spans="20:40" x14ac:dyDescent="0.25">
      <c r="T1156" s="340"/>
      <c r="U1156" s="340"/>
      <c r="V1156" s="340"/>
      <c r="W1156" s="340"/>
      <c r="X1156" s="340"/>
      <c r="Y1156" s="340"/>
      <c r="Z1156" s="340"/>
      <c r="AA1156" s="340"/>
      <c r="AB1156" s="340"/>
      <c r="AC1156" s="340"/>
      <c r="AD1156" s="340"/>
      <c r="AE1156" s="340"/>
      <c r="AF1156" s="340"/>
      <c r="AG1156" s="340"/>
      <c r="AH1156" s="340"/>
      <c r="AI1156" s="340"/>
      <c r="AJ1156" s="340"/>
      <c r="AK1156" s="340"/>
      <c r="AL1156" s="340"/>
      <c r="AM1156" s="340"/>
      <c r="AN1156" s="340"/>
    </row>
    <row r="1157" spans="20:40" x14ac:dyDescent="0.25">
      <c r="T1157" s="340"/>
      <c r="U1157" s="340"/>
      <c r="V1157" s="340"/>
      <c r="W1157" s="340"/>
      <c r="X1157" s="340"/>
      <c r="Y1157" s="340"/>
      <c r="Z1157" s="340"/>
      <c r="AA1157" s="340"/>
      <c r="AB1157" s="340"/>
      <c r="AC1157" s="340"/>
      <c r="AD1157" s="340"/>
      <c r="AE1157" s="340"/>
      <c r="AF1157" s="340"/>
      <c r="AG1157" s="340"/>
      <c r="AH1157" s="340"/>
      <c r="AI1157" s="340"/>
      <c r="AJ1157" s="340"/>
      <c r="AK1157" s="340"/>
      <c r="AL1157" s="340"/>
      <c r="AM1157" s="340"/>
      <c r="AN1157" s="340"/>
    </row>
    <row r="1158" spans="20:40" x14ac:dyDescent="0.25">
      <c r="T1158" s="340"/>
      <c r="U1158" s="340"/>
      <c r="V1158" s="340"/>
      <c r="W1158" s="340"/>
      <c r="X1158" s="340"/>
      <c r="Y1158" s="340"/>
      <c r="Z1158" s="340"/>
      <c r="AA1158" s="340"/>
      <c r="AB1158" s="340"/>
      <c r="AC1158" s="340"/>
      <c r="AD1158" s="340"/>
      <c r="AE1158" s="340"/>
      <c r="AF1158" s="340"/>
      <c r="AG1158" s="340"/>
      <c r="AH1158" s="340"/>
      <c r="AI1158" s="340"/>
      <c r="AJ1158" s="340"/>
      <c r="AK1158" s="340"/>
      <c r="AL1158" s="340"/>
      <c r="AM1158" s="340"/>
      <c r="AN1158" s="340"/>
    </row>
    <row r="1159" spans="20:40" x14ac:dyDescent="0.25">
      <c r="T1159" s="340"/>
      <c r="U1159" s="340"/>
      <c r="V1159" s="340"/>
      <c r="W1159" s="340"/>
      <c r="X1159" s="340"/>
      <c r="Y1159" s="340"/>
      <c r="Z1159" s="340"/>
      <c r="AA1159" s="340"/>
      <c r="AB1159" s="340"/>
      <c r="AC1159" s="340"/>
      <c r="AD1159" s="340"/>
      <c r="AE1159" s="340"/>
      <c r="AF1159" s="340"/>
      <c r="AG1159" s="340"/>
      <c r="AH1159" s="340"/>
      <c r="AI1159" s="340"/>
      <c r="AJ1159" s="340"/>
      <c r="AK1159" s="340"/>
      <c r="AL1159" s="340"/>
      <c r="AM1159" s="340"/>
      <c r="AN1159" s="340"/>
    </row>
    <row r="1160" spans="20:40" x14ac:dyDescent="0.25">
      <c r="T1160" s="340"/>
      <c r="U1160" s="340"/>
      <c r="V1160" s="340"/>
      <c r="W1160" s="340"/>
      <c r="X1160" s="340"/>
      <c r="Y1160" s="340"/>
      <c r="Z1160" s="340"/>
      <c r="AA1160" s="340"/>
      <c r="AB1160" s="340"/>
      <c r="AC1160" s="340"/>
      <c r="AD1160" s="340"/>
      <c r="AE1160" s="340"/>
      <c r="AF1160" s="340"/>
      <c r="AG1160" s="340"/>
      <c r="AH1160" s="340"/>
      <c r="AI1160" s="340"/>
      <c r="AJ1160" s="340"/>
      <c r="AK1160" s="340"/>
      <c r="AL1160" s="340"/>
      <c r="AM1160" s="340"/>
      <c r="AN1160" s="340"/>
    </row>
    <row r="1161" spans="20:40" x14ac:dyDescent="0.25">
      <c r="T1161" s="340"/>
      <c r="U1161" s="340"/>
      <c r="V1161" s="340"/>
      <c r="W1161" s="340"/>
      <c r="X1161" s="340"/>
      <c r="Y1161" s="340"/>
      <c r="Z1161" s="340"/>
      <c r="AA1161" s="340"/>
      <c r="AB1161" s="340"/>
      <c r="AC1161" s="340"/>
      <c r="AD1161" s="340"/>
      <c r="AE1161" s="340"/>
      <c r="AF1161" s="340"/>
      <c r="AG1161" s="340"/>
      <c r="AH1161" s="340"/>
      <c r="AI1161" s="340"/>
      <c r="AJ1161" s="340"/>
      <c r="AK1161" s="340"/>
      <c r="AL1161" s="340"/>
      <c r="AM1161" s="340"/>
      <c r="AN1161" s="340"/>
    </row>
    <row r="1162" spans="20:40" x14ac:dyDescent="0.25">
      <c r="T1162" s="340"/>
      <c r="U1162" s="340"/>
      <c r="V1162" s="340"/>
      <c r="W1162" s="340"/>
      <c r="X1162" s="340"/>
      <c r="Y1162" s="340"/>
      <c r="Z1162" s="340"/>
      <c r="AA1162" s="340"/>
      <c r="AB1162" s="340"/>
      <c r="AC1162" s="340"/>
      <c r="AD1162" s="340"/>
      <c r="AE1162" s="340"/>
      <c r="AF1162" s="340"/>
      <c r="AG1162" s="340"/>
      <c r="AH1162" s="340"/>
      <c r="AI1162" s="340"/>
      <c r="AJ1162" s="340"/>
      <c r="AK1162" s="340"/>
      <c r="AL1162" s="340"/>
      <c r="AM1162" s="340"/>
      <c r="AN1162" s="340"/>
    </row>
    <row r="1163" spans="20:40" x14ac:dyDescent="0.25">
      <c r="T1163" s="340"/>
      <c r="U1163" s="340"/>
      <c r="V1163" s="340"/>
      <c r="W1163" s="340"/>
      <c r="X1163" s="340"/>
      <c r="Y1163" s="340"/>
      <c r="Z1163" s="340"/>
      <c r="AA1163" s="340"/>
      <c r="AB1163" s="340"/>
      <c r="AC1163" s="340"/>
      <c r="AD1163" s="340"/>
      <c r="AE1163" s="340"/>
      <c r="AF1163" s="340"/>
      <c r="AG1163" s="340"/>
      <c r="AH1163" s="340"/>
      <c r="AI1163" s="340"/>
      <c r="AJ1163" s="340"/>
      <c r="AK1163" s="340"/>
      <c r="AL1163" s="340"/>
      <c r="AM1163" s="340"/>
      <c r="AN1163" s="340"/>
    </row>
    <row r="1164" spans="20:40" x14ac:dyDescent="0.25">
      <c r="T1164" s="340"/>
      <c r="U1164" s="340"/>
      <c r="V1164" s="340"/>
      <c r="W1164" s="340"/>
      <c r="X1164" s="340"/>
      <c r="Y1164" s="340"/>
      <c r="Z1164" s="340"/>
      <c r="AA1164" s="340"/>
      <c r="AB1164" s="340"/>
      <c r="AC1164" s="340"/>
      <c r="AD1164" s="340"/>
      <c r="AE1164" s="340"/>
      <c r="AF1164" s="340"/>
      <c r="AG1164" s="340"/>
      <c r="AH1164" s="340"/>
      <c r="AI1164" s="340"/>
      <c r="AJ1164" s="340"/>
      <c r="AK1164" s="340"/>
      <c r="AL1164" s="340"/>
      <c r="AM1164" s="340"/>
      <c r="AN1164" s="340"/>
    </row>
    <row r="1165" spans="20:40" x14ac:dyDescent="0.25">
      <c r="T1165" s="340"/>
      <c r="U1165" s="340"/>
      <c r="V1165" s="340"/>
      <c r="W1165" s="340"/>
      <c r="X1165" s="340"/>
      <c r="Y1165" s="340"/>
      <c r="Z1165" s="340"/>
      <c r="AA1165" s="340"/>
      <c r="AB1165" s="340"/>
      <c r="AC1165" s="340"/>
      <c r="AD1165" s="340"/>
      <c r="AE1165" s="340"/>
      <c r="AF1165" s="340"/>
      <c r="AG1165" s="340"/>
      <c r="AH1165" s="340"/>
      <c r="AI1165" s="340"/>
      <c r="AJ1165" s="340"/>
      <c r="AK1165" s="340"/>
      <c r="AL1165" s="340"/>
      <c r="AM1165" s="340"/>
      <c r="AN1165" s="340"/>
    </row>
    <row r="1166" spans="20:40" x14ac:dyDescent="0.25">
      <c r="T1166" s="340"/>
      <c r="U1166" s="340"/>
      <c r="V1166" s="340"/>
      <c r="W1166" s="340"/>
      <c r="X1166" s="340"/>
      <c r="Y1166" s="340"/>
      <c r="Z1166" s="340"/>
      <c r="AA1166" s="340"/>
      <c r="AB1166" s="340"/>
      <c r="AC1166" s="340"/>
      <c r="AD1166" s="340"/>
      <c r="AE1166" s="340"/>
      <c r="AF1166" s="340"/>
      <c r="AG1166" s="340"/>
      <c r="AH1166" s="340"/>
      <c r="AI1166" s="340"/>
      <c r="AJ1166" s="340"/>
      <c r="AK1166" s="340"/>
      <c r="AL1166" s="340"/>
      <c r="AM1166" s="340"/>
      <c r="AN1166" s="340"/>
    </row>
    <row r="1167" spans="20:40" x14ac:dyDescent="0.25">
      <c r="T1167" s="340"/>
      <c r="U1167" s="340"/>
      <c r="V1167" s="340"/>
      <c r="W1167" s="340"/>
      <c r="X1167" s="340"/>
      <c r="Y1167" s="340"/>
      <c r="Z1167" s="340"/>
      <c r="AA1167" s="340"/>
      <c r="AB1167" s="340"/>
      <c r="AC1167" s="340"/>
      <c r="AD1167" s="340"/>
      <c r="AE1167" s="340"/>
      <c r="AF1167" s="340"/>
      <c r="AG1167" s="340"/>
      <c r="AH1167" s="340"/>
      <c r="AI1167" s="340"/>
      <c r="AJ1167" s="340"/>
      <c r="AK1167" s="340"/>
      <c r="AL1167" s="340"/>
      <c r="AM1167" s="340"/>
      <c r="AN1167" s="340"/>
    </row>
    <row r="1168" spans="20:40" x14ac:dyDescent="0.25">
      <c r="T1168" s="340"/>
      <c r="U1168" s="340"/>
      <c r="V1168" s="340"/>
      <c r="W1168" s="340"/>
      <c r="X1168" s="340"/>
      <c r="Y1168" s="340"/>
      <c r="Z1168" s="340"/>
      <c r="AA1168" s="340"/>
      <c r="AB1168" s="340"/>
      <c r="AC1168" s="340"/>
      <c r="AD1168" s="340"/>
      <c r="AE1168" s="340"/>
      <c r="AF1168" s="340"/>
      <c r="AG1168" s="340"/>
      <c r="AH1168" s="340"/>
      <c r="AI1168" s="340"/>
      <c r="AJ1168" s="340"/>
      <c r="AK1168" s="340"/>
      <c r="AL1168" s="340"/>
      <c r="AM1168" s="340"/>
      <c r="AN1168" s="340"/>
    </row>
    <row r="1169" spans="20:40" x14ac:dyDescent="0.25">
      <c r="T1169" s="340"/>
      <c r="U1169" s="340"/>
      <c r="V1169" s="340"/>
      <c r="W1169" s="340"/>
      <c r="X1169" s="340"/>
      <c r="Y1169" s="340"/>
      <c r="Z1169" s="340"/>
      <c r="AA1169" s="340"/>
      <c r="AB1169" s="340"/>
      <c r="AC1169" s="340"/>
      <c r="AD1169" s="340"/>
      <c r="AE1169" s="340"/>
      <c r="AF1169" s="340"/>
      <c r="AG1169" s="340"/>
      <c r="AH1169" s="340"/>
      <c r="AI1169" s="340"/>
      <c r="AJ1169" s="340"/>
      <c r="AK1169" s="340"/>
      <c r="AL1169" s="340"/>
      <c r="AM1169" s="340"/>
      <c r="AN1169" s="340"/>
    </row>
    <row r="1170" spans="20:40" x14ac:dyDescent="0.25">
      <c r="T1170" s="340"/>
      <c r="U1170" s="340"/>
      <c r="V1170" s="340"/>
      <c r="W1170" s="340"/>
      <c r="X1170" s="340"/>
      <c r="Y1170" s="340"/>
      <c r="Z1170" s="340"/>
      <c r="AA1170" s="340"/>
      <c r="AB1170" s="340"/>
      <c r="AC1170" s="340"/>
      <c r="AD1170" s="340"/>
      <c r="AE1170" s="340"/>
      <c r="AF1170" s="340"/>
      <c r="AG1170" s="340"/>
      <c r="AH1170" s="340"/>
      <c r="AI1170" s="340"/>
      <c r="AJ1170" s="340"/>
      <c r="AK1170" s="340"/>
      <c r="AL1170" s="340"/>
      <c r="AM1170" s="340"/>
      <c r="AN1170" s="340"/>
    </row>
    <row r="1171" spans="20:40" x14ac:dyDescent="0.25">
      <c r="T1171" s="340"/>
      <c r="U1171" s="340"/>
      <c r="V1171" s="340"/>
      <c r="W1171" s="340"/>
      <c r="X1171" s="340"/>
      <c r="Y1171" s="340"/>
      <c r="Z1171" s="340"/>
      <c r="AA1171" s="340"/>
      <c r="AB1171" s="340"/>
      <c r="AC1171" s="340"/>
      <c r="AD1171" s="340"/>
      <c r="AE1171" s="340"/>
      <c r="AF1171" s="340"/>
      <c r="AG1171" s="340"/>
      <c r="AH1171" s="340"/>
      <c r="AI1171" s="340"/>
      <c r="AJ1171" s="340"/>
      <c r="AK1171" s="340"/>
      <c r="AL1171" s="340"/>
      <c r="AM1171" s="340"/>
      <c r="AN1171" s="340"/>
    </row>
    <row r="1172" spans="20:40" x14ac:dyDescent="0.25">
      <c r="T1172" s="340"/>
      <c r="U1172" s="340"/>
      <c r="V1172" s="340"/>
      <c r="W1172" s="340"/>
      <c r="X1172" s="340"/>
      <c r="Y1172" s="340"/>
      <c r="Z1172" s="340"/>
      <c r="AA1172" s="340"/>
      <c r="AB1172" s="340"/>
      <c r="AC1172" s="340"/>
      <c r="AD1172" s="340"/>
      <c r="AE1172" s="340"/>
      <c r="AF1172" s="340"/>
      <c r="AG1172" s="340"/>
      <c r="AH1172" s="340"/>
      <c r="AI1172" s="340"/>
      <c r="AJ1172" s="340"/>
      <c r="AK1172" s="340"/>
      <c r="AL1172" s="340"/>
      <c r="AM1172" s="340"/>
      <c r="AN1172" s="340"/>
    </row>
    <row r="1173" spans="20:40" x14ac:dyDescent="0.25">
      <c r="T1173" s="340"/>
      <c r="U1173" s="340"/>
      <c r="V1173" s="340"/>
      <c r="W1173" s="340"/>
      <c r="X1173" s="340"/>
      <c r="Y1173" s="340"/>
      <c r="Z1173" s="340"/>
      <c r="AA1173" s="340"/>
      <c r="AB1173" s="340"/>
      <c r="AC1173" s="340"/>
      <c r="AD1173" s="340"/>
      <c r="AE1173" s="340"/>
      <c r="AF1173" s="340"/>
      <c r="AG1173" s="340"/>
      <c r="AH1173" s="340"/>
      <c r="AI1173" s="340"/>
      <c r="AJ1173" s="340"/>
      <c r="AK1173" s="340"/>
      <c r="AL1173" s="340"/>
      <c r="AM1173" s="340"/>
      <c r="AN1173" s="340"/>
    </row>
    <row r="1174" spans="20:40" x14ac:dyDescent="0.25">
      <c r="T1174" s="340"/>
      <c r="U1174" s="340"/>
      <c r="V1174" s="340"/>
      <c r="W1174" s="340"/>
      <c r="X1174" s="340"/>
      <c r="Y1174" s="340"/>
      <c r="Z1174" s="340"/>
      <c r="AA1174" s="340"/>
      <c r="AB1174" s="340"/>
      <c r="AC1174" s="340"/>
      <c r="AD1174" s="340"/>
      <c r="AE1174" s="340"/>
      <c r="AF1174" s="340"/>
      <c r="AG1174" s="340"/>
      <c r="AH1174" s="340"/>
      <c r="AI1174" s="340"/>
      <c r="AJ1174" s="340"/>
      <c r="AK1174" s="340"/>
      <c r="AL1174" s="340"/>
      <c r="AM1174" s="340"/>
      <c r="AN1174" s="340"/>
    </row>
    <row r="1175" spans="20:40" x14ac:dyDescent="0.25">
      <c r="T1175" s="340"/>
      <c r="U1175" s="340"/>
      <c r="V1175" s="340"/>
      <c r="W1175" s="340"/>
      <c r="X1175" s="340"/>
      <c r="Y1175" s="340"/>
      <c r="Z1175" s="340"/>
      <c r="AA1175" s="340"/>
      <c r="AB1175" s="340"/>
      <c r="AC1175" s="340"/>
      <c r="AD1175" s="340"/>
      <c r="AE1175" s="340"/>
      <c r="AF1175" s="340"/>
      <c r="AG1175" s="340"/>
      <c r="AH1175" s="340"/>
      <c r="AI1175" s="340"/>
      <c r="AJ1175" s="340"/>
      <c r="AK1175" s="340"/>
      <c r="AL1175" s="340"/>
      <c r="AM1175" s="340"/>
      <c r="AN1175" s="340"/>
    </row>
    <row r="1176" spans="20:40" x14ac:dyDescent="0.25">
      <c r="T1176" s="340"/>
      <c r="U1176" s="340"/>
      <c r="V1176" s="340"/>
      <c r="W1176" s="340"/>
      <c r="X1176" s="340"/>
      <c r="Y1176" s="340"/>
      <c r="Z1176" s="340"/>
      <c r="AA1176" s="340"/>
      <c r="AB1176" s="340"/>
      <c r="AC1176" s="340"/>
      <c r="AD1176" s="340"/>
      <c r="AE1176" s="340"/>
      <c r="AF1176" s="340"/>
      <c r="AG1176" s="340"/>
      <c r="AH1176" s="340"/>
      <c r="AI1176" s="340"/>
      <c r="AJ1176" s="340"/>
      <c r="AK1176" s="340"/>
      <c r="AL1176" s="340"/>
      <c r="AM1176" s="340"/>
      <c r="AN1176" s="340"/>
    </row>
    <row r="1177" spans="20:40" x14ac:dyDescent="0.25">
      <c r="T1177" s="340"/>
      <c r="U1177" s="340"/>
      <c r="V1177" s="340"/>
      <c r="W1177" s="340"/>
      <c r="X1177" s="340"/>
      <c r="Y1177" s="340"/>
      <c r="Z1177" s="340"/>
      <c r="AA1177" s="340"/>
      <c r="AB1177" s="340"/>
      <c r="AC1177" s="340"/>
      <c r="AD1177" s="340"/>
      <c r="AE1177" s="340"/>
      <c r="AF1177" s="340"/>
      <c r="AG1177" s="340"/>
      <c r="AH1177" s="340"/>
      <c r="AI1177" s="340"/>
      <c r="AJ1177" s="340"/>
      <c r="AK1177" s="340"/>
      <c r="AL1177" s="340"/>
      <c r="AM1177" s="340"/>
      <c r="AN1177" s="340"/>
    </row>
    <row r="1178" spans="20:40" x14ac:dyDescent="0.25">
      <c r="T1178" s="340"/>
      <c r="U1178" s="340"/>
      <c r="V1178" s="340"/>
      <c r="W1178" s="340"/>
      <c r="X1178" s="340"/>
      <c r="Y1178" s="340"/>
      <c r="Z1178" s="340"/>
      <c r="AA1178" s="340"/>
      <c r="AB1178" s="340"/>
      <c r="AC1178" s="340"/>
      <c r="AD1178" s="340"/>
      <c r="AE1178" s="340"/>
      <c r="AF1178" s="340"/>
      <c r="AG1178" s="340"/>
      <c r="AH1178" s="340"/>
      <c r="AI1178" s="340"/>
      <c r="AJ1178" s="340"/>
      <c r="AK1178" s="340"/>
      <c r="AL1178" s="340"/>
      <c r="AM1178" s="340"/>
      <c r="AN1178" s="340"/>
    </row>
    <row r="1179" spans="20:40" x14ac:dyDescent="0.25">
      <c r="T1179" s="340"/>
      <c r="U1179" s="340"/>
      <c r="V1179" s="340"/>
      <c r="W1179" s="340"/>
      <c r="X1179" s="340"/>
      <c r="Y1179" s="340"/>
      <c r="Z1179" s="340"/>
      <c r="AA1179" s="340"/>
      <c r="AB1179" s="340"/>
      <c r="AC1179" s="340"/>
      <c r="AD1179" s="340"/>
      <c r="AE1179" s="340"/>
      <c r="AF1179" s="340"/>
      <c r="AG1179" s="340"/>
      <c r="AH1179" s="340"/>
      <c r="AI1179" s="340"/>
      <c r="AJ1179" s="340"/>
      <c r="AK1179" s="340"/>
      <c r="AL1179" s="340"/>
      <c r="AM1179" s="340"/>
      <c r="AN1179" s="340"/>
    </row>
    <row r="1180" spans="20:40" x14ac:dyDescent="0.25">
      <c r="T1180" s="340"/>
      <c r="U1180" s="340"/>
      <c r="V1180" s="340"/>
      <c r="W1180" s="340"/>
      <c r="X1180" s="340"/>
      <c r="Y1180" s="340"/>
      <c r="Z1180" s="340"/>
      <c r="AA1180" s="340"/>
      <c r="AB1180" s="340"/>
      <c r="AC1180" s="340"/>
      <c r="AD1180" s="340"/>
      <c r="AE1180" s="340"/>
      <c r="AF1180" s="340"/>
      <c r="AG1180" s="340"/>
      <c r="AH1180" s="340"/>
      <c r="AI1180" s="340"/>
      <c r="AJ1180" s="340"/>
      <c r="AK1180" s="340"/>
      <c r="AL1180" s="340"/>
      <c r="AM1180" s="340"/>
      <c r="AN1180" s="340"/>
    </row>
    <row r="1181" spans="20:40" x14ac:dyDescent="0.25">
      <c r="T1181" s="340"/>
      <c r="U1181" s="340"/>
      <c r="V1181" s="340"/>
      <c r="W1181" s="340"/>
      <c r="X1181" s="340"/>
      <c r="Y1181" s="340"/>
      <c r="Z1181" s="340"/>
      <c r="AA1181" s="340"/>
      <c r="AB1181" s="340"/>
      <c r="AC1181" s="340"/>
      <c r="AD1181" s="340"/>
      <c r="AE1181" s="340"/>
      <c r="AF1181" s="340"/>
      <c r="AG1181" s="340"/>
      <c r="AH1181" s="340"/>
      <c r="AI1181" s="340"/>
      <c r="AJ1181" s="340"/>
      <c r="AK1181" s="340"/>
      <c r="AL1181" s="340"/>
      <c r="AM1181" s="340"/>
      <c r="AN1181" s="340"/>
    </row>
    <row r="1182" spans="20:40" x14ac:dyDescent="0.25">
      <c r="T1182" s="340"/>
      <c r="U1182" s="340"/>
      <c r="V1182" s="340"/>
      <c r="W1182" s="340"/>
      <c r="X1182" s="340"/>
      <c r="Y1182" s="340"/>
      <c r="Z1182" s="340"/>
      <c r="AA1182" s="340"/>
      <c r="AB1182" s="340"/>
      <c r="AC1182" s="340"/>
      <c r="AD1182" s="340"/>
      <c r="AE1182" s="340"/>
      <c r="AF1182" s="340"/>
      <c r="AG1182" s="340"/>
      <c r="AH1182" s="340"/>
      <c r="AI1182" s="340"/>
      <c r="AJ1182" s="340"/>
      <c r="AK1182" s="340"/>
      <c r="AL1182" s="340"/>
      <c r="AM1182" s="340"/>
      <c r="AN1182" s="340"/>
    </row>
    <row r="1183" spans="20:40" x14ac:dyDescent="0.25">
      <c r="T1183" s="340"/>
      <c r="U1183" s="340"/>
      <c r="V1183" s="340"/>
      <c r="W1183" s="340"/>
      <c r="X1183" s="340"/>
      <c r="Y1183" s="340"/>
      <c r="Z1183" s="340"/>
      <c r="AA1183" s="340"/>
      <c r="AB1183" s="340"/>
      <c r="AC1183" s="340"/>
      <c r="AD1183" s="340"/>
      <c r="AE1183" s="340"/>
      <c r="AF1183" s="340"/>
      <c r="AG1183" s="340"/>
      <c r="AH1183" s="340"/>
      <c r="AI1183" s="340"/>
      <c r="AJ1183" s="340"/>
      <c r="AK1183" s="340"/>
      <c r="AL1183" s="340"/>
      <c r="AM1183" s="340"/>
      <c r="AN1183" s="340"/>
    </row>
    <row r="1184" spans="20:40" x14ac:dyDescent="0.25">
      <c r="T1184" s="340"/>
      <c r="U1184" s="340"/>
      <c r="V1184" s="340"/>
      <c r="W1184" s="340"/>
      <c r="X1184" s="340"/>
      <c r="Y1184" s="340"/>
      <c r="Z1184" s="340"/>
      <c r="AA1184" s="340"/>
      <c r="AB1184" s="340"/>
      <c r="AC1184" s="340"/>
      <c r="AD1184" s="340"/>
      <c r="AE1184" s="340"/>
      <c r="AF1184" s="340"/>
      <c r="AG1184" s="340"/>
      <c r="AH1184" s="340"/>
      <c r="AI1184" s="340"/>
      <c r="AJ1184" s="340"/>
      <c r="AK1184" s="340"/>
      <c r="AL1184" s="340"/>
      <c r="AM1184" s="340"/>
      <c r="AN1184" s="340"/>
    </row>
    <row r="1185" spans="20:40" x14ac:dyDescent="0.25">
      <c r="T1185" s="340"/>
      <c r="U1185" s="340"/>
      <c r="V1185" s="340"/>
      <c r="W1185" s="340"/>
      <c r="X1185" s="340"/>
      <c r="Y1185" s="340"/>
      <c r="Z1185" s="340"/>
      <c r="AA1185" s="340"/>
      <c r="AB1185" s="340"/>
      <c r="AC1185" s="340"/>
      <c r="AD1185" s="340"/>
      <c r="AE1185" s="340"/>
      <c r="AF1185" s="340"/>
      <c r="AG1185" s="340"/>
      <c r="AH1185" s="340"/>
      <c r="AI1185" s="340"/>
      <c r="AJ1185" s="340"/>
      <c r="AK1185" s="340"/>
      <c r="AL1185" s="340"/>
      <c r="AM1185" s="340"/>
      <c r="AN1185" s="340"/>
    </row>
    <row r="1186" spans="20:40" x14ac:dyDescent="0.25">
      <c r="T1186" s="340"/>
      <c r="U1186" s="340"/>
      <c r="V1186" s="340"/>
      <c r="W1186" s="340"/>
      <c r="X1186" s="340"/>
      <c r="Y1186" s="340"/>
      <c r="Z1186" s="340"/>
      <c r="AA1186" s="340"/>
      <c r="AB1186" s="340"/>
      <c r="AC1186" s="340"/>
      <c r="AD1186" s="340"/>
      <c r="AE1186" s="340"/>
      <c r="AF1186" s="340"/>
      <c r="AG1186" s="340"/>
      <c r="AH1186" s="340"/>
      <c r="AI1186" s="340"/>
      <c r="AJ1186" s="340"/>
      <c r="AK1186" s="340"/>
      <c r="AL1186" s="340"/>
      <c r="AM1186" s="340"/>
      <c r="AN1186" s="340"/>
    </row>
    <row r="1187" spans="20:40" x14ac:dyDescent="0.25">
      <c r="T1187" s="340"/>
      <c r="U1187" s="340"/>
      <c r="V1187" s="340"/>
      <c r="W1187" s="340"/>
      <c r="X1187" s="340"/>
      <c r="Y1187" s="340"/>
      <c r="Z1187" s="340"/>
      <c r="AA1187" s="340"/>
      <c r="AB1187" s="340"/>
      <c r="AC1187" s="340"/>
      <c r="AD1187" s="340"/>
      <c r="AE1187" s="340"/>
      <c r="AF1187" s="340"/>
      <c r="AG1187" s="340"/>
      <c r="AH1187" s="340"/>
      <c r="AI1187" s="340"/>
      <c r="AJ1187" s="340"/>
      <c r="AK1187" s="340"/>
      <c r="AL1187" s="340"/>
      <c r="AM1187" s="340"/>
      <c r="AN1187" s="340"/>
    </row>
    <row r="1188" spans="20:40" x14ac:dyDescent="0.25">
      <c r="T1188" s="340"/>
      <c r="U1188" s="340"/>
      <c r="V1188" s="340"/>
      <c r="W1188" s="340"/>
      <c r="X1188" s="340"/>
      <c r="Y1188" s="340"/>
      <c r="Z1188" s="340"/>
      <c r="AA1188" s="340"/>
      <c r="AB1188" s="340"/>
      <c r="AC1188" s="340"/>
      <c r="AD1188" s="340"/>
      <c r="AE1188" s="340"/>
      <c r="AF1188" s="340"/>
      <c r="AG1188" s="340"/>
      <c r="AH1188" s="340"/>
      <c r="AI1188" s="340"/>
      <c r="AJ1188" s="340"/>
      <c r="AK1188" s="340"/>
      <c r="AL1188" s="340"/>
      <c r="AM1188" s="340"/>
      <c r="AN1188" s="340"/>
    </row>
    <row r="1189" spans="20:40" x14ac:dyDescent="0.25">
      <c r="T1189" s="340"/>
      <c r="U1189" s="340"/>
      <c r="V1189" s="340"/>
      <c r="W1189" s="340"/>
      <c r="X1189" s="340"/>
      <c r="Y1189" s="340"/>
      <c r="Z1189" s="340"/>
      <c r="AA1189" s="340"/>
      <c r="AB1189" s="340"/>
      <c r="AC1189" s="340"/>
      <c r="AD1189" s="340"/>
      <c r="AE1189" s="340"/>
      <c r="AF1189" s="340"/>
      <c r="AG1189" s="340"/>
      <c r="AH1189" s="340"/>
      <c r="AI1189" s="340"/>
      <c r="AJ1189" s="340"/>
      <c r="AK1189" s="340"/>
      <c r="AL1189" s="340"/>
      <c r="AM1189" s="340"/>
      <c r="AN1189" s="340"/>
    </row>
    <row r="1190" spans="20:40" x14ac:dyDescent="0.25">
      <c r="T1190" s="340"/>
      <c r="U1190" s="340"/>
      <c r="V1190" s="340"/>
      <c r="W1190" s="340"/>
      <c r="X1190" s="340"/>
      <c r="Y1190" s="340"/>
      <c r="Z1190" s="340"/>
      <c r="AA1190" s="340"/>
      <c r="AB1190" s="340"/>
      <c r="AC1190" s="340"/>
      <c r="AD1190" s="340"/>
      <c r="AE1190" s="340"/>
      <c r="AF1190" s="340"/>
      <c r="AG1190" s="340"/>
      <c r="AH1190" s="340"/>
      <c r="AI1190" s="340"/>
      <c r="AJ1190" s="340"/>
      <c r="AK1190" s="340"/>
      <c r="AL1190" s="340"/>
      <c r="AM1190" s="340"/>
      <c r="AN1190" s="340"/>
    </row>
    <row r="1191" spans="20:40" x14ac:dyDescent="0.25">
      <c r="T1191" s="340"/>
      <c r="U1191" s="340"/>
      <c r="V1191" s="340"/>
      <c r="W1191" s="340"/>
      <c r="X1191" s="340"/>
      <c r="Y1191" s="340"/>
      <c r="Z1191" s="340"/>
      <c r="AA1191" s="340"/>
      <c r="AB1191" s="340"/>
      <c r="AC1191" s="340"/>
      <c r="AD1191" s="340"/>
      <c r="AE1191" s="340"/>
      <c r="AF1191" s="340"/>
      <c r="AG1191" s="340"/>
      <c r="AH1191" s="340"/>
      <c r="AI1191" s="340"/>
      <c r="AJ1191" s="340"/>
      <c r="AK1191" s="340"/>
      <c r="AL1191" s="340"/>
      <c r="AM1191" s="340"/>
      <c r="AN1191" s="340"/>
    </row>
    <row r="1192" spans="20:40" x14ac:dyDescent="0.25">
      <c r="T1192" s="340"/>
      <c r="U1192" s="340"/>
      <c r="V1192" s="340"/>
      <c r="W1192" s="340"/>
      <c r="X1192" s="340"/>
      <c r="Y1192" s="340"/>
      <c r="Z1192" s="340"/>
      <c r="AA1192" s="340"/>
      <c r="AB1192" s="340"/>
      <c r="AC1192" s="340"/>
      <c r="AD1192" s="340"/>
      <c r="AE1192" s="340"/>
      <c r="AF1192" s="340"/>
      <c r="AG1192" s="340"/>
      <c r="AH1192" s="340"/>
      <c r="AI1192" s="340"/>
      <c r="AJ1192" s="340"/>
      <c r="AK1192" s="340"/>
      <c r="AL1192" s="340"/>
      <c r="AM1192" s="340"/>
      <c r="AN1192" s="340"/>
    </row>
    <row r="1193" spans="20:40" x14ac:dyDescent="0.25">
      <c r="T1193" s="340"/>
      <c r="U1193" s="340"/>
      <c r="V1193" s="340"/>
      <c r="W1193" s="340"/>
      <c r="X1193" s="340"/>
      <c r="Y1193" s="340"/>
      <c r="Z1193" s="340"/>
      <c r="AA1193" s="340"/>
      <c r="AB1193" s="340"/>
      <c r="AC1193" s="340"/>
      <c r="AD1193" s="340"/>
      <c r="AE1193" s="340"/>
      <c r="AF1193" s="340"/>
      <c r="AG1193" s="340"/>
      <c r="AH1193" s="340"/>
      <c r="AI1193" s="340"/>
      <c r="AJ1193" s="340"/>
      <c r="AK1193" s="340"/>
      <c r="AL1193" s="340"/>
      <c r="AM1193" s="340"/>
      <c r="AN1193" s="340"/>
    </row>
    <row r="1194" spans="20:40" x14ac:dyDescent="0.25">
      <c r="T1194" s="340"/>
      <c r="U1194" s="340"/>
      <c r="V1194" s="340"/>
      <c r="W1194" s="340"/>
      <c r="X1194" s="340"/>
      <c r="Y1194" s="340"/>
      <c r="Z1194" s="340"/>
      <c r="AA1194" s="340"/>
      <c r="AB1194" s="340"/>
      <c r="AC1194" s="340"/>
      <c r="AD1194" s="340"/>
      <c r="AE1194" s="340"/>
      <c r="AF1194" s="340"/>
      <c r="AG1194" s="340"/>
      <c r="AH1194" s="340"/>
      <c r="AI1194" s="340"/>
      <c r="AJ1194" s="340"/>
      <c r="AK1194" s="340"/>
      <c r="AL1194" s="340"/>
      <c r="AM1194" s="340"/>
      <c r="AN1194" s="340"/>
    </row>
    <row r="1195" spans="20:40" x14ac:dyDescent="0.25">
      <c r="T1195" s="340"/>
      <c r="U1195" s="340"/>
      <c r="V1195" s="340"/>
      <c r="W1195" s="340"/>
      <c r="X1195" s="340"/>
      <c r="Y1195" s="340"/>
      <c r="Z1195" s="340"/>
      <c r="AA1195" s="340"/>
      <c r="AB1195" s="340"/>
      <c r="AC1195" s="340"/>
      <c r="AD1195" s="340"/>
      <c r="AE1195" s="340"/>
      <c r="AF1195" s="340"/>
      <c r="AG1195" s="340"/>
      <c r="AH1195" s="340"/>
      <c r="AI1195" s="340"/>
      <c r="AJ1195" s="340"/>
      <c r="AK1195" s="340"/>
      <c r="AL1195" s="340"/>
      <c r="AM1195" s="340"/>
      <c r="AN1195" s="340"/>
    </row>
    <row r="1196" spans="20:40" x14ac:dyDescent="0.25">
      <c r="T1196" s="340"/>
      <c r="U1196" s="340"/>
      <c r="V1196" s="340"/>
      <c r="W1196" s="340"/>
      <c r="X1196" s="340"/>
      <c r="Y1196" s="340"/>
      <c r="Z1196" s="340"/>
      <c r="AA1196" s="340"/>
      <c r="AB1196" s="340"/>
      <c r="AC1196" s="340"/>
      <c r="AD1196" s="340"/>
      <c r="AE1196" s="340"/>
      <c r="AF1196" s="340"/>
      <c r="AG1196" s="340"/>
      <c r="AH1196" s="340"/>
      <c r="AI1196" s="340"/>
      <c r="AJ1196" s="340"/>
      <c r="AK1196" s="340"/>
      <c r="AL1196" s="340"/>
      <c r="AM1196" s="340"/>
      <c r="AN1196" s="340"/>
    </row>
    <row r="1197" spans="20:40" x14ac:dyDescent="0.25">
      <c r="T1197" s="340"/>
      <c r="U1197" s="340"/>
      <c r="V1197" s="340"/>
      <c r="W1197" s="340"/>
      <c r="X1197" s="340"/>
      <c r="Y1197" s="340"/>
      <c r="Z1197" s="340"/>
      <c r="AA1197" s="340"/>
      <c r="AB1197" s="340"/>
      <c r="AC1197" s="340"/>
      <c r="AD1197" s="340"/>
      <c r="AE1197" s="340"/>
      <c r="AF1197" s="340"/>
      <c r="AG1197" s="340"/>
      <c r="AH1197" s="340"/>
      <c r="AI1197" s="340"/>
      <c r="AJ1197" s="340"/>
      <c r="AK1197" s="340"/>
      <c r="AL1197" s="340"/>
      <c r="AM1197" s="340"/>
      <c r="AN1197" s="340"/>
    </row>
    <row r="1198" spans="20:40" x14ac:dyDescent="0.25">
      <c r="T1198" s="340"/>
      <c r="U1198" s="340"/>
      <c r="V1198" s="340"/>
      <c r="W1198" s="340"/>
      <c r="X1198" s="340"/>
      <c r="Y1198" s="340"/>
      <c r="Z1198" s="340"/>
      <c r="AA1198" s="340"/>
      <c r="AB1198" s="340"/>
      <c r="AC1198" s="340"/>
      <c r="AD1198" s="340"/>
      <c r="AE1198" s="340"/>
      <c r="AF1198" s="340"/>
      <c r="AG1198" s="340"/>
      <c r="AH1198" s="340"/>
      <c r="AI1198" s="340"/>
      <c r="AJ1198" s="340"/>
      <c r="AK1198" s="340"/>
      <c r="AL1198" s="340"/>
      <c r="AM1198" s="340"/>
      <c r="AN1198" s="340"/>
    </row>
    <row r="1199" spans="20:40" x14ac:dyDescent="0.25">
      <c r="T1199" s="340"/>
      <c r="U1199" s="340"/>
      <c r="V1199" s="340"/>
      <c r="W1199" s="340"/>
      <c r="X1199" s="340"/>
      <c r="Y1199" s="340"/>
      <c r="Z1199" s="340"/>
      <c r="AA1199" s="340"/>
      <c r="AB1199" s="340"/>
      <c r="AC1199" s="340"/>
      <c r="AD1199" s="340"/>
      <c r="AE1199" s="340"/>
      <c r="AF1199" s="340"/>
      <c r="AG1199" s="340"/>
      <c r="AH1199" s="340"/>
      <c r="AI1199" s="340"/>
      <c r="AJ1199" s="340"/>
      <c r="AK1199" s="340"/>
      <c r="AL1199" s="340"/>
      <c r="AM1199" s="340"/>
      <c r="AN1199" s="340"/>
    </row>
    <row r="1200" spans="20:40" x14ac:dyDescent="0.25">
      <c r="T1200" s="340"/>
      <c r="U1200" s="340"/>
      <c r="V1200" s="340"/>
      <c r="W1200" s="340"/>
      <c r="X1200" s="340"/>
      <c r="Y1200" s="340"/>
      <c r="Z1200" s="340"/>
      <c r="AA1200" s="340"/>
      <c r="AB1200" s="340"/>
      <c r="AC1200" s="340"/>
      <c r="AD1200" s="340"/>
      <c r="AE1200" s="340"/>
      <c r="AF1200" s="340"/>
      <c r="AG1200" s="340"/>
      <c r="AH1200" s="340"/>
      <c r="AI1200" s="340"/>
      <c r="AJ1200" s="340"/>
      <c r="AK1200" s="340"/>
      <c r="AL1200" s="340"/>
      <c r="AM1200" s="340"/>
      <c r="AN1200" s="340"/>
    </row>
    <row r="1201" spans="20:40" x14ac:dyDescent="0.25">
      <c r="T1201" s="340"/>
      <c r="U1201" s="340"/>
      <c r="V1201" s="340"/>
      <c r="W1201" s="340"/>
      <c r="X1201" s="340"/>
      <c r="Y1201" s="340"/>
      <c r="Z1201" s="340"/>
      <c r="AA1201" s="340"/>
      <c r="AB1201" s="340"/>
      <c r="AC1201" s="340"/>
      <c r="AD1201" s="340"/>
      <c r="AE1201" s="340"/>
      <c r="AF1201" s="340"/>
      <c r="AG1201" s="340"/>
      <c r="AH1201" s="340"/>
      <c r="AI1201" s="340"/>
      <c r="AJ1201" s="340"/>
      <c r="AK1201" s="340"/>
      <c r="AL1201" s="340"/>
      <c r="AM1201" s="340"/>
      <c r="AN1201" s="340"/>
    </row>
    <row r="1202" spans="20:40" x14ac:dyDescent="0.25">
      <c r="T1202" s="340"/>
      <c r="U1202" s="340"/>
      <c r="V1202" s="340"/>
      <c r="W1202" s="340"/>
      <c r="X1202" s="340"/>
      <c r="Y1202" s="340"/>
      <c r="Z1202" s="340"/>
      <c r="AA1202" s="340"/>
      <c r="AB1202" s="340"/>
      <c r="AC1202" s="340"/>
      <c r="AD1202" s="340"/>
      <c r="AE1202" s="340"/>
      <c r="AF1202" s="340"/>
      <c r="AG1202" s="340"/>
      <c r="AH1202" s="340"/>
      <c r="AI1202" s="340"/>
      <c r="AJ1202" s="340"/>
      <c r="AK1202" s="340"/>
      <c r="AL1202" s="340"/>
      <c r="AM1202" s="340"/>
      <c r="AN1202" s="340"/>
    </row>
    <row r="1203" spans="20:40" x14ac:dyDescent="0.25">
      <c r="T1203" s="340"/>
      <c r="U1203" s="340"/>
      <c r="V1203" s="340"/>
      <c r="W1203" s="340"/>
      <c r="X1203" s="340"/>
      <c r="Y1203" s="340"/>
      <c r="Z1203" s="340"/>
      <c r="AA1203" s="340"/>
      <c r="AB1203" s="340"/>
      <c r="AC1203" s="340"/>
      <c r="AD1203" s="340"/>
      <c r="AE1203" s="340"/>
      <c r="AF1203" s="340"/>
      <c r="AG1203" s="340"/>
      <c r="AH1203" s="340"/>
      <c r="AI1203" s="340"/>
      <c r="AJ1203" s="340"/>
      <c r="AK1203" s="340"/>
      <c r="AL1203" s="340"/>
      <c r="AM1203" s="340"/>
      <c r="AN1203" s="340"/>
    </row>
    <row r="1204" spans="20:40" x14ac:dyDescent="0.25">
      <c r="T1204" s="340"/>
      <c r="U1204" s="340"/>
      <c r="V1204" s="340"/>
      <c r="W1204" s="340"/>
      <c r="X1204" s="340"/>
      <c r="Y1204" s="340"/>
      <c r="Z1204" s="340"/>
      <c r="AA1204" s="340"/>
      <c r="AB1204" s="340"/>
      <c r="AC1204" s="340"/>
      <c r="AD1204" s="340"/>
      <c r="AE1204" s="340"/>
      <c r="AF1204" s="340"/>
      <c r="AG1204" s="340"/>
      <c r="AH1204" s="340"/>
      <c r="AI1204" s="340"/>
      <c r="AJ1204" s="340"/>
      <c r="AK1204" s="340"/>
      <c r="AL1204" s="340"/>
      <c r="AM1204" s="340"/>
      <c r="AN1204" s="340"/>
    </row>
    <row r="1205" spans="20:40" x14ac:dyDescent="0.25">
      <c r="T1205" s="340"/>
      <c r="U1205" s="340"/>
      <c r="V1205" s="340"/>
      <c r="W1205" s="340"/>
      <c r="X1205" s="340"/>
      <c r="Y1205" s="340"/>
      <c r="Z1205" s="340"/>
      <c r="AA1205" s="340"/>
      <c r="AB1205" s="340"/>
      <c r="AC1205" s="340"/>
      <c r="AD1205" s="340"/>
      <c r="AE1205" s="340"/>
      <c r="AF1205" s="340"/>
      <c r="AG1205" s="340"/>
      <c r="AH1205" s="340"/>
      <c r="AI1205" s="340"/>
      <c r="AJ1205" s="340"/>
      <c r="AK1205" s="340"/>
      <c r="AL1205" s="340"/>
      <c r="AM1205" s="340"/>
      <c r="AN1205" s="340"/>
    </row>
    <row r="1206" spans="20:40" x14ac:dyDescent="0.25">
      <c r="T1206" s="340"/>
      <c r="U1206" s="340"/>
      <c r="V1206" s="340"/>
      <c r="W1206" s="340"/>
      <c r="X1206" s="340"/>
      <c r="Y1206" s="340"/>
      <c r="Z1206" s="340"/>
      <c r="AA1206" s="340"/>
      <c r="AB1206" s="340"/>
      <c r="AC1206" s="340"/>
      <c r="AD1206" s="340"/>
      <c r="AE1206" s="340"/>
      <c r="AF1206" s="340"/>
      <c r="AG1206" s="340"/>
      <c r="AH1206" s="340"/>
      <c r="AI1206" s="340"/>
      <c r="AJ1206" s="340"/>
      <c r="AK1206" s="340"/>
      <c r="AL1206" s="340"/>
      <c r="AM1206" s="340"/>
      <c r="AN1206" s="340"/>
    </row>
    <row r="1207" spans="20:40" x14ac:dyDescent="0.25">
      <c r="T1207" s="340"/>
      <c r="U1207" s="340"/>
      <c r="V1207" s="340"/>
      <c r="W1207" s="340"/>
      <c r="X1207" s="340"/>
      <c r="Y1207" s="340"/>
      <c r="Z1207" s="340"/>
      <c r="AA1207" s="340"/>
      <c r="AB1207" s="340"/>
      <c r="AC1207" s="340"/>
      <c r="AD1207" s="340"/>
      <c r="AE1207" s="340"/>
      <c r="AF1207" s="340"/>
      <c r="AG1207" s="340"/>
      <c r="AH1207" s="340"/>
      <c r="AI1207" s="340"/>
      <c r="AJ1207" s="340"/>
      <c r="AK1207" s="340"/>
      <c r="AL1207" s="340"/>
      <c r="AM1207" s="340"/>
      <c r="AN1207" s="340"/>
    </row>
    <row r="1208" spans="20:40" x14ac:dyDescent="0.25">
      <c r="T1208" s="340"/>
      <c r="U1208" s="340"/>
      <c r="V1208" s="340"/>
      <c r="W1208" s="340"/>
      <c r="X1208" s="340"/>
      <c r="Y1208" s="340"/>
      <c r="Z1208" s="340"/>
      <c r="AA1208" s="340"/>
      <c r="AB1208" s="340"/>
      <c r="AC1208" s="340"/>
      <c r="AD1208" s="340"/>
      <c r="AE1208" s="340"/>
      <c r="AF1208" s="340"/>
      <c r="AG1208" s="340"/>
      <c r="AH1208" s="340"/>
      <c r="AI1208" s="340"/>
      <c r="AJ1208" s="340"/>
      <c r="AK1208" s="340"/>
      <c r="AL1208" s="340"/>
      <c r="AM1208" s="340"/>
      <c r="AN1208" s="340"/>
    </row>
    <row r="1209" spans="20:40" x14ac:dyDescent="0.25">
      <c r="T1209" s="340"/>
      <c r="U1209" s="340"/>
      <c r="V1209" s="340"/>
      <c r="W1209" s="340"/>
      <c r="X1209" s="340"/>
      <c r="Y1209" s="340"/>
      <c r="Z1209" s="340"/>
      <c r="AA1209" s="340"/>
      <c r="AB1209" s="340"/>
      <c r="AC1209" s="340"/>
      <c r="AD1209" s="340"/>
      <c r="AE1209" s="340"/>
      <c r="AF1209" s="340"/>
      <c r="AG1209" s="340"/>
      <c r="AH1209" s="340"/>
      <c r="AI1209" s="340"/>
      <c r="AJ1209" s="340"/>
      <c r="AK1209" s="340"/>
      <c r="AL1209" s="340"/>
      <c r="AM1209" s="340"/>
      <c r="AN1209" s="340"/>
    </row>
    <row r="1210" spans="20:40" x14ac:dyDescent="0.25">
      <c r="T1210" s="340"/>
      <c r="U1210" s="340"/>
      <c r="V1210" s="340"/>
      <c r="W1210" s="340"/>
      <c r="X1210" s="340"/>
      <c r="Y1210" s="340"/>
      <c r="Z1210" s="340"/>
      <c r="AA1210" s="340"/>
      <c r="AB1210" s="340"/>
      <c r="AC1210" s="340"/>
      <c r="AD1210" s="340"/>
      <c r="AE1210" s="340"/>
      <c r="AF1210" s="340"/>
      <c r="AG1210" s="340"/>
      <c r="AH1210" s="340"/>
      <c r="AI1210" s="340"/>
      <c r="AJ1210" s="340"/>
      <c r="AK1210" s="340"/>
      <c r="AL1210" s="340"/>
      <c r="AM1210" s="340"/>
      <c r="AN1210" s="340"/>
    </row>
    <row r="1211" spans="20:40" x14ac:dyDescent="0.25">
      <c r="T1211" s="340"/>
      <c r="U1211" s="340"/>
      <c r="V1211" s="340"/>
      <c r="W1211" s="340"/>
      <c r="X1211" s="340"/>
      <c r="Y1211" s="340"/>
      <c r="Z1211" s="340"/>
      <c r="AA1211" s="340"/>
      <c r="AB1211" s="340"/>
      <c r="AC1211" s="340"/>
      <c r="AD1211" s="340"/>
      <c r="AE1211" s="340"/>
      <c r="AF1211" s="340"/>
      <c r="AG1211" s="340"/>
      <c r="AH1211" s="340"/>
      <c r="AI1211" s="340"/>
      <c r="AJ1211" s="340"/>
      <c r="AK1211" s="340"/>
      <c r="AL1211" s="340"/>
      <c r="AM1211" s="340"/>
      <c r="AN1211" s="340"/>
    </row>
    <row r="1212" spans="20:40" x14ac:dyDescent="0.25">
      <c r="T1212" s="340"/>
      <c r="U1212" s="340"/>
      <c r="V1212" s="340"/>
      <c r="W1212" s="340"/>
      <c r="X1212" s="340"/>
      <c r="Y1212" s="340"/>
      <c r="Z1212" s="340"/>
      <c r="AA1212" s="340"/>
      <c r="AB1212" s="340"/>
      <c r="AC1212" s="340"/>
      <c r="AD1212" s="340"/>
      <c r="AE1212" s="340"/>
      <c r="AF1212" s="340"/>
      <c r="AG1212" s="340"/>
      <c r="AH1212" s="340"/>
      <c r="AI1212" s="340"/>
      <c r="AJ1212" s="340"/>
      <c r="AK1212" s="340"/>
      <c r="AL1212" s="340"/>
      <c r="AM1212" s="340"/>
      <c r="AN1212" s="340"/>
    </row>
    <row r="1213" spans="20:40" x14ac:dyDescent="0.25">
      <c r="T1213" s="340"/>
      <c r="U1213" s="340"/>
      <c r="V1213" s="340"/>
      <c r="W1213" s="340"/>
      <c r="X1213" s="340"/>
      <c r="Y1213" s="340"/>
      <c r="Z1213" s="340"/>
      <c r="AA1213" s="340"/>
      <c r="AB1213" s="340"/>
      <c r="AC1213" s="340"/>
      <c r="AD1213" s="340"/>
      <c r="AE1213" s="340"/>
      <c r="AF1213" s="340"/>
      <c r="AG1213" s="340"/>
      <c r="AH1213" s="340"/>
      <c r="AI1213" s="340"/>
      <c r="AJ1213" s="340"/>
      <c r="AK1213" s="340"/>
      <c r="AL1213" s="340"/>
      <c r="AM1213" s="340"/>
      <c r="AN1213" s="340"/>
    </row>
    <row r="1214" spans="20:40" x14ac:dyDescent="0.25">
      <c r="T1214" s="340"/>
      <c r="U1214" s="340"/>
      <c r="V1214" s="340"/>
      <c r="W1214" s="340"/>
      <c r="X1214" s="340"/>
      <c r="Y1214" s="340"/>
      <c r="Z1214" s="340"/>
      <c r="AA1214" s="340"/>
      <c r="AB1214" s="340"/>
      <c r="AC1214" s="340"/>
      <c r="AD1214" s="340"/>
      <c r="AE1214" s="340"/>
      <c r="AF1214" s="340"/>
      <c r="AG1214" s="340"/>
      <c r="AH1214" s="340"/>
      <c r="AI1214" s="340"/>
      <c r="AJ1214" s="340"/>
      <c r="AK1214" s="340"/>
      <c r="AL1214" s="340"/>
      <c r="AM1214" s="340"/>
      <c r="AN1214" s="340"/>
    </row>
    <row r="1215" spans="20:40" x14ac:dyDescent="0.25">
      <c r="T1215" s="340"/>
      <c r="U1215" s="340"/>
      <c r="V1215" s="340"/>
      <c r="W1215" s="340"/>
      <c r="X1215" s="340"/>
      <c r="Y1215" s="340"/>
      <c r="Z1215" s="340"/>
      <c r="AA1215" s="340"/>
      <c r="AB1215" s="340"/>
      <c r="AC1215" s="340"/>
      <c r="AD1215" s="340"/>
      <c r="AE1215" s="340"/>
      <c r="AF1215" s="340"/>
      <c r="AG1215" s="340"/>
      <c r="AH1215" s="340"/>
      <c r="AI1215" s="340"/>
      <c r="AJ1215" s="340"/>
      <c r="AK1215" s="340"/>
      <c r="AL1215" s="340"/>
      <c r="AM1215" s="340"/>
      <c r="AN1215" s="340"/>
    </row>
    <row r="1216" spans="20:40" x14ac:dyDescent="0.25">
      <c r="T1216" s="340"/>
      <c r="U1216" s="340"/>
      <c r="V1216" s="340"/>
      <c r="W1216" s="340"/>
      <c r="X1216" s="340"/>
      <c r="Y1216" s="340"/>
      <c r="Z1216" s="340"/>
      <c r="AA1216" s="340"/>
      <c r="AB1216" s="340"/>
      <c r="AC1216" s="340"/>
      <c r="AD1216" s="340"/>
      <c r="AE1216" s="340"/>
      <c r="AF1216" s="340"/>
      <c r="AG1216" s="340"/>
      <c r="AH1216" s="340"/>
      <c r="AI1216" s="340"/>
      <c r="AJ1216" s="340"/>
      <c r="AK1216" s="340"/>
      <c r="AL1216" s="340"/>
      <c r="AM1216" s="340"/>
      <c r="AN1216" s="340"/>
    </row>
    <row r="1217" spans="20:40" x14ac:dyDescent="0.25">
      <c r="T1217" s="340"/>
      <c r="U1217" s="340"/>
      <c r="V1217" s="340"/>
      <c r="W1217" s="340"/>
      <c r="X1217" s="340"/>
      <c r="Y1217" s="340"/>
      <c r="Z1217" s="340"/>
      <c r="AA1217" s="340"/>
      <c r="AB1217" s="340"/>
      <c r="AC1217" s="340"/>
      <c r="AD1217" s="340"/>
      <c r="AE1217" s="340"/>
      <c r="AF1217" s="340"/>
      <c r="AG1217" s="340"/>
      <c r="AH1217" s="340"/>
      <c r="AI1217" s="340"/>
      <c r="AJ1217" s="340"/>
      <c r="AK1217" s="340"/>
      <c r="AL1217" s="340"/>
      <c r="AM1217" s="340"/>
      <c r="AN1217" s="340"/>
    </row>
    <row r="1218" spans="20:40" x14ac:dyDescent="0.25">
      <c r="T1218" s="340"/>
      <c r="U1218" s="340"/>
      <c r="V1218" s="340"/>
      <c r="W1218" s="340"/>
      <c r="X1218" s="340"/>
      <c r="Y1218" s="340"/>
      <c r="Z1218" s="340"/>
      <c r="AA1218" s="340"/>
      <c r="AB1218" s="340"/>
      <c r="AC1218" s="340"/>
      <c r="AD1218" s="340"/>
      <c r="AE1218" s="340"/>
      <c r="AF1218" s="340"/>
      <c r="AG1218" s="340"/>
      <c r="AH1218" s="340"/>
      <c r="AI1218" s="340"/>
      <c r="AJ1218" s="340"/>
      <c r="AK1218" s="340"/>
      <c r="AL1218" s="340"/>
      <c r="AM1218" s="340"/>
      <c r="AN1218" s="340"/>
    </row>
    <row r="1219" spans="20:40" x14ac:dyDescent="0.25">
      <c r="T1219" s="340"/>
      <c r="U1219" s="340"/>
      <c r="V1219" s="340"/>
      <c r="W1219" s="340"/>
      <c r="X1219" s="340"/>
      <c r="Y1219" s="340"/>
      <c r="Z1219" s="340"/>
      <c r="AA1219" s="340"/>
      <c r="AB1219" s="340"/>
      <c r="AC1219" s="340"/>
      <c r="AD1219" s="340"/>
      <c r="AE1219" s="340"/>
      <c r="AF1219" s="340"/>
      <c r="AG1219" s="340"/>
      <c r="AH1219" s="340"/>
      <c r="AI1219" s="340"/>
      <c r="AJ1219" s="340"/>
      <c r="AK1219" s="340"/>
      <c r="AL1219" s="340"/>
      <c r="AM1219" s="340"/>
      <c r="AN1219" s="340"/>
    </row>
    <row r="1220" spans="20:40" x14ac:dyDescent="0.25">
      <c r="T1220" s="340"/>
      <c r="U1220" s="340"/>
      <c r="V1220" s="340"/>
      <c r="W1220" s="340"/>
      <c r="X1220" s="340"/>
      <c r="Y1220" s="340"/>
      <c r="Z1220" s="340"/>
      <c r="AA1220" s="340"/>
      <c r="AB1220" s="340"/>
      <c r="AC1220" s="340"/>
      <c r="AD1220" s="340"/>
      <c r="AE1220" s="340"/>
      <c r="AF1220" s="340"/>
      <c r="AG1220" s="340"/>
      <c r="AH1220" s="340"/>
      <c r="AI1220" s="340"/>
      <c r="AJ1220" s="340"/>
      <c r="AK1220" s="340"/>
      <c r="AL1220" s="340"/>
      <c r="AM1220" s="340"/>
      <c r="AN1220" s="340"/>
    </row>
    <row r="1221" spans="20:40" x14ac:dyDescent="0.25">
      <c r="T1221" s="340"/>
      <c r="U1221" s="340"/>
      <c r="V1221" s="340"/>
      <c r="W1221" s="340"/>
      <c r="X1221" s="340"/>
      <c r="Y1221" s="340"/>
      <c r="Z1221" s="340"/>
      <c r="AA1221" s="340"/>
      <c r="AB1221" s="340"/>
      <c r="AC1221" s="340"/>
      <c r="AD1221" s="340"/>
      <c r="AE1221" s="340"/>
      <c r="AF1221" s="340"/>
      <c r="AG1221" s="340"/>
      <c r="AH1221" s="340"/>
      <c r="AI1221" s="340"/>
      <c r="AJ1221" s="340"/>
      <c r="AK1221" s="340"/>
      <c r="AL1221" s="340"/>
      <c r="AM1221" s="340"/>
      <c r="AN1221" s="340"/>
    </row>
    <row r="1222" spans="20:40" x14ac:dyDescent="0.25">
      <c r="T1222" s="340"/>
      <c r="U1222" s="340"/>
      <c r="V1222" s="340"/>
      <c r="W1222" s="340"/>
      <c r="X1222" s="340"/>
      <c r="Y1222" s="340"/>
      <c r="Z1222" s="340"/>
      <c r="AA1222" s="340"/>
      <c r="AB1222" s="340"/>
      <c r="AC1222" s="340"/>
      <c r="AD1222" s="340"/>
      <c r="AE1222" s="340"/>
      <c r="AF1222" s="340"/>
      <c r="AG1222" s="340"/>
      <c r="AH1222" s="340"/>
      <c r="AI1222" s="340"/>
      <c r="AJ1222" s="340"/>
      <c r="AK1222" s="340"/>
      <c r="AL1222" s="340"/>
      <c r="AM1222" s="340"/>
      <c r="AN1222" s="340"/>
    </row>
    <row r="1223" spans="20:40" x14ac:dyDescent="0.25">
      <c r="T1223" s="340"/>
      <c r="U1223" s="340"/>
      <c r="V1223" s="340"/>
      <c r="W1223" s="340"/>
      <c r="X1223" s="340"/>
      <c r="Y1223" s="340"/>
      <c r="Z1223" s="340"/>
      <c r="AA1223" s="340"/>
      <c r="AB1223" s="340"/>
      <c r="AC1223" s="340"/>
      <c r="AD1223" s="340"/>
      <c r="AE1223" s="340"/>
      <c r="AF1223" s="340"/>
      <c r="AG1223" s="340"/>
      <c r="AH1223" s="340"/>
      <c r="AI1223" s="340"/>
      <c r="AJ1223" s="340"/>
      <c r="AK1223" s="340"/>
      <c r="AL1223" s="340"/>
      <c r="AM1223" s="340"/>
      <c r="AN1223" s="340"/>
    </row>
    <row r="1224" spans="20:40" x14ac:dyDescent="0.25">
      <c r="T1224" s="340"/>
      <c r="U1224" s="340"/>
      <c r="V1224" s="340"/>
      <c r="W1224" s="340"/>
      <c r="X1224" s="340"/>
      <c r="Y1224" s="340"/>
      <c r="Z1224" s="340"/>
      <c r="AA1224" s="340"/>
      <c r="AB1224" s="340"/>
      <c r="AC1224" s="340"/>
      <c r="AD1224" s="340"/>
      <c r="AE1224" s="340"/>
      <c r="AF1224" s="340"/>
      <c r="AG1224" s="340"/>
      <c r="AH1224" s="340"/>
      <c r="AI1224" s="340"/>
      <c r="AJ1224" s="340"/>
      <c r="AK1224" s="340"/>
      <c r="AL1224" s="340"/>
      <c r="AM1224" s="340"/>
      <c r="AN1224" s="340"/>
    </row>
    <row r="1225" spans="20:40" x14ac:dyDescent="0.25">
      <c r="T1225" s="340"/>
      <c r="U1225" s="340"/>
      <c r="V1225" s="340"/>
      <c r="W1225" s="340"/>
      <c r="X1225" s="340"/>
      <c r="Y1225" s="340"/>
      <c r="Z1225" s="340"/>
      <c r="AA1225" s="340"/>
      <c r="AB1225" s="340"/>
      <c r="AC1225" s="340"/>
      <c r="AD1225" s="340"/>
      <c r="AE1225" s="340"/>
      <c r="AF1225" s="340"/>
      <c r="AG1225" s="340"/>
      <c r="AH1225" s="340"/>
      <c r="AI1225" s="340"/>
      <c r="AJ1225" s="340"/>
      <c r="AK1225" s="340"/>
      <c r="AL1225" s="340"/>
      <c r="AM1225" s="340"/>
      <c r="AN1225" s="340"/>
    </row>
    <row r="1226" spans="20:40" x14ac:dyDescent="0.25">
      <c r="T1226" s="340"/>
      <c r="U1226" s="340"/>
      <c r="V1226" s="340"/>
      <c r="W1226" s="340"/>
      <c r="X1226" s="340"/>
      <c r="Y1226" s="340"/>
      <c r="Z1226" s="340"/>
      <c r="AA1226" s="340"/>
      <c r="AB1226" s="340"/>
      <c r="AC1226" s="340"/>
      <c r="AD1226" s="340"/>
      <c r="AE1226" s="340"/>
      <c r="AF1226" s="340"/>
      <c r="AG1226" s="340"/>
      <c r="AH1226" s="340"/>
      <c r="AI1226" s="340"/>
      <c r="AJ1226" s="340"/>
      <c r="AK1226" s="340"/>
      <c r="AL1226" s="340"/>
      <c r="AM1226" s="340"/>
      <c r="AN1226" s="340"/>
    </row>
    <row r="1227" spans="20:40" x14ac:dyDescent="0.25">
      <c r="T1227" s="340"/>
      <c r="U1227" s="340"/>
      <c r="V1227" s="340"/>
      <c r="W1227" s="340"/>
      <c r="X1227" s="340"/>
      <c r="Y1227" s="340"/>
      <c r="Z1227" s="340"/>
      <c r="AA1227" s="340"/>
      <c r="AB1227" s="340"/>
      <c r="AC1227" s="340"/>
      <c r="AD1227" s="340"/>
      <c r="AE1227" s="340"/>
      <c r="AF1227" s="340"/>
      <c r="AG1227" s="340"/>
      <c r="AH1227" s="340"/>
      <c r="AI1227" s="340"/>
      <c r="AJ1227" s="340"/>
      <c r="AK1227" s="340"/>
      <c r="AL1227" s="340"/>
      <c r="AM1227" s="340"/>
      <c r="AN1227" s="340"/>
    </row>
    <row r="1228" spans="20:40" x14ac:dyDescent="0.25">
      <c r="T1228" s="340"/>
      <c r="U1228" s="340"/>
      <c r="V1228" s="340"/>
      <c r="W1228" s="340"/>
      <c r="X1228" s="340"/>
      <c r="Y1228" s="340"/>
      <c r="Z1228" s="340"/>
      <c r="AA1228" s="340"/>
      <c r="AB1228" s="340"/>
      <c r="AC1228" s="340"/>
      <c r="AD1228" s="340"/>
      <c r="AE1228" s="340"/>
      <c r="AF1228" s="340"/>
      <c r="AG1228" s="340"/>
      <c r="AH1228" s="340"/>
      <c r="AI1228" s="340"/>
      <c r="AJ1228" s="340"/>
      <c r="AK1228" s="340"/>
      <c r="AL1228" s="340"/>
      <c r="AM1228" s="340"/>
      <c r="AN1228" s="340"/>
    </row>
    <row r="1229" spans="20:40" x14ac:dyDescent="0.25">
      <c r="T1229" s="340"/>
      <c r="U1229" s="340"/>
      <c r="V1229" s="340"/>
      <c r="W1229" s="340"/>
      <c r="X1229" s="340"/>
      <c r="Y1229" s="340"/>
      <c r="Z1229" s="340"/>
      <c r="AA1229" s="340"/>
      <c r="AB1229" s="340"/>
      <c r="AC1229" s="340"/>
      <c r="AD1229" s="340"/>
      <c r="AE1229" s="340"/>
      <c r="AF1229" s="340"/>
      <c r="AG1229" s="340"/>
      <c r="AH1229" s="340"/>
      <c r="AI1229" s="340"/>
      <c r="AJ1229" s="340"/>
      <c r="AK1229" s="340"/>
      <c r="AL1229" s="340"/>
      <c r="AM1229" s="340"/>
      <c r="AN1229" s="340"/>
    </row>
    <row r="1230" spans="20:40" x14ac:dyDescent="0.25">
      <c r="T1230" s="340"/>
      <c r="U1230" s="340"/>
      <c r="V1230" s="340"/>
      <c r="W1230" s="340"/>
      <c r="X1230" s="340"/>
      <c r="Y1230" s="340"/>
      <c r="Z1230" s="340"/>
      <c r="AA1230" s="340"/>
      <c r="AB1230" s="340"/>
      <c r="AC1230" s="340"/>
      <c r="AD1230" s="340"/>
      <c r="AE1230" s="340"/>
      <c r="AF1230" s="340"/>
      <c r="AG1230" s="340"/>
      <c r="AH1230" s="340"/>
      <c r="AI1230" s="340"/>
      <c r="AJ1230" s="340"/>
      <c r="AK1230" s="340"/>
      <c r="AL1230" s="340"/>
      <c r="AM1230" s="340"/>
      <c r="AN1230" s="340"/>
    </row>
    <row r="1231" spans="20:40" x14ac:dyDescent="0.25">
      <c r="T1231" s="340"/>
      <c r="U1231" s="340"/>
      <c r="V1231" s="340"/>
      <c r="W1231" s="340"/>
      <c r="X1231" s="340"/>
      <c r="Y1231" s="340"/>
      <c r="Z1231" s="340"/>
      <c r="AA1231" s="340"/>
      <c r="AB1231" s="340"/>
      <c r="AC1231" s="340"/>
      <c r="AD1231" s="340"/>
      <c r="AE1231" s="340"/>
      <c r="AF1231" s="340"/>
      <c r="AG1231" s="340"/>
      <c r="AH1231" s="340"/>
      <c r="AI1231" s="340"/>
      <c r="AJ1231" s="340"/>
      <c r="AK1231" s="340"/>
      <c r="AL1231" s="340"/>
      <c r="AM1231" s="340"/>
      <c r="AN1231" s="340"/>
    </row>
    <row r="1232" spans="20:40" x14ac:dyDescent="0.25">
      <c r="T1232" s="340"/>
      <c r="U1232" s="340"/>
      <c r="V1232" s="340"/>
      <c r="W1232" s="340"/>
      <c r="X1232" s="340"/>
      <c r="Y1232" s="340"/>
      <c r="Z1232" s="340"/>
      <c r="AA1232" s="340"/>
      <c r="AB1232" s="340"/>
      <c r="AC1232" s="340"/>
      <c r="AD1232" s="340"/>
      <c r="AE1232" s="340"/>
      <c r="AF1232" s="340"/>
      <c r="AG1232" s="340"/>
      <c r="AH1232" s="340"/>
      <c r="AI1232" s="340"/>
      <c r="AJ1232" s="340"/>
      <c r="AK1232" s="340"/>
      <c r="AL1232" s="340"/>
      <c r="AM1232" s="340"/>
      <c r="AN1232" s="340"/>
    </row>
    <row r="1233" spans="20:40" x14ac:dyDescent="0.25">
      <c r="T1233" s="340"/>
      <c r="U1233" s="340"/>
      <c r="V1233" s="340"/>
      <c r="W1233" s="340"/>
      <c r="X1233" s="340"/>
      <c r="Y1233" s="340"/>
      <c r="Z1233" s="340"/>
      <c r="AA1233" s="340"/>
      <c r="AB1233" s="340"/>
      <c r="AC1233" s="340"/>
      <c r="AD1233" s="340"/>
      <c r="AE1233" s="340"/>
      <c r="AF1233" s="340"/>
      <c r="AG1233" s="340"/>
      <c r="AH1233" s="340"/>
      <c r="AI1233" s="340"/>
      <c r="AJ1233" s="340"/>
      <c r="AK1233" s="340"/>
      <c r="AL1233" s="340"/>
      <c r="AM1233" s="340"/>
      <c r="AN1233" s="340"/>
    </row>
    <row r="1234" spans="20:40" x14ac:dyDescent="0.25">
      <c r="T1234" s="340"/>
      <c r="U1234" s="340"/>
      <c r="V1234" s="340"/>
      <c r="W1234" s="340"/>
      <c r="X1234" s="340"/>
      <c r="Y1234" s="340"/>
      <c r="Z1234" s="340"/>
      <c r="AA1234" s="340"/>
      <c r="AB1234" s="340"/>
      <c r="AC1234" s="340"/>
      <c r="AD1234" s="340"/>
      <c r="AE1234" s="340"/>
      <c r="AF1234" s="340"/>
      <c r="AG1234" s="340"/>
      <c r="AH1234" s="340"/>
      <c r="AI1234" s="340"/>
      <c r="AJ1234" s="340"/>
      <c r="AK1234" s="340"/>
      <c r="AL1234" s="340"/>
      <c r="AM1234" s="340"/>
      <c r="AN1234" s="340"/>
    </row>
    <row r="1235" spans="20:40" x14ac:dyDescent="0.25">
      <c r="T1235" s="340"/>
      <c r="U1235" s="340"/>
      <c r="V1235" s="340"/>
      <c r="W1235" s="340"/>
      <c r="X1235" s="340"/>
      <c r="Y1235" s="340"/>
      <c r="Z1235" s="340"/>
      <c r="AA1235" s="340"/>
      <c r="AB1235" s="340"/>
      <c r="AC1235" s="340"/>
      <c r="AD1235" s="340"/>
      <c r="AE1235" s="340"/>
      <c r="AF1235" s="340"/>
      <c r="AG1235" s="340"/>
      <c r="AH1235" s="340"/>
      <c r="AI1235" s="340"/>
      <c r="AJ1235" s="340"/>
      <c r="AK1235" s="340"/>
      <c r="AL1235" s="340"/>
      <c r="AM1235" s="340"/>
      <c r="AN1235" s="340"/>
    </row>
    <row r="1236" spans="20:40" x14ac:dyDescent="0.25">
      <c r="T1236" s="340"/>
      <c r="U1236" s="340"/>
      <c r="V1236" s="340"/>
      <c r="W1236" s="340"/>
      <c r="X1236" s="340"/>
      <c r="Y1236" s="340"/>
      <c r="Z1236" s="340"/>
      <c r="AA1236" s="340"/>
      <c r="AB1236" s="340"/>
      <c r="AC1236" s="340"/>
      <c r="AD1236" s="340"/>
      <c r="AE1236" s="340"/>
      <c r="AF1236" s="340"/>
      <c r="AG1236" s="340"/>
      <c r="AH1236" s="340"/>
      <c r="AI1236" s="340"/>
      <c r="AJ1236" s="340"/>
      <c r="AK1236" s="340"/>
      <c r="AL1236" s="340"/>
      <c r="AM1236" s="340"/>
      <c r="AN1236" s="340"/>
    </row>
    <row r="1237" spans="20:40" x14ac:dyDescent="0.25">
      <c r="T1237" s="340"/>
      <c r="U1237" s="340"/>
      <c r="V1237" s="340"/>
      <c r="W1237" s="340"/>
      <c r="X1237" s="340"/>
      <c r="Y1237" s="340"/>
      <c r="Z1237" s="340"/>
      <c r="AA1237" s="340"/>
      <c r="AB1237" s="340"/>
      <c r="AC1237" s="340"/>
      <c r="AD1237" s="340"/>
      <c r="AE1237" s="340"/>
      <c r="AF1237" s="340"/>
      <c r="AG1237" s="340"/>
      <c r="AH1237" s="340"/>
      <c r="AI1237" s="340"/>
      <c r="AJ1237" s="340"/>
      <c r="AK1237" s="340"/>
      <c r="AL1237" s="340"/>
      <c r="AM1237" s="340"/>
      <c r="AN1237" s="340"/>
    </row>
    <row r="1238" spans="20:40" x14ac:dyDescent="0.25">
      <c r="T1238" s="340"/>
      <c r="U1238" s="340"/>
      <c r="V1238" s="340"/>
      <c r="W1238" s="340"/>
      <c r="X1238" s="340"/>
      <c r="Y1238" s="340"/>
      <c r="Z1238" s="340"/>
      <c r="AA1238" s="340"/>
      <c r="AB1238" s="340"/>
      <c r="AC1238" s="340"/>
      <c r="AD1238" s="340"/>
      <c r="AE1238" s="340"/>
      <c r="AF1238" s="340"/>
      <c r="AG1238" s="340"/>
      <c r="AH1238" s="340"/>
      <c r="AI1238" s="340"/>
      <c r="AJ1238" s="340"/>
      <c r="AK1238" s="340"/>
      <c r="AL1238" s="340"/>
      <c r="AM1238" s="340"/>
      <c r="AN1238" s="340"/>
    </row>
    <row r="1239" spans="20:40" x14ac:dyDescent="0.25">
      <c r="T1239" s="340"/>
      <c r="U1239" s="340"/>
      <c r="V1239" s="340"/>
      <c r="W1239" s="340"/>
      <c r="X1239" s="340"/>
      <c r="Y1239" s="340"/>
      <c r="Z1239" s="340"/>
      <c r="AA1239" s="340"/>
      <c r="AB1239" s="340"/>
      <c r="AC1239" s="340"/>
      <c r="AD1239" s="340"/>
      <c r="AE1239" s="340"/>
      <c r="AF1239" s="340"/>
      <c r="AG1239" s="340"/>
      <c r="AH1239" s="340"/>
      <c r="AI1239" s="340"/>
      <c r="AJ1239" s="340"/>
      <c r="AK1239" s="340"/>
      <c r="AL1239" s="340"/>
      <c r="AM1239" s="340"/>
      <c r="AN1239" s="340"/>
    </row>
    <row r="1240" spans="20:40" x14ac:dyDescent="0.25">
      <c r="T1240" s="340"/>
      <c r="U1240" s="340"/>
      <c r="V1240" s="340"/>
      <c r="W1240" s="340"/>
      <c r="X1240" s="340"/>
      <c r="Y1240" s="340"/>
      <c r="Z1240" s="340"/>
      <c r="AA1240" s="340"/>
      <c r="AB1240" s="340"/>
      <c r="AC1240" s="340"/>
      <c r="AD1240" s="340"/>
      <c r="AE1240" s="340"/>
      <c r="AF1240" s="340"/>
      <c r="AG1240" s="340"/>
      <c r="AH1240" s="340"/>
      <c r="AI1240" s="340"/>
      <c r="AJ1240" s="340"/>
      <c r="AK1240" s="340"/>
      <c r="AL1240" s="340"/>
      <c r="AM1240" s="340"/>
      <c r="AN1240" s="340"/>
    </row>
    <row r="1241" spans="20:40" x14ac:dyDescent="0.25">
      <c r="T1241" s="340"/>
      <c r="U1241" s="340"/>
      <c r="V1241" s="340"/>
      <c r="W1241" s="340"/>
      <c r="X1241" s="340"/>
      <c r="Y1241" s="340"/>
      <c r="Z1241" s="340"/>
      <c r="AA1241" s="340"/>
      <c r="AB1241" s="340"/>
      <c r="AC1241" s="340"/>
      <c r="AD1241" s="340"/>
      <c r="AE1241" s="340"/>
      <c r="AF1241" s="340"/>
      <c r="AG1241" s="340"/>
      <c r="AH1241" s="340"/>
      <c r="AI1241" s="340"/>
      <c r="AJ1241" s="340"/>
      <c r="AK1241" s="340"/>
      <c r="AL1241" s="340"/>
      <c r="AM1241" s="340"/>
      <c r="AN1241" s="340"/>
    </row>
    <row r="1242" spans="20:40" x14ac:dyDescent="0.25">
      <c r="T1242" s="340"/>
      <c r="U1242" s="340"/>
      <c r="V1242" s="340"/>
      <c r="W1242" s="340"/>
      <c r="X1242" s="340"/>
      <c r="Y1242" s="340"/>
      <c r="Z1242" s="340"/>
      <c r="AA1242" s="340"/>
      <c r="AB1242" s="340"/>
      <c r="AC1242" s="340"/>
      <c r="AD1242" s="340"/>
      <c r="AE1242" s="340"/>
      <c r="AF1242" s="340"/>
      <c r="AG1242" s="340"/>
      <c r="AH1242" s="340"/>
      <c r="AI1242" s="340"/>
      <c r="AJ1242" s="340"/>
      <c r="AK1242" s="340"/>
      <c r="AL1242" s="340"/>
      <c r="AM1242" s="340"/>
      <c r="AN1242" s="340"/>
    </row>
    <row r="1243" spans="20:40" x14ac:dyDescent="0.25">
      <c r="T1243" s="340"/>
      <c r="U1243" s="340"/>
      <c r="V1243" s="340"/>
      <c r="W1243" s="340"/>
      <c r="X1243" s="340"/>
      <c r="Y1243" s="340"/>
      <c r="Z1243" s="340"/>
      <c r="AA1243" s="340"/>
      <c r="AB1243" s="340"/>
      <c r="AC1243" s="340"/>
      <c r="AD1243" s="340"/>
      <c r="AE1243" s="340"/>
      <c r="AF1243" s="340"/>
      <c r="AG1243" s="340"/>
      <c r="AH1243" s="340"/>
      <c r="AI1243" s="340"/>
      <c r="AJ1243" s="340"/>
      <c r="AK1243" s="340"/>
      <c r="AL1243" s="340"/>
      <c r="AM1243" s="340"/>
      <c r="AN1243" s="340"/>
    </row>
    <row r="1244" spans="20:40" x14ac:dyDescent="0.25">
      <c r="T1244" s="340"/>
      <c r="U1244" s="340"/>
      <c r="V1244" s="340"/>
      <c r="W1244" s="340"/>
      <c r="X1244" s="340"/>
      <c r="Y1244" s="340"/>
      <c r="Z1244" s="340"/>
      <c r="AA1244" s="340"/>
      <c r="AB1244" s="340"/>
      <c r="AC1244" s="340"/>
      <c r="AD1244" s="340"/>
      <c r="AE1244" s="340"/>
      <c r="AF1244" s="340"/>
      <c r="AG1244" s="340"/>
      <c r="AH1244" s="340"/>
      <c r="AI1244" s="340"/>
      <c r="AJ1244" s="340"/>
      <c r="AK1244" s="340"/>
      <c r="AL1244" s="340"/>
      <c r="AM1244" s="340"/>
      <c r="AN1244" s="340"/>
    </row>
    <row r="1245" spans="20:40" x14ac:dyDescent="0.25">
      <c r="T1245" s="340"/>
      <c r="U1245" s="340"/>
      <c r="V1245" s="340"/>
      <c r="W1245" s="340"/>
      <c r="X1245" s="340"/>
      <c r="Y1245" s="340"/>
      <c r="Z1245" s="340"/>
      <c r="AA1245" s="340"/>
      <c r="AB1245" s="340"/>
      <c r="AC1245" s="340"/>
      <c r="AD1245" s="340"/>
      <c r="AE1245" s="340"/>
      <c r="AF1245" s="340"/>
      <c r="AG1245" s="340"/>
      <c r="AH1245" s="340"/>
      <c r="AI1245" s="340"/>
      <c r="AJ1245" s="340"/>
      <c r="AK1245" s="340"/>
      <c r="AL1245" s="340"/>
      <c r="AM1245" s="340"/>
      <c r="AN1245" s="340"/>
    </row>
    <row r="1246" spans="20:40" x14ac:dyDescent="0.25">
      <c r="T1246" s="340"/>
      <c r="U1246" s="340"/>
      <c r="V1246" s="340"/>
      <c r="W1246" s="340"/>
      <c r="X1246" s="340"/>
      <c r="Y1246" s="340"/>
      <c r="Z1246" s="340"/>
      <c r="AA1246" s="340"/>
      <c r="AB1246" s="340"/>
      <c r="AC1246" s="340"/>
      <c r="AD1246" s="340"/>
      <c r="AE1246" s="340"/>
      <c r="AF1246" s="340"/>
      <c r="AG1246" s="340"/>
      <c r="AH1246" s="340"/>
      <c r="AI1246" s="340"/>
      <c r="AJ1246" s="340"/>
      <c r="AK1246" s="340"/>
      <c r="AL1246" s="340"/>
      <c r="AM1246" s="340"/>
      <c r="AN1246" s="340"/>
    </row>
    <row r="1247" spans="20:40" x14ac:dyDescent="0.25">
      <c r="T1247" s="340"/>
      <c r="U1247" s="340"/>
      <c r="V1247" s="340"/>
      <c r="W1247" s="340"/>
      <c r="X1247" s="340"/>
      <c r="Y1247" s="340"/>
      <c r="Z1247" s="340"/>
      <c r="AA1247" s="340"/>
      <c r="AB1247" s="340"/>
      <c r="AC1247" s="340"/>
      <c r="AD1247" s="340"/>
      <c r="AE1247" s="340"/>
      <c r="AF1247" s="340"/>
      <c r="AG1247" s="340"/>
      <c r="AH1247" s="340"/>
      <c r="AI1247" s="340"/>
      <c r="AJ1247" s="340"/>
      <c r="AK1247" s="340"/>
      <c r="AL1247" s="340"/>
      <c r="AM1247" s="340"/>
      <c r="AN1247" s="340"/>
    </row>
    <row r="1248" spans="20:40" x14ac:dyDescent="0.25">
      <c r="T1248" s="340"/>
      <c r="U1248" s="340"/>
      <c r="V1248" s="340"/>
      <c r="W1248" s="340"/>
      <c r="X1248" s="340"/>
      <c r="Y1248" s="340"/>
      <c r="Z1248" s="340"/>
      <c r="AA1248" s="340"/>
      <c r="AB1248" s="340"/>
      <c r="AC1248" s="340"/>
      <c r="AD1248" s="340"/>
      <c r="AE1248" s="340"/>
      <c r="AF1248" s="340"/>
      <c r="AG1248" s="340"/>
      <c r="AH1248" s="340"/>
      <c r="AI1248" s="340"/>
      <c r="AJ1248" s="340"/>
      <c r="AK1248" s="340"/>
      <c r="AL1248" s="340"/>
      <c r="AM1248" s="340"/>
      <c r="AN1248" s="340"/>
    </row>
    <row r="1249" spans="20:40" x14ac:dyDescent="0.25">
      <c r="T1249" s="340"/>
      <c r="U1249" s="340"/>
      <c r="V1249" s="340"/>
      <c r="W1249" s="340"/>
      <c r="X1249" s="340"/>
      <c r="Y1249" s="340"/>
      <c r="Z1249" s="340"/>
      <c r="AA1249" s="340"/>
      <c r="AB1249" s="340"/>
      <c r="AC1249" s="340"/>
      <c r="AD1249" s="340"/>
      <c r="AE1249" s="340"/>
      <c r="AF1249" s="340"/>
      <c r="AG1249" s="340"/>
      <c r="AH1249" s="340"/>
      <c r="AI1249" s="340"/>
      <c r="AJ1249" s="340"/>
      <c r="AK1249" s="340"/>
      <c r="AL1249" s="340"/>
      <c r="AM1249" s="340"/>
      <c r="AN1249" s="340"/>
    </row>
    <row r="1250" spans="20:40" x14ac:dyDescent="0.25">
      <c r="T1250" s="340"/>
      <c r="U1250" s="340"/>
      <c r="V1250" s="340"/>
      <c r="W1250" s="340"/>
      <c r="X1250" s="340"/>
      <c r="Y1250" s="340"/>
      <c r="Z1250" s="340"/>
      <c r="AA1250" s="340"/>
      <c r="AB1250" s="340"/>
      <c r="AC1250" s="340"/>
      <c r="AD1250" s="340"/>
      <c r="AE1250" s="340"/>
      <c r="AF1250" s="340"/>
      <c r="AG1250" s="340"/>
      <c r="AH1250" s="340"/>
      <c r="AI1250" s="340"/>
      <c r="AJ1250" s="340"/>
      <c r="AK1250" s="340"/>
      <c r="AL1250" s="340"/>
      <c r="AM1250" s="340"/>
      <c r="AN1250" s="340"/>
    </row>
    <row r="1251" spans="20:40" x14ac:dyDescent="0.25">
      <c r="T1251" s="340"/>
      <c r="U1251" s="340"/>
      <c r="V1251" s="340"/>
      <c r="W1251" s="340"/>
      <c r="X1251" s="340"/>
      <c r="Y1251" s="340"/>
      <c r="Z1251" s="340"/>
      <c r="AA1251" s="340"/>
      <c r="AB1251" s="340"/>
      <c r="AC1251" s="340"/>
      <c r="AD1251" s="340"/>
      <c r="AE1251" s="340"/>
      <c r="AF1251" s="340"/>
      <c r="AG1251" s="340"/>
      <c r="AH1251" s="340"/>
      <c r="AI1251" s="340"/>
      <c r="AJ1251" s="340"/>
      <c r="AK1251" s="340"/>
      <c r="AL1251" s="340"/>
      <c r="AM1251" s="340"/>
      <c r="AN1251" s="340"/>
    </row>
    <row r="1252" spans="20:40" x14ac:dyDescent="0.25">
      <c r="T1252" s="340"/>
      <c r="U1252" s="340"/>
      <c r="V1252" s="340"/>
      <c r="W1252" s="340"/>
      <c r="X1252" s="340"/>
      <c r="Y1252" s="340"/>
      <c r="Z1252" s="340"/>
      <c r="AA1252" s="340"/>
      <c r="AB1252" s="340"/>
      <c r="AC1252" s="340"/>
      <c r="AD1252" s="340"/>
      <c r="AE1252" s="340"/>
      <c r="AF1252" s="340"/>
      <c r="AG1252" s="340"/>
      <c r="AH1252" s="340"/>
      <c r="AI1252" s="340"/>
      <c r="AJ1252" s="340"/>
      <c r="AK1252" s="340"/>
      <c r="AL1252" s="340"/>
      <c r="AM1252" s="340"/>
      <c r="AN1252" s="340"/>
    </row>
    <row r="1253" spans="20:40" x14ac:dyDescent="0.25">
      <c r="T1253" s="340"/>
      <c r="U1253" s="340"/>
      <c r="V1253" s="340"/>
      <c r="W1253" s="340"/>
      <c r="X1253" s="340"/>
      <c r="Y1253" s="340"/>
      <c r="Z1253" s="340"/>
      <c r="AA1253" s="340"/>
      <c r="AB1253" s="340"/>
      <c r="AC1253" s="340"/>
      <c r="AD1253" s="340"/>
      <c r="AE1253" s="340"/>
      <c r="AF1253" s="340"/>
      <c r="AG1253" s="340"/>
      <c r="AH1253" s="340"/>
      <c r="AI1253" s="340"/>
      <c r="AJ1253" s="340"/>
      <c r="AK1253" s="340"/>
      <c r="AL1253" s="340"/>
      <c r="AM1253" s="340"/>
      <c r="AN1253" s="340"/>
    </row>
    <row r="1254" spans="20:40" x14ac:dyDescent="0.25">
      <c r="T1254" s="340"/>
      <c r="U1254" s="340"/>
      <c r="V1254" s="340"/>
      <c r="W1254" s="340"/>
      <c r="X1254" s="340"/>
      <c r="Y1254" s="340"/>
      <c r="Z1254" s="340"/>
      <c r="AA1254" s="340"/>
      <c r="AB1254" s="340"/>
      <c r="AC1254" s="340"/>
      <c r="AD1254" s="340"/>
      <c r="AE1254" s="340"/>
      <c r="AF1254" s="340"/>
      <c r="AG1254" s="340"/>
      <c r="AH1254" s="340"/>
      <c r="AI1254" s="340"/>
      <c r="AJ1254" s="340"/>
      <c r="AK1254" s="340"/>
      <c r="AL1254" s="340"/>
      <c r="AM1254" s="340"/>
      <c r="AN1254" s="340"/>
    </row>
    <row r="1255" spans="20:40" x14ac:dyDescent="0.25">
      <c r="T1255" s="340"/>
      <c r="U1255" s="340"/>
      <c r="V1255" s="340"/>
      <c r="W1255" s="340"/>
      <c r="X1255" s="340"/>
      <c r="Y1255" s="340"/>
      <c r="Z1255" s="340"/>
      <c r="AA1255" s="340"/>
      <c r="AB1255" s="340"/>
      <c r="AC1255" s="340"/>
      <c r="AD1255" s="340"/>
      <c r="AE1255" s="340"/>
      <c r="AF1255" s="340"/>
      <c r="AG1255" s="340"/>
      <c r="AH1255" s="340"/>
      <c r="AI1255" s="340"/>
      <c r="AJ1255" s="340"/>
      <c r="AK1255" s="340"/>
      <c r="AL1255" s="340"/>
      <c r="AM1255" s="340"/>
      <c r="AN1255" s="340"/>
    </row>
    <row r="1256" spans="20:40" x14ac:dyDescent="0.25">
      <c r="T1256" s="340"/>
      <c r="U1256" s="340"/>
      <c r="V1256" s="340"/>
      <c r="W1256" s="340"/>
      <c r="X1256" s="340"/>
      <c r="Y1256" s="340"/>
      <c r="Z1256" s="340"/>
      <c r="AA1256" s="340"/>
      <c r="AB1256" s="340"/>
      <c r="AC1256" s="340"/>
      <c r="AD1256" s="340"/>
      <c r="AE1256" s="340"/>
      <c r="AF1256" s="340"/>
      <c r="AG1256" s="340"/>
      <c r="AH1256" s="340"/>
      <c r="AI1256" s="340"/>
      <c r="AJ1256" s="340"/>
      <c r="AK1256" s="340"/>
      <c r="AL1256" s="340"/>
      <c r="AM1256" s="340"/>
      <c r="AN1256" s="340"/>
    </row>
    <row r="1257" spans="20:40" x14ac:dyDescent="0.25">
      <c r="T1257" s="340"/>
      <c r="U1257" s="340"/>
      <c r="V1257" s="340"/>
      <c r="W1257" s="340"/>
      <c r="X1257" s="340"/>
      <c r="Y1257" s="340"/>
      <c r="Z1257" s="340"/>
      <c r="AA1257" s="340"/>
      <c r="AB1257" s="340"/>
      <c r="AC1257" s="340"/>
      <c r="AD1257" s="340"/>
      <c r="AE1257" s="340"/>
      <c r="AF1257" s="340"/>
      <c r="AG1257" s="340"/>
      <c r="AH1257" s="340"/>
      <c r="AI1257" s="340"/>
      <c r="AJ1257" s="340"/>
      <c r="AK1257" s="340"/>
      <c r="AL1257" s="340"/>
      <c r="AM1257" s="340"/>
      <c r="AN1257" s="340"/>
    </row>
    <row r="1258" spans="20:40" x14ac:dyDescent="0.25">
      <c r="T1258" s="340"/>
      <c r="U1258" s="340"/>
      <c r="V1258" s="340"/>
      <c r="W1258" s="340"/>
      <c r="X1258" s="340"/>
      <c r="Y1258" s="340"/>
      <c r="Z1258" s="340"/>
      <c r="AA1258" s="340"/>
      <c r="AB1258" s="340"/>
      <c r="AC1258" s="340"/>
      <c r="AD1258" s="340"/>
      <c r="AE1258" s="340"/>
      <c r="AF1258" s="340"/>
      <c r="AG1258" s="340"/>
      <c r="AH1258" s="340"/>
      <c r="AI1258" s="340"/>
      <c r="AJ1258" s="340"/>
      <c r="AK1258" s="340"/>
      <c r="AL1258" s="340"/>
      <c r="AM1258" s="340"/>
      <c r="AN1258" s="340"/>
    </row>
    <row r="1259" spans="20:40" x14ac:dyDescent="0.25">
      <c r="T1259" s="340"/>
      <c r="U1259" s="340"/>
      <c r="V1259" s="340"/>
      <c r="W1259" s="340"/>
      <c r="X1259" s="340"/>
      <c r="Y1259" s="340"/>
      <c r="Z1259" s="340"/>
      <c r="AA1259" s="340"/>
      <c r="AB1259" s="340"/>
      <c r="AC1259" s="340"/>
      <c r="AD1259" s="340"/>
      <c r="AE1259" s="340"/>
      <c r="AF1259" s="340"/>
      <c r="AG1259" s="340"/>
      <c r="AH1259" s="340"/>
      <c r="AI1259" s="340"/>
      <c r="AJ1259" s="340"/>
      <c r="AK1259" s="340"/>
      <c r="AL1259" s="340"/>
      <c r="AM1259" s="340"/>
      <c r="AN1259" s="340"/>
    </row>
    <row r="1260" spans="20:40" x14ac:dyDescent="0.25">
      <c r="T1260" s="340"/>
      <c r="U1260" s="340"/>
      <c r="V1260" s="340"/>
      <c r="W1260" s="340"/>
      <c r="X1260" s="340"/>
      <c r="Y1260" s="340"/>
      <c r="Z1260" s="340"/>
      <c r="AA1260" s="340"/>
      <c r="AB1260" s="340"/>
      <c r="AC1260" s="340"/>
      <c r="AD1260" s="340"/>
      <c r="AE1260" s="340"/>
      <c r="AF1260" s="340"/>
      <c r="AG1260" s="340"/>
      <c r="AH1260" s="340"/>
      <c r="AI1260" s="340"/>
      <c r="AJ1260" s="340"/>
      <c r="AK1260" s="340"/>
      <c r="AL1260" s="340"/>
      <c r="AM1260" s="340"/>
      <c r="AN1260" s="340"/>
    </row>
    <row r="1261" spans="20:40" x14ac:dyDescent="0.25">
      <c r="T1261" s="340"/>
      <c r="U1261" s="340"/>
      <c r="V1261" s="340"/>
      <c r="W1261" s="340"/>
      <c r="X1261" s="340"/>
      <c r="Y1261" s="340"/>
      <c r="Z1261" s="340"/>
      <c r="AA1261" s="340"/>
      <c r="AB1261" s="340"/>
      <c r="AC1261" s="340"/>
      <c r="AD1261" s="340"/>
      <c r="AE1261" s="340"/>
      <c r="AF1261" s="340"/>
      <c r="AG1261" s="340"/>
      <c r="AH1261" s="340"/>
      <c r="AI1261" s="340"/>
      <c r="AJ1261" s="340"/>
      <c r="AK1261" s="340"/>
      <c r="AL1261" s="340"/>
      <c r="AM1261" s="340"/>
      <c r="AN1261" s="340"/>
    </row>
    <row r="1262" spans="20:40" x14ac:dyDescent="0.25">
      <c r="T1262" s="340"/>
      <c r="U1262" s="340"/>
      <c r="V1262" s="340"/>
      <c r="W1262" s="340"/>
      <c r="X1262" s="340"/>
      <c r="Y1262" s="340"/>
      <c r="Z1262" s="340"/>
      <c r="AA1262" s="340"/>
      <c r="AB1262" s="340"/>
      <c r="AC1262" s="340"/>
      <c r="AD1262" s="340"/>
      <c r="AE1262" s="340"/>
      <c r="AF1262" s="340"/>
      <c r="AG1262" s="340"/>
      <c r="AH1262" s="340"/>
      <c r="AI1262" s="340"/>
      <c r="AJ1262" s="340"/>
      <c r="AK1262" s="340"/>
      <c r="AL1262" s="340"/>
      <c r="AM1262" s="340"/>
      <c r="AN1262" s="340"/>
    </row>
    <row r="1263" spans="20:40" x14ac:dyDescent="0.25">
      <c r="T1263" s="340"/>
      <c r="U1263" s="340"/>
      <c r="V1263" s="340"/>
      <c r="W1263" s="340"/>
      <c r="X1263" s="340"/>
      <c r="Y1263" s="340"/>
      <c r="Z1263" s="340"/>
      <c r="AA1263" s="340"/>
      <c r="AB1263" s="340"/>
      <c r="AC1263" s="340"/>
      <c r="AD1263" s="340"/>
      <c r="AE1263" s="340"/>
      <c r="AF1263" s="340"/>
      <c r="AG1263" s="340"/>
      <c r="AH1263" s="340"/>
      <c r="AI1263" s="340"/>
      <c r="AJ1263" s="340"/>
      <c r="AK1263" s="340"/>
      <c r="AL1263" s="340"/>
      <c r="AM1263" s="340"/>
      <c r="AN1263" s="340"/>
    </row>
    <row r="1264" spans="20:40" x14ac:dyDescent="0.25">
      <c r="T1264" s="340"/>
      <c r="U1264" s="340"/>
      <c r="V1264" s="340"/>
      <c r="W1264" s="340"/>
      <c r="X1264" s="340"/>
      <c r="Y1264" s="340"/>
      <c r="Z1264" s="340"/>
      <c r="AA1264" s="340"/>
      <c r="AB1264" s="340"/>
      <c r="AC1264" s="340"/>
      <c r="AD1264" s="340"/>
      <c r="AE1264" s="340"/>
      <c r="AF1264" s="340"/>
      <c r="AG1264" s="340"/>
      <c r="AH1264" s="340"/>
      <c r="AI1264" s="340"/>
      <c r="AJ1264" s="340"/>
      <c r="AK1264" s="340"/>
      <c r="AL1264" s="340"/>
      <c r="AM1264" s="340"/>
      <c r="AN1264" s="340"/>
    </row>
    <row r="1265" spans="20:40" x14ac:dyDescent="0.25">
      <c r="T1265" s="340"/>
      <c r="U1265" s="340"/>
      <c r="V1265" s="340"/>
      <c r="W1265" s="340"/>
      <c r="X1265" s="340"/>
      <c r="Y1265" s="340"/>
      <c r="Z1265" s="340"/>
      <c r="AA1265" s="340"/>
      <c r="AB1265" s="340"/>
      <c r="AC1265" s="340"/>
      <c r="AD1265" s="340"/>
      <c r="AE1265" s="340"/>
      <c r="AF1265" s="340"/>
      <c r="AG1265" s="340"/>
      <c r="AH1265" s="340"/>
      <c r="AI1265" s="340"/>
      <c r="AJ1265" s="340"/>
      <c r="AK1265" s="340"/>
      <c r="AL1265" s="340"/>
      <c r="AM1265" s="340"/>
      <c r="AN1265" s="340"/>
    </row>
    <row r="1266" spans="20:40" x14ac:dyDescent="0.25">
      <c r="T1266" s="340"/>
      <c r="U1266" s="340"/>
      <c r="V1266" s="340"/>
      <c r="W1266" s="340"/>
      <c r="X1266" s="340"/>
      <c r="Y1266" s="340"/>
      <c r="Z1266" s="340"/>
      <c r="AA1266" s="340"/>
      <c r="AB1266" s="340"/>
      <c r="AC1266" s="340"/>
      <c r="AD1266" s="340"/>
      <c r="AE1266" s="340"/>
      <c r="AF1266" s="340"/>
      <c r="AG1266" s="340"/>
      <c r="AH1266" s="340"/>
      <c r="AI1266" s="340"/>
      <c r="AJ1266" s="340"/>
      <c r="AK1266" s="340"/>
      <c r="AL1266" s="340"/>
      <c r="AM1266" s="340"/>
      <c r="AN1266" s="340"/>
    </row>
    <row r="1267" spans="20:40" x14ac:dyDescent="0.25">
      <c r="T1267" s="340"/>
      <c r="U1267" s="340"/>
      <c r="V1267" s="340"/>
      <c r="W1267" s="340"/>
      <c r="X1267" s="340"/>
      <c r="Y1267" s="340"/>
      <c r="Z1267" s="340"/>
      <c r="AA1267" s="340"/>
      <c r="AB1267" s="340"/>
      <c r="AC1267" s="340"/>
      <c r="AD1267" s="340"/>
      <c r="AE1267" s="340"/>
      <c r="AF1267" s="340"/>
      <c r="AG1267" s="340"/>
      <c r="AH1267" s="340"/>
      <c r="AI1267" s="340"/>
      <c r="AJ1267" s="340"/>
      <c r="AK1267" s="340"/>
      <c r="AL1267" s="340"/>
      <c r="AM1267" s="340"/>
      <c r="AN1267" s="340"/>
    </row>
    <row r="1268" spans="20:40" x14ac:dyDescent="0.25">
      <c r="T1268" s="340"/>
      <c r="U1268" s="340"/>
      <c r="V1268" s="340"/>
      <c r="W1268" s="340"/>
      <c r="X1268" s="340"/>
      <c r="Y1268" s="340"/>
      <c r="Z1268" s="340"/>
      <c r="AA1268" s="340"/>
      <c r="AB1268" s="340"/>
      <c r="AC1268" s="340"/>
      <c r="AD1268" s="340"/>
      <c r="AE1268" s="340"/>
      <c r="AF1268" s="340"/>
      <c r="AG1268" s="340"/>
      <c r="AH1268" s="340"/>
      <c r="AI1268" s="340"/>
      <c r="AJ1268" s="340"/>
      <c r="AK1268" s="340"/>
      <c r="AL1268" s="340"/>
      <c r="AM1268" s="340"/>
      <c r="AN1268" s="340"/>
    </row>
    <row r="1269" spans="20:40" x14ac:dyDescent="0.25">
      <c r="T1269" s="340"/>
      <c r="U1269" s="340"/>
      <c r="V1269" s="340"/>
      <c r="W1269" s="340"/>
      <c r="X1269" s="340"/>
      <c r="Y1269" s="340"/>
      <c r="Z1269" s="340"/>
      <c r="AA1269" s="340"/>
      <c r="AB1269" s="340"/>
      <c r="AC1269" s="340"/>
      <c r="AD1269" s="340"/>
      <c r="AE1269" s="340"/>
      <c r="AF1269" s="340"/>
      <c r="AG1269" s="340"/>
      <c r="AH1269" s="340"/>
      <c r="AI1269" s="340"/>
      <c r="AJ1269" s="340"/>
      <c r="AK1269" s="340"/>
      <c r="AL1269" s="340"/>
      <c r="AM1269" s="340"/>
      <c r="AN1269" s="340"/>
    </row>
    <row r="1270" spans="20:40" x14ac:dyDescent="0.25">
      <c r="T1270" s="340"/>
      <c r="U1270" s="340"/>
      <c r="V1270" s="340"/>
      <c r="W1270" s="340"/>
      <c r="X1270" s="340"/>
      <c r="Y1270" s="340"/>
      <c r="Z1270" s="340"/>
      <c r="AA1270" s="340"/>
      <c r="AB1270" s="340"/>
      <c r="AC1270" s="340"/>
      <c r="AD1270" s="340"/>
      <c r="AE1270" s="340"/>
      <c r="AF1270" s="340"/>
      <c r="AG1270" s="340"/>
      <c r="AH1270" s="340"/>
      <c r="AI1270" s="340"/>
      <c r="AJ1270" s="340"/>
      <c r="AK1270" s="340"/>
      <c r="AL1270" s="340"/>
      <c r="AM1270" s="340"/>
      <c r="AN1270" s="340"/>
    </row>
    <row r="1271" spans="20:40" x14ac:dyDescent="0.25">
      <c r="T1271" s="340"/>
      <c r="U1271" s="340"/>
      <c r="V1271" s="340"/>
      <c r="W1271" s="340"/>
      <c r="X1271" s="340"/>
      <c r="Y1271" s="340"/>
      <c r="Z1271" s="340"/>
      <c r="AA1271" s="340"/>
      <c r="AB1271" s="340"/>
      <c r="AC1271" s="340"/>
      <c r="AD1271" s="340"/>
      <c r="AE1271" s="340"/>
      <c r="AF1271" s="340"/>
      <c r="AG1271" s="340"/>
      <c r="AH1271" s="340"/>
      <c r="AI1271" s="340"/>
      <c r="AJ1271" s="340"/>
      <c r="AK1271" s="340"/>
      <c r="AL1271" s="340"/>
      <c r="AM1271" s="340"/>
      <c r="AN1271" s="340"/>
    </row>
    <row r="1272" spans="20:40" x14ac:dyDescent="0.25">
      <c r="T1272" s="340"/>
      <c r="U1272" s="340"/>
      <c r="V1272" s="340"/>
      <c r="W1272" s="340"/>
      <c r="X1272" s="340"/>
      <c r="Y1272" s="340"/>
      <c r="Z1272" s="340"/>
      <c r="AA1272" s="340"/>
      <c r="AB1272" s="340"/>
      <c r="AC1272" s="340"/>
      <c r="AD1272" s="340"/>
      <c r="AE1272" s="340"/>
      <c r="AF1272" s="340"/>
      <c r="AG1272" s="340"/>
      <c r="AH1272" s="340"/>
      <c r="AI1272" s="340"/>
      <c r="AJ1272" s="340"/>
      <c r="AK1272" s="340"/>
      <c r="AL1272" s="340"/>
      <c r="AM1272" s="340"/>
      <c r="AN1272" s="340"/>
    </row>
    <row r="1273" spans="20:40" x14ac:dyDescent="0.25">
      <c r="T1273" s="340"/>
      <c r="U1273" s="340"/>
      <c r="V1273" s="340"/>
      <c r="W1273" s="340"/>
      <c r="X1273" s="340"/>
      <c r="Y1273" s="340"/>
      <c r="Z1273" s="340"/>
      <c r="AA1273" s="340"/>
      <c r="AB1273" s="340"/>
      <c r="AC1273" s="340"/>
      <c r="AD1273" s="340"/>
      <c r="AE1273" s="340"/>
      <c r="AF1273" s="340"/>
      <c r="AG1273" s="340"/>
      <c r="AH1273" s="340"/>
      <c r="AI1273" s="340"/>
      <c r="AJ1273" s="340"/>
      <c r="AK1273" s="340"/>
      <c r="AL1273" s="340"/>
      <c r="AM1273" s="340"/>
      <c r="AN1273" s="340"/>
    </row>
    <row r="1274" spans="20:40" x14ac:dyDescent="0.25">
      <c r="T1274" s="340"/>
      <c r="U1274" s="340"/>
      <c r="V1274" s="340"/>
      <c r="W1274" s="340"/>
      <c r="X1274" s="340"/>
      <c r="Y1274" s="340"/>
      <c r="Z1274" s="340"/>
      <c r="AA1274" s="340"/>
      <c r="AB1274" s="340"/>
      <c r="AC1274" s="340"/>
      <c r="AD1274" s="340"/>
      <c r="AE1274" s="340"/>
      <c r="AF1274" s="340"/>
      <c r="AG1274" s="340"/>
      <c r="AH1274" s="340"/>
      <c r="AI1274" s="340"/>
      <c r="AJ1274" s="340"/>
      <c r="AK1274" s="340"/>
      <c r="AL1274" s="340"/>
      <c r="AM1274" s="340"/>
      <c r="AN1274" s="340"/>
    </row>
    <row r="1275" spans="20:40" x14ac:dyDescent="0.25">
      <c r="T1275" s="340"/>
      <c r="U1275" s="340"/>
      <c r="V1275" s="340"/>
      <c r="W1275" s="340"/>
      <c r="X1275" s="340"/>
      <c r="Y1275" s="340"/>
      <c r="Z1275" s="340"/>
      <c r="AA1275" s="340"/>
      <c r="AB1275" s="340"/>
      <c r="AC1275" s="340"/>
      <c r="AD1275" s="340"/>
      <c r="AE1275" s="340"/>
      <c r="AF1275" s="340"/>
      <c r="AG1275" s="340"/>
      <c r="AH1275" s="340"/>
      <c r="AI1275" s="340"/>
      <c r="AJ1275" s="340"/>
      <c r="AK1275" s="340"/>
      <c r="AL1275" s="340"/>
      <c r="AM1275" s="340"/>
      <c r="AN1275" s="340"/>
    </row>
    <row r="1276" spans="20:40" x14ac:dyDescent="0.25">
      <c r="T1276" s="340"/>
      <c r="U1276" s="340"/>
      <c r="V1276" s="340"/>
      <c r="W1276" s="340"/>
      <c r="X1276" s="340"/>
      <c r="Y1276" s="340"/>
      <c r="Z1276" s="340"/>
      <c r="AA1276" s="340"/>
      <c r="AB1276" s="340"/>
      <c r="AC1276" s="340"/>
      <c r="AD1276" s="340"/>
      <c r="AE1276" s="340"/>
      <c r="AF1276" s="340"/>
      <c r="AG1276" s="340"/>
      <c r="AH1276" s="340"/>
      <c r="AI1276" s="340"/>
      <c r="AJ1276" s="340"/>
      <c r="AK1276" s="340"/>
      <c r="AL1276" s="340"/>
      <c r="AM1276" s="340"/>
      <c r="AN1276" s="340"/>
    </row>
    <row r="1277" spans="20:40" x14ac:dyDescent="0.25">
      <c r="T1277" s="340"/>
      <c r="U1277" s="340"/>
      <c r="V1277" s="340"/>
      <c r="W1277" s="340"/>
      <c r="X1277" s="340"/>
      <c r="Y1277" s="340"/>
      <c r="Z1277" s="340"/>
      <c r="AA1277" s="340"/>
      <c r="AB1277" s="340"/>
      <c r="AC1277" s="340"/>
      <c r="AD1277" s="340"/>
      <c r="AE1277" s="340"/>
      <c r="AF1277" s="340"/>
      <c r="AG1277" s="340"/>
      <c r="AH1277" s="340"/>
      <c r="AI1277" s="340"/>
      <c r="AJ1277" s="340"/>
      <c r="AK1277" s="340"/>
      <c r="AL1277" s="340"/>
      <c r="AM1277" s="340"/>
      <c r="AN1277" s="340"/>
    </row>
    <row r="1278" spans="20:40" x14ac:dyDescent="0.25">
      <c r="T1278" s="340"/>
      <c r="U1278" s="340"/>
      <c r="V1278" s="340"/>
      <c r="W1278" s="340"/>
      <c r="X1278" s="340"/>
      <c r="Y1278" s="340"/>
      <c r="Z1278" s="340"/>
      <c r="AA1278" s="340"/>
      <c r="AB1278" s="340"/>
      <c r="AC1278" s="340"/>
      <c r="AD1278" s="340"/>
      <c r="AE1278" s="340"/>
      <c r="AF1278" s="340"/>
      <c r="AG1278" s="340"/>
      <c r="AH1278" s="340"/>
      <c r="AI1278" s="340"/>
      <c r="AJ1278" s="340"/>
      <c r="AK1278" s="340"/>
      <c r="AL1278" s="340"/>
      <c r="AM1278" s="340"/>
      <c r="AN1278" s="340"/>
    </row>
    <row r="1279" spans="20:40" x14ac:dyDescent="0.25">
      <c r="T1279" s="340"/>
      <c r="U1279" s="340"/>
      <c r="V1279" s="340"/>
      <c r="W1279" s="340"/>
      <c r="X1279" s="340"/>
      <c r="Y1279" s="340"/>
      <c r="Z1279" s="340"/>
      <c r="AA1279" s="340"/>
      <c r="AB1279" s="340"/>
      <c r="AC1279" s="340"/>
      <c r="AD1279" s="340"/>
      <c r="AE1279" s="340"/>
      <c r="AF1279" s="340"/>
      <c r="AG1279" s="340"/>
      <c r="AH1279" s="340"/>
      <c r="AI1279" s="340"/>
      <c r="AJ1279" s="340"/>
      <c r="AK1279" s="340"/>
      <c r="AL1279" s="340"/>
      <c r="AM1279" s="340"/>
      <c r="AN1279" s="340"/>
    </row>
    <row r="1280" spans="20:40" x14ac:dyDescent="0.25">
      <c r="T1280" s="340"/>
      <c r="U1280" s="340"/>
      <c r="V1280" s="340"/>
      <c r="W1280" s="340"/>
      <c r="X1280" s="340"/>
      <c r="Y1280" s="340"/>
      <c r="Z1280" s="340"/>
      <c r="AA1280" s="340"/>
      <c r="AB1280" s="340"/>
      <c r="AC1280" s="340"/>
      <c r="AD1280" s="340"/>
      <c r="AE1280" s="340"/>
      <c r="AF1280" s="340"/>
      <c r="AG1280" s="340"/>
      <c r="AH1280" s="340"/>
      <c r="AI1280" s="340"/>
      <c r="AJ1280" s="340"/>
      <c r="AK1280" s="340"/>
      <c r="AL1280" s="340"/>
      <c r="AM1280" s="340"/>
      <c r="AN1280" s="340"/>
    </row>
    <row r="1281" spans="20:40" x14ac:dyDescent="0.25">
      <c r="T1281" s="340"/>
      <c r="U1281" s="340"/>
      <c r="V1281" s="340"/>
      <c r="W1281" s="340"/>
      <c r="X1281" s="340"/>
      <c r="Y1281" s="340"/>
      <c r="Z1281" s="340"/>
      <c r="AA1281" s="340"/>
      <c r="AB1281" s="340"/>
      <c r="AC1281" s="340"/>
      <c r="AD1281" s="340"/>
      <c r="AE1281" s="340"/>
      <c r="AF1281" s="340"/>
      <c r="AG1281" s="340"/>
      <c r="AH1281" s="340"/>
      <c r="AI1281" s="340"/>
      <c r="AJ1281" s="340"/>
      <c r="AK1281" s="340"/>
      <c r="AL1281" s="340"/>
      <c r="AM1281" s="340"/>
      <c r="AN1281" s="340"/>
    </row>
    <row r="1282" spans="20:40" x14ac:dyDescent="0.25">
      <c r="T1282" s="340"/>
      <c r="U1282" s="340"/>
      <c r="V1282" s="340"/>
      <c r="W1282" s="340"/>
      <c r="X1282" s="340"/>
      <c r="Y1282" s="340"/>
      <c r="Z1282" s="340"/>
      <c r="AA1282" s="340"/>
      <c r="AB1282" s="340"/>
      <c r="AC1282" s="340"/>
      <c r="AD1282" s="340"/>
      <c r="AE1282" s="340"/>
      <c r="AF1282" s="340"/>
      <c r="AG1282" s="340"/>
      <c r="AH1282" s="340"/>
      <c r="AI1282" s="340"/>
      <c r="AJ1282" s="340"/>
      <c r="AK1282" s="340"/>
      <c r="AL1282" s="340"/>
      <c r="AM1282" s="340"/>
      <c r="AN1282" s="340"/>
    </row>
    <row r="1283" spans="20:40" x14ac:dyDescent="0.25">
      <c r="T1283" s="340"/>
      <c r="U1283" s="340"/>
      <c r="V1283" s="340"/>
      <c r="W1283" s="340"/>
      <c r="X1283" s="340"/>
      <c r="Y1283" s="340"/>
      <c r="Z1283" s="340"/>
      <c r="AA1283" s="340"/>
      <c r="AB1283" s="340"/>
      <c r="AC1283" s="340"/>
      <c r="AD1283" s="340"/>
      <c r="AE1283" s="340"/>
      <c r="AF1283" s="340"/>
      <c r="AG1283" s="340"/>
      <c r="AH1283" s="340"/>
      <c r="AI1283" s="340"/>
      <c r="AJ1283" s="340"/>
      <c r="AK1283" s="340"/>
      <c r="AL1283" s="340"/>
      <c r="AM1283" s="340"/>
      <c r="AN1283" s="340"/>
    </row>
    <row r="1284" spans="20:40" x14ac:dyDescent="0.25">
      <c r="T1284" s="340"/>
      <c r="U1284" s="340"/>
      <c r="V1284" s="340"/>
      <c r="W1284" s="340"/>
      <c r="X1284" s="340"/>
      <c r="Y1284" s="340"/>
      <c r="Z1284" s="340"/>
      <c r="AA1284" s="340"/>
      <c r="AB1284" s="340"/>
      <c r="AC1284" s="340"/>
      <c r="AD1284" s="340"/>
      <c r="AE1284" s="340"/>
      <c r="AF1284" s="340"/>
      <c r="AG1284" s="340"/>
      <c r="AH1284" s="340"/>
      <c r="AI1284" s="340"/>
      <c r="AJ1284" s="340"/>
      <c r="AK1284" s="340"/>
      <c r="AL1284" s="340"/>
      <c r="AM1284" s="340"/>
      <c r="AN1284" s="340"/>
    </row>
    <row r="1285" spans="20:40" x14ac:dyDescent="0.25">
      <c r="T1285" s="340"/>
      <c r="U1285" s="340"/>
      <c r="V1285" s="340"/>
      <c r="W1285" s="340"/>
      <c r="X1285" s="340"/>
      <c r="Y1285" s="340"/>
      <c r="Z1285" s="340"/>
      <c r="AA1285" s="340"/>
      <c r="AB1285" s="340"/>
      <c r="AC1285" s="340"/>
      <c r="AD1285" s="340"/>
      <c r="AE1285" s="340"/>
      <c r="AF1285" s="340"/>
      <c r="AG1285" s="340"/>
      <c r="AH1285" s="340"/>
      <c r="AI1285" s="340"/>
      <c r="AJ1285" s="340"/>
      <c r="AK1285" s="340"/>
      <c r="AL1285" s="340"/>
      <c r="AM1285" s="340"/>
      <c r="AN1285" s="340"/>
    </row>
    <row r="1286" spans="20:40" x14ac:dyDescent="0.25">
      <c r="T1286" s="340"/>
      <c r="U1286" s="340"/>
      <c r="V1286" s="340"/>
      <c r="W1286" s="340"/>
      <c r="X1286" s="340"/>
      <c r="Y1286" s="340"/>
      <c r="Z1286" s="340"/>
      <c r="AA1286" s="340"/>
      <c r="AB1286" s="340"/>
      <c r="AC1286" s="340"/>
      <c r="AD1286" s="340"/>
      <c r="AE1286" s="340"/>
      <c r="AF1286" s="340"/>
      <c r="AG1286" s="340"/>
      <c r="AH1286" s="340"/>
      <c r="AI1286" s="340"/>
      <c r="AJ1286" s="340"/>
      <c r="AK1286" s="340"/>
      <c r="AL1286" s="340"/>
      <c r="AM1286" s="340"/>
      <c r="AN1286" s="340"/>
    </row>
    <row r="1287" spans="20:40" x14ac:dyDescent="0.25">
      <c r="T1287" s="340"/>
      <c r="U1287" s="340"/>
      <c r="V1287" s="340"/>
      <c r="W1287" s="340"/>
      <c r="X1287" s="340"/>
      <c r="Y1287" s="340"/>
      <c r="Z1287" s="340"/>
      <c r="AA1287" s="340"/>
      <c r="AB1287" s="340"/>
      <c r="AC1287" s="340"/>
      <c r="AD1287" s="340"/>
      <c r="AE1287" s="340"/>
      <c r="AF1287" s="340"/>
      <c r="AG1287" s="340"/>
      <c r="AH1287" s="340"/>
      <c r="AI1287" s="340"/>
      <c r="AJ1287" s="340"/>
      <c r="AK1287" s="340"/>
      <c r="AL1287" s="340"/>
      <c r="AM1287" s="340"/>
      <c r="AN1287" s="340"/>
    </row>
    <row r="1288" spans="20:40" x14ac:dyDescent="0.25">
      <c r="T1288" s="340"/>
      <c r="U1288" s="340"/>
      <c r="V1288" s="340"/>
      <c r="W1288" s="340"/>
      <c r="X1288" s="340"/>
      <c r="Y1288" s="340"/>
      <c r="Z1288" s="340"/>
      <c r="AA1288" s="340"/>
      <c r="AB1288" s="340"/>
      <c r="AC1288" s="340"/>
      <c r="AD1288" s="340"/>
      <c r="AE1288" s="340"/>
      <c r="AF1288" s="340"/>
      <c r="AG1288" s="340"/>
      <c r="AH1288" s="340"/>
      <c r="AI1288" s="340"/>
      <c r="AJ1288" s="340"/>
      <c r="AK1288" s="340"/>
      <c r="AL1288" s="340"/>
      <c r="AM1288" s="340"/>
      <c r="AN1288" s="340"/>
    </row>
    <row r="1289" spans="20:40" x14ac:dyDescent="0.25">
      <c r="T1289" s="340"/>
      <c r="U1289" s="340"/>
      <c r="V1289" s="340"/>
      <c r="W1289" s="340"/>
      <c r="X1289" s="340"/>
      <c r="Y1289" s="340"/>
      <c r="Z1289" s="340"/>
      <c r="AA1289" s="340"/>
      <c r="AB1289" s="340"/>
      <c r="AC1289" s="340"/>
      <c r="AD1289" s="340"/>
      <c r="AE1289" s="340"/>
      <c r="AF1289" s="340"/>
      <c r="AG1289" s="340"/>
      <c r="AH1289" s="340"/>
      <c r="AI1289" s="340"/>
      <c r="AJ1289" s="340"/>
      <c r="AK1289" s="340"/>
      <c r="AL1289" s="340"/>
      <c r="AM1289" s="340"/>
      <c r="AN1289" s="340"/>
    </row>
    <row r="1290" spans="20:40" x14ac:dyDescent="0.25">
      <c r="T1290" s="340"/>
      <c r="U1290" s="340"/>
      <c r="V1290" s="340"/>
      <c r="W1290" s="340"/>
      <c r="X1290" s="340"/>
      <c r="Y1290" s="340"/>
      <c r="Z1290" s="340"/>
      <c r="AA1290" s="340"/>
      <c r="AB1290" s="340"/>
      <c r="AC1290" s="340"/>
      <c r="AD1290" s="340"/>
      <c r="AE1290" s="340"/>
      <c r="AF1290" s="340"/>
      <c r="AG1290" s="340"/>
      <c r="AH1290" s="340"/>
      <c r="AI1290" s="340"/>
      <c r="AJ1290" s="340"/>
      <c r="AK1290" s="340"/>
      <c r="AL1290" s="340"/>
      <c r="AM1290" s="340"/>
      <c r="AN1290" s="340"/>
    </row>
    <row r="1291" spans="20:40" x14ac:dyDescent="0.25">
      <c r="T1291" s="340"/>
      <c r="U1291" s="340"/>
      <c r="V1291" s="340"/>
      <c r="W1291" s="340"/>
      <c r="X1291" s="340"/>
      <c r="Y1291" s="340"/>
      <c r="Z1291" s="340"/>
      <c r="AA1291" s="340"/>
      <c r="AB1291" s="340"/>
      <c r="AC1291" s="340"/>
      <c r="AD1291" s="340"/>
      <c r="AE1291" s="340"/>
      <c r="AF1291" s="340"/>
      <c r="AG1291" s="340"/>
      <c r="AH1291" s="340"/>
      <c r="AI1291" s="340"/>
      <c r="AJ1291" s="340"/>
      <c r="AK1291" s="340"/>
      <c r="AL1291" s="340"/>
      <c r="AM1291" s="340"/>
      <c r="AN1291" s="340"/>
    </row>
    <row r="1292" spans="20:40" x14ac:dyDescent="0.25">
      <c r="T1292" s="340"/>
      <c r="U1292" s="340"/>
      <c r="V1292" s="340"/>
      <c r="W1292" s="340"/>
      <c r="X1292" s="340"/>
      <c r="Y1292" s="340"/>
      <c r="Z1292" s="340"/>
      <c r="AA1292" s="340"/>
      <c r="AB1292" s="340"/>
      <c r="AC1292" s="340"/>
      <c r="AD1292" s="340"/>
      <c r="AE1292" s="340"/>
      <c r="AF1292" s="340"/>
      <c r="AG1292" s="340"/>
      <c r="AH1292" s="340"/>
      <c r="AI1292" s="340"/>
      <c r="AJ1292" s="340"/>
      <c r="AK1292" s="340"/>
      <c r="AL1292" s="340"/>
      <c r="AM1292" s="340"/>
      <c r="AN1292" s="340"/>
    </row>
    <row r="1293" spans="20:40" x14ac:dyDescent="0.25">
      <c r="T1293" s="340"/>
      <c r="U1293" s="340"/>
      <c r="V1293" s="340"/>
      <c r="W1293" s="340"/>
      <c r="X1293" s="340"/>
      <c r="Y1293" s="340"/>
      <c r="Z1293" s="340"/>
      <c r="AA1293" s="340"/>
      <c r="AB1293" s="340"/>
      <c r="AC1293" s="340"/>
      <c r="AD1293" s="340"/>
      <c r="AE1293" s="340"/>
      <c r="AF1293" s="340"/>
      <c r="AG1293" s="340"/>
      <c r="AH1293" s="340"/>
      <c r="AI1293" s="340"/>
      <c r="AJ1293" s="340"/>
      <c r="AK1293" s="340"/>
      <c r="AL1293" s="340"/>
      <c r="AM1293" s="340"/>
      <c r="AN1293" s="340"/>
    </row>
    <row r="1294" spans="20:40" x14ac:dyDescent="0.25">
      <c r="T1294" s="340"/>
      <c r="U1294" s="340"/>
      <c r="V1294" s="340"/>
      <c r="W1294" s="340"/>
      <c r="X1294" s="340"/>
      <c r="Y1294" s="340"/>
      <c r="Z1294" s="340"/>
      <c r="AA1294" s="340"/>
      <c r="AB1294" s="340"/>
      <c r="AC1294" s="340"/>
      <c r="AD1294" s="340"/>
      <c r="AE1294" s="340"/>
      <c r="AF1294" s="340"/>
      <c r="AG1294" s="340"/>
      <c r="AH1294" s="340"/>
      <c r="AI1294" s="340"/>
      <c r="AJ1294" s="340"/>
      <c r="AK1294" s="340"/>
      <c r="AL1294" s="340"/>
      <c r="AM1294" s="340"/>
      <c r="AN1294" s="340"/>
    </row>
    <row r="1295" spans="20:40" x14ac:dyDescent="0.25">
      <c r="T1295" s="340"/>
      <c r="U1295" s="340"/>
      <c r="V1295" s="340"/>
      <c r="W1295" s="340"/>
      <c r="X1295" s="340"/>
      <c r="Y1295" s="340"/>
      <c r="Z1295" s="340"/>
      <c r="AA1295" s="340"/>
      <c r="AB1295" s="340"/>
      <c r="AC1295" s="340"/>
      <c r="AD1295" s="340"/>
      <c r="AE1295" s="340"/>
      <c r="AF1295" s="340"/>
      <c r="AG1295" s="340"/>
      <c r="AH1295" s="340"/>
      <c r="AI1295" s="340"/>
      <c r="AJ1295" s="340"/>
      <c r="AK1295" s="340"/>
      <c r="AL1295" s="340"/>
      <c r="AM1295" s="340"/>
      <c r="AN1295" s="340"/>
    </row>
    <row r="1296" spans="20:40" x14ac:dyDescent="0.25">
      <c r="T1296" s="340"/>
      <c r="U1296" s="340"/>
      <c r="V1296" s="340"/>
      <c r="W1296" s="340"/>
      <c r="X1296" s="340"/>
      <c r="Y1296" s="340"/>
      <c r="Z1296" s="340"/>
      <c r="AA1296" s="340"/>
      <c r="AB1296" s="340"/>
      <c r="AC1296" s="340"/>
      <c r="AD1296" s="340"/>
      <c r="AE1296" s="340"/>
      <c r="AF1296" s="340"/>
      <c r="AG1296" s="340"/>
      <c r="AH1296" s="340"/>
      <c r="AI1296" s="340"/>
      <c r="AJ1296" s="340"/>
      <c r="AK1296" s="340"/>
      <c r="AL1296" s="340"/>
      <c r="AM1296" s="340"/>
      <c r="AN1296" s="340"/>
    </row>
    <row r="1297" spans="20:40" x14ac:dyDescent="0.25">
      <c r="T1297" s="340"/>
      <c r="U1297" s="340"/>
      <c r="V1297" s="340"/>
      <c r="W1297" s="340"/>
      <c r="X1297" s="340"/>
      <c r="Y1297" s="340"/>
      <c r="Z1297" s="340"/>
      <c r="AA1297" s="340"/>
      <c r="AB1297" s="340"/>
      <c r="AC1297" s="340"/>
      <c r="AD1297" s="340"/>
      <c r="AE1297" s="340"/>
      <c r="AF1297" s="340"/>
      <c r="AG1297" s="340"/>
      <c r="AH1297" s="340"/>
      <c r="AI1297" s="340"/>
      <c r="AJ1297" s="340"/>
      <c r="AK1297" s="340"/>
      <c r="AL1297" s="340"/>
      <c r="AM1297" s="340"/>
      <c r="AN1297" s="340"/>
    </row>
    <row r="1298" spans="20:40" x14ac:dyDescent="0.25">
      <c r="T1298" s="340"/>
      <c r="U1298" s="340"/>
      <c r="V1298" s="340"/>
      <c r="W1298" s="340"/>
      <c r="X1298" s="340"/>
      <c r="Y1298" s="340"/>
      <c r="Z1298" s="340"/>
      <c r="AA1298" s="340"/>
      <c r="AB1298" s="340"/>
      <c r="AC1298" s="340"/>
      <c r="AD1298" s="340"/>
      <c r="AE1298" s="340"/>
      <c r="AF1298" s="340"/>
      <c r="AG1298" s="340"/>
      <c r="AH1298" s="340"/>
      <c r="AI1298" s="340"/>
      <c r="AJ1298" s="340"/>
      <c r="AK1298" s="340"/>
      <c r="AL1298" s="340"/>
      <c r="AM1298" s="340"/>
      <c r="AN1298" s="340"/>
    </row>
    <row r="1299" spans="20:40" x14ac:dyDescent="0.25">
      <c r="T1299" s="340"/>
      <c r="U1299" s="340"/>
      <c r="V1299" s="340"/>
      <c r="W1299" s="340"/>
      <c r="X1299" s="340"/>
      <c r="Y1299" s="340"/>
      <c r="Z1299" s="340"/>
      <c r="AA1299" s="340"/>
      <c r="AB1299" s="340"/>
      <c r="AC1299" s="340"/>
      <c r="AD1299" s="340"/>
      <c r="AE1299" s="340"/>
      <c r="AF1299" s="340"/>
      <c r="AG1299" s="340"/>
      <c r="AH1299" s="340"/>
      <c r="AI1299" s="340"/>
      <c r="AJ1299" s="340"/>
      <c r="AK1299" s="340"/>
      <c r="AL1299" s="340"/>
      <c r="AM1299" s="340"/>
      <c r="AN1299" s="340"/>
    </row>
    <row r="1300" spans="20:40" x14ac:dyDescent="0.25">
      <c r="T1300" s="340"/>
      <c r="U1300" s="340"/>
      <c r="V1300" s="340"/>
      <c r="W1300" s="340"/>
      <c r="X1300" s="340"/>
      <c r="Y1300" s="340"/>
      <c r="Z1300" s="340"/>
      <c r="AA1300" s="340"/>
      <c r="AB1300" s="340"/>
      <c r="AC1300" s="340"/>
      <c r="AD1300" s="340"/>
      <c r="AE1300" s="340"/>
      <c r="AF1300" s="340"/>
      <c r="AG1300" s="340"/>
      <c r="AH1300" s="340"/>
      <c r="AI1300" s="340"/>
      <c r="AJ1300" s="340"/>
      <c r="AK1300" s="340"/>
      <c r="AL1300" s="340"/>
      <c r="AM1300" s="340"/>
      <c r="AN1300" s="340"/>
    </row>
    <row r="1301" spans="20:40" x14ac:dyDescent="0.25">
      <c r="T1301" s="340"/>
      <c r="U1301" s="340"/>
      <c r="V1301" s="340"/>
      <c r="W1301" s="340"/>
      <c r="X1301" s="340"/>
      <c r="Y1301" s="340"/>
      <c r="Z1301" s="340"/>
      <c r="AA1301" s="340"/>
      <c r="AB1301" s="340"/>
      <c r="AC1301" s="340"/>
      <c r="AD1301" s="340"/>
      <c r="AE1301" s="340"/>
      <c r="AF1301" s="340"/>
      <c r="AG1301" s="340"/>
      <c r="AH1301" s="340"/>
      <c r="AI1301" s="340"/>
      <c r="AJ1301" s="340"/>
      <c r="AK1301" s="340"/>
      <c r="AL1301" s="340"/>
      <c r="AM1301" s="340"/>
      <c r="AN1301" s="340"/>
    </row>
    <row r="1302" spans="20:40" x14ac:dyDescent="0.25">
      <c r="T1302" s="340"/>
      <c r="U1302" s="340"/>
      <c r="V1302" s="340"/>
      <c r="W1302" s="340"/>
      <c r="X1302" s="340"/>
      <c r="Y1302" s="340"/>
      <c r="Z1302" s="340"/>
      <c r="AA1302" s="340"/>
      <c r="AB1302" s="340"/>
      <c r="AC1302" s="340"/>
      <c r="AD1302" s="340"/>
      <c r="AE1302" s="340"/>
      <c r="AF1302" s="340"/>
      <c r="AG1302" s="340"/>
      <c r="AH1302" s="340"/>
      <c r="AI1302" s="340"/>
      <c r="AJ1302" s="340"/>
      <c r="AK1302" s="340"/>
      <c r="AL1302" s="340"/>
      <c r="AM1302" s="340"/>
      <c r="AN1302" s="340"/>
    </row>
    <row r="1303" spans="20:40" x14ac:dyDescent="0.25">
      <c r="T1303" s="340"/>
      <c r="U1303" s="340"/>
      <c r="V1303" s="340"/>
      <c r="W1303" s="340"/>
      <c r="X1303" s="340"/>
      <c r="Y1303" s="340"/>
      <c r="Z1303" s="340"/>
      <c r="AA1303" s="340"/>
      <c r="AB1303" s="340"/>
      <c r="AC1303" s="340"/>
      <c r="AD1303" s="340"/>
      <c r="AE1303" s="340"/>
      <c r="AF1303" s="340"/>
      <c r="AG1303" s="340"/>
      <c r="AH1303" s="340"/>
      <c r="AI1303" s="340"/>
      <c r="AJ1303" s="340"/>
      <c r="AK1303" s="340"/>
      <c r="AL1303" s="340"/>
      <c r="AM1303" s="340"/>
      <c r="AN1303" s="340"/>
    </row>
    <row r="1304" spans="20:40" x14ac:dyDescent="0.25">
      <c r="T1304" s="340"/>
      <c r="U1304" s="340"/>
      <c r="V1304" s="340"/>
      <c r="W1304" s="340"/>
      <c r="X1304" s="340"/>
      <c r="Y1304" s="340"/>
      <c r="Z1304" s="340"/>
      <c r="AA1304" s="340"/>
      <c r="AB1304" s="340"/>
      <c r="AC1304" s="340"/>
      <c r="AD1304" s="340"/>
      <c r="AE1304" s="340"/>
      <c r="AF1304" s="340"/>
      <c r="AG1304" s="340"/>
      <c r="AH1304" s="340"/>
      <c r="AI1304" s="340"/>
      <c r="AJ1304" s="340"/>
      <c r="AK1304" s="340"/>
      <c r="AL1304" s="340"/>
      <c r="AM1304" s="340"/>
      <c r="AN1304" s="340"/>
    </row>
    <row r="1305" spans="20:40" x14ac:dyDescent="0.25">
      <c r="T1305" s="340"/>
      <c r="U1305" s="340"/>
      <c r="V1305" s="340"/>
      <c r="W1305" s="340"/>
      <c r="X1305" s="340"/>
      <c r="Y1305" s="340"/>
      <c r="Z1305" s="340"/>
      <c r="AA1305" s="340"/>
      <c r="AB1305" s="340"/>
      <c r="AC1305" s="340"/>
      <c r="AD1305" s="340"/>
      <c r="AE1305" s="340"/>
      <c r="AF1305" s="340"/>
      <c r="AG1305" s="340"/>
      <c r="AH1305" s="340"/>
      <c r="AI1305" s="340"/>
      <c r="AJ1305" s="340"/>
      <c r="AK1305" s="340"/>
      <c r="AL1305" s="340"/>
      <c r="AM1305" s="340"/>
      <c r="AN1305" s="340"/>
    </row>
    <row r="1306" spans="20:40" x14ac:dyDescent="0.25">
      <c r="T1306" s="340"/>
      <c r="U1306" s="340"/>
      <c r="V1306" s="340"/>
      <c r="W1306" s="340"/>
      <c r="X1306" s="340"/>
      <c r="Y1306" s="340"/>
      <c r="Z1306" s="340"/>
      <c r="AA1306" s="340"/>
      <c r="AB1306" s="340"/>
      <c r="AC1306" s="340"/>
      <c r="AD1306" s="340"/>
      <c r="AE1306" s="340"/>
      <c r="AF1306" s="340"/>
      <c r="AG1306" s="340"/>
      <c r="AH1306" s="340"/>
      <c r="AI1306" s="340"/>
      <c r="AJ1306" s="340"/>
      <c r="AK1306" s="340"/>
      <c r="AL1306" s="340"/>
      <c r="AM1306" s="340"/>
      <c r="AN1306" s="340"/>
    </row>
    <row r="1307" spans="20:40" x14ac:dyDescent="0.25">
      <c r="T1307" s="340"/>
      <c r="U1307" s="340"/>
      <c r="V1307" s="340"/>
      <c r="W1307" s="340"/>
      <c r="X1307" s="340"/>
      <c r="Y1307" s="340"/>
      <c r="Z1307" s="340"/>
      <c r="AA1307" s="340"/>
      <c r="AB1307" s="340"/>
      <c r="AC1307" s="340"/>
      <c r="AD1307" s="340"/>
      <c r="AE1307" s="340"/>
      <c r="AF1307" s="340"/>
      <c r="AG1307" s="340"/>
      <c r="AH1307" s="340"/>
      <c r="AI1307" s="340"/>
      <c r="AJ1307" s="340"/>
      <c r="AK1307" s="340"/>
      <c r="AL1307" s="340"/>
      <c r="AM1307" s="340"/>
      <c r="AN1307" s="340"/>
    </row>
    <row r="1308" spans="20:40" x14ac:dyDescent="0.25">
      <c r="T1308" s="340"/>
      <c r="U1308" s="340"/>
      <c r="V1308" s="340"/>
      <c r="W1308" s="340"/>
      <c r="X1308" s="340"/>
      <c r="Y1308" s="340"/>
      <c r="Z1308" s="340"/>
      <c r="AA1308" s="340"/>
      <c r="AB1308" s="340"/>
      <c r="AC1308" s="340"/>
      <c r="AD1308" s="340"/>
      <c r="AE1308" s="340"/>
      <c r="AF1308" s="340"/>
      <c r="AG1308" s="340"/>
      <c r="AH1308" s="340"/>
      <c r="AI1308" s="340"/>
      <c r="AJ1308" s="340"/>
      <c r="AK1308" s="340"/>
      <c r="AL1308" s="340"/>
      <c r="AM1308" s="340"/>
      <c r="AN1308" s="340"/>
    </row>
    <row r="1309" spans="20:40" x14ac:dyDescent="0.25">
      <c r="T1309" s="340"/>
      <c r="U1309" s="340"/>
      <c r="V1309" s="340"/>
      <c r="W1309" s="340"/>
      <c r="X1309" s="340"/>
      <c r="Y1309" s="340"/>
      <c r="Z1309" s="340"/>
      <c r="AA1309" s="340"/>
      <c r="AB1309" s="340"/>
      <c r="AC1309" s="340"/>
      <c r="AD1309" s="340"/>
      <c r="AE1309" s="340"/>
      <c r="AF1309" s="340"/>
      <c r="AG1309" s="340"/>
      <c r="AH1309" s="340"/>
      <c r="AI1309" s="340"/>
      <c r="AJ1309" s="340"/>
      <c r="AK1309" s="340"/>
      <c r="AL1309" s="340"/>
      <c r="AM1309" s="340"/>
      <c r="AN1309" s="340"/>
    </row>
    <row r="1310" spans="20:40" x14ac:dyDescent="0.25">
      <c r="T1310" s="340"/>
      <c r="U1310" s="340"/>
      <c r="V1310" s="340"/>
      <c r="W1310" s="340"/>
      <c r="X1310" s="340"/>
      <c r="Y1310" s="340"/>
      <c r="Z1310" s="340"/>
      <c r="AA1310" s="340"/>
      <c r="AB1310" s="340"/>
      <c r="AC1310" s="340"/>
      <c r="AD1310" s="340"/>
      <c r="AE1310" s="340"/>
      <c r="AF1310" s="340"/>
      <c r="AG1310" s="340"/>
      <c r="AH1310" s="340"/>
      <c r="AI1310" s="340"/>
      <c r="AJ1310" s="340"/>
      <c r="AK1310" s="340"/>
      <c r="AL1310" s="340"/>
      <c r="AM1310" s="340"/>
      <c r="AN1310" s="340"/>
    </row>
    <row r="1311" spans="20:40" x14ac:dyDescent="0.25">
      <c r="T1311" s="340"/>
      <c r="U1311" s="340"/>
      <c r="V1311" s="340"/>
      <c r="W1311" s="340"/>
      <c r="X1311" s="340"/>
      <c r="Y1311" s="340"/>
      <c r="Z1311" s="340"/>
      <c r="AA1311" s="340"/>
      <c r="AB1311" s="340"/>
      <c r="AC1311" s="340"/>
      <c r="AD1311" s="340"/>
      <c r="AE1311" s="340"/>
      <c r="AF1311" s="340"/>
      <c r="AG1311" s="340"/>
      <c r="AH1311" s="340"/>
      <c r="AI1311" s="340"/>
      <c r="AJ1311" s="340"/>
      <c r="AK1311" s="340"/>
      <c r="AL1311" s="340"/>
      <c r="AM1311" s="340"/>
      <c r="AN1311" s="340"/>
    </row>
    <row r="1312" spans="20:40" x14ac:dyDescent="0.25">
      <c r="T1312" s="340"/>
      <c r="U1312" s="340"/>
      <c r="V1312" s="340"/>
      <c r="W1312" s="340"/>
      <c r="X1312" s="340"/>
      <c r="Y1312" s="340"/>
      <c r="Z1312" s="340"/>
      <c r="AA1312" s="340"/>
      <c r="AB1312" s="340"/>
      <c r="AC1312" s="340"/>
      <c r="AD1312" s="340"/>
      <c r="AE1312" s="340"/>
      <c r="AF1312" s="340"/>
      <c r="AG1312" s="340"/>
      <c r="AH1312" s="340"/>
      <c r="AI1312" s="340"/>
      <c r="AJ1312" s="340"/>
      <c r="AK1312" s="340"/>
      <c r="AL1312" s="340"/>
      <c r="AM1312" s="340"/>
      <c r="AN1312" s="340"/>
    </row>
    <row r="1313" spans="20:40" x14ac:dyDescent="0.25">
      <c r="T1313" s="340"/>
      <c r="U1313" s="340"/>
      <c r="V1313" s="340"/>
      <c r="W1313" s="340"/>
      <c r="X1313" s="340"/>
      <c r="Y1313" s="340"/>
      <c r="Z1313" s="340"/>
      <c r="AA1313" s="340"/>
      <c r="AB1313" s="340"/>
      <c r="AC1313" s="340"/>
      <c r="AD1313" s="340"/>
      <c r="AE1313" s="340"/>
      <c r="AF1313" s="340"/>
      <c r="AG1313" s="340"/>
      <c r="AH1313" s="340"/>
      <c r="AI1313" s="340"/>
      <c r="AJ1313" s="340"/>
      <c r="AK1313" s="340"/>
      <c r="AL1313" s="340"/>
      <c r="AM1313" s="340"/>
      <c r="AN1313" s="340"/>
    </row>
    <row r="1314" spans="20:40" x14ac:dyDescent="0.25">
      <c r="T1314" s="340"/>
      <c r="U1314" s="340"/>
      <c r="V1314" s="340"/>
      <c r="W1314" s="340"/>
      <c r="X1314" s="340"/>
      <c r="Y1314" s="340"/>
      <c r="Z1314" s="340"/>
      <c r="AA1314" s="340"/>
      <c r="AB1314" s="340"/>
      <c r="AC1314" s="340"/>
      <c r="AD1314" s="340"/>
      <c r="AE1314" s="340"/>
      <c r="AF1314" s="340"/>
      <c r="AG1314" s="340"/>
      <c r="AH1314" s="340"/>
      <c r="AI1314" s="340"/>
      <c r="AJ1314" s="340"/>
      <c r="AK1314" s="340"/>
      <c r="AL1314" s="340"/>
      <c r="AM1314" s="340"/>
      <c r="AN1314" s="340"/>
    </row>
    <row r="1315" spans="20:40" x14ac:dyDescent="0.25">
      <c r="T1315" s="340"/>
      <c r="U1315" s="340"/>
      <c r="V1315" s="340"/>
      <c r="W1315" s="340"/>
      <c r="X1315" s="340"/>
      <c r="Y1315" s="340"/>
      <c r="Z1315" s="340"/>
      <c r="AA1315" s="340"/>
      <c r="AB1315" s="340"/>
      <c r="AC1315" s="340"/>
      <c r="AD1315" s="340"/>
      <c r="AE1315" s="340"/>
      <c r="AF1315" s="340"/>
      <c r="AG1315" s="340"/>
      <c r="AH1315" s="340"/>
      <c r="AI1315" s="340"/>
      <c r="AJ1315" s="340"/>
      <c r="AK1315" s="340"/>
      <c r="AL1315" s="340"/>
      <c r="AM1315" s="340"/>
      <c r="AN1315" s="340"/>
    </row>
    <row r="1316" spans="20:40" x14ac:dyDescent="0.25">
      <c r="T1316" s="340"/>
      <c r="U1316" s="340"/>
      <c r="V1316" s="340"/>
      <c r="W1316" s="340"/>
      <c r="X1316" s="340"/>
      <c r="Y1316" s="340"/>
      <c r="Z1316" s="340"/>
      <c r="AA1316" s="340"/>
      <c r="AB1316" s="340"/>
      <c r="AC1316" s="340"/>
      <c r="AD1316" s="340"/>
      <c r="AE1316" s="340"/>
      <c r="AF1316" s="340"/>
      <c r="AG1316" s="340"/>
      <c r="AH1316" s="340"/>
      <c r="AI1316" s="340"/>
      <c r="AJ1316" s="340"/>
      <c r="AK1316" s="340"/>
      <c r="AL1316" s="340"/>
      <c r="AM1316" s="340"/>
      <c r="AN1316" s="340"/>
    </row>
    <row r="1317" spans="20:40" x14ac:dyDescent="0.25">
      <c r="T1317" s="340"/>
      <c r="U1317" s="340"/>
      <c r="V1317" s="340"/>
      <c r="W1317" s="340"/>
      <c r="X1317" s="340"/>
      <c r="Y1317" s="340"/>
      <c r="Z1317" s="340"/>
      <c r="AA1317" s="340"/>
      <c r="AB1317" s="340"/>
      <c r="AC1317" s="340"/>
      <c r="AD1317" s="340"/>
      <c r="AE1317" s="340"/>
      <c r="AF1317" s="340"/>
      <c r="AG1317" s="340"/>
      <c r="AH1317" s="340"/>
      <c r="AI1317" s="340"/>
      <c r="AJ1317" s="340"/>
      <c r="AK1317" s="340"/>
      <c r="AL1317" s="340"/>
      <c r="AM1317" s="340"/>
      <c r="AN1317" s="340"/>
    </row>
    <row r="1318" spans="20:40" x14ac:dyDescent="0.25">
      <c r="T1318" s="340"/>
      <c r="U1318" s="340"/>
      <c r="V1318" s="340"/>
      <c r="W1318" s="340"/>
      <c r="X1318" s="340"/>
      <c r="Y1318" s="340"/>
      <c r="Z1318" s="340"/>
      <c r="AA1318" s="340"/>
      <c r="AB1318" s="340"/>
      <c r="AC1318" s="340"/>
      <c r="AD1318" s="340"/>
      <c r="AE1318" s="340"/>
      <c r="AF1318" s="340"/>
      <c r="AG1318" s="340"/>
      <c r="AH1318" s="340"/>
      <c r="AI1318" s="340"/>
      <c r="AJ1318" s="340"/>
      <c r="AK1318" s="340"/>
      <c r="AL1318" s="340"/>
      <c r="AM1318" s="340"/>
      <c r="AN1318" s="340"/>
    </row>
    <row r="1319" spans="20:40" x14ac:dyDescent="0.25">
      <c r="T1319" s="340"/>
      <c r="U1319" s="340"/>
      <c r="V1319" s="340"/>
      <c r="W1319" s="340"/>
      <c r="X1319" s="340"/>
      <c r="Y1319" s="340"/>
      <c r="Z1319" s="340"/>
      <c r="AA1319" s="340"/>
      <c r="AB1319" s="340"/>
      <c r="AC1319" s="340"/>
      <c r="AD1319" s="340"/>
      <c r="AE1319" s="340"/>
      <c r="AF1319" s="340"/>
      <c r="AG1319" s="340"/>
      <c r="AH1319" s="340"/>
      <c r="AI1319" s="340"/>
      <c r="AJ1319" s="340"/>
      <c r="AK1319" s="340"/>
      <c r="AL1319" s="340"/>
      <c r="AM1319" s="340"/>
      <c r="AN1319" s="340"/>
    </row>
    <row r="1320" spans="20:40" x14ac:dyDescent="0.25">
      <c r="T1320" s="340"/>
      <c r="U1320" s="340"/>
      <c r="V1320" s="340"/>
      <c r="W1320" s="340"/>
      <c r="X1320" s="340"/>
      <c r="Y1320" s="340"/>
      <c r="Z1320" s="340"/>
      <c r="AA1320" s="340"/>
      <c r="AB1320" s="340"/>
      <c r="AC1320" s="340"/>
      <c r="AD1320" s="340"/>
      <c r="AE1320" s="340"/>
      <c r="AF1320" s="340"/>
      <c r="AG1320" s="340"/>
      <c r="AH1320" s="340"/>
      <c r="AI1320" s="340"/>
      <c r="AJ1320" s="340"/>
      <c r="AK1320" s="340"/>
      <c r="AL1320" s="340"/>
      <c r="AM1320" s="340"/>
      <c r="AN1320" s="340"/>
    </row>
    <row r="1321" spans="20:40" x14ac:dyDescent="0.25">
      <c r="T1321" s="340"/>
      <c r="U1321" s="340"/>
      <c r="V1321" s="340"/>
      <c r="W1321" s="340"/>
      <c r="X1321" s="340"/>
      <c r="Y1321" s="340"/>
      <c r="Z1321" s="340"/>
      <c r="AA1321" s="340"/>
      <c r="AB1321" s="340"/>
      <c r="AC1321" s="340"/>
      <c r="AD1321" s="340"/>
      <c r="AE1321" s="340"/>
      <c r="AF1321" s="340"/>
      <c r="AG1321" s="340"/>
      <c r="AH1321" s="340"/>
      <c r="AI1321" s="340"/>
      <c r="AJ1321" s="340"/>
      <c r="AK1321" s="340"/>
      <c r="AL1321" s="340"/>
      <c r="AM1321" s="340"/>
      <c r="AN1321" s="340"/>
    </row>
    <row r="1322" spans="20:40" x14ac:dyDescent="0.25">
      <c r="T1322" s="340"/>
      <c r="U1322" s="340"/>
      <c r="V1322" s="340"/>
      <c r="W1322" s="340"/>
      <c r="X1322" s="340"/>
      <c r="Y1322" s="340"/>
      <c r="Z1322" s="340"/>
      <c r="AA1322" s="340"/>
      <c r="AB1322" s="340"/>
      <c r="AC1322" s="340"/>
      <c r="AD1322" s="340"/>
      <c r="AE1322" s="340"/>
      <c r="AF1322" s="340"/>
      <c r="AG1322" s="340"/>
      <c r="AH1322" s="340"/>
      <c r="AI1322" s="340"/>
      <c r="AJ1322" s="340"/>
      <c r="AK1322" s="340"/>
      <c r="AL1322" s="340"/>
      <c r="AM1322" s="340"/>
      <c r="AN1322" s="340"/>
    </row>
    <row r="1323" spans="20:40" x14ac:dyDescent="0.25">
      <c r="T1323" s="340"/>
      <c r="U1323" s="340"/>
      <c r="V1323" s="340"/>
      <c r="W1323" s="340"/>
      <c r="X1323" s="340"/>
      <c r="Y1323" s="340"/>
      <c r="Z1323" s="340"/>
      <c r="AA1323" s="340"/>
      <c r="AB1323" s="340"/>
      <c r="AC1323" s="340"/>
      <c r="AD1323" s="340"/>
      <c r="AE1323" s="340"/>
      <c r="AF1323" s="340"/>
      <c r="AG1323" s="340"/>
      <c r="AH1323" s="340"/>
      <c r="AI1323" s="340"/>
      <c r="AJ1323" s="340"/>
      <c r="AK1323" s="340"/>
      <c r="AL1323" s="340"/>
      <c r="AM1323" s="340"/>
      <c r="AN1323" s="340"/>
    </row>
    <row r="1324" spans="20:40" x14ac:dyDescent="0.25">
      <c r="T1324" s="340"/>
      <c r="U1324" s="340"/>
      <c r="V1324" s="340"/>
      <c r="W1324" s="340"/>
      <c r="X1324" s="340"/>
      <c r="Y1324" s="340"/>
      <c r="Z1324" s="340"/>
      <c r="AA1324" s="340"/>
      <c r="AB1324" s="340"/>
      <c r="AC1324" s="340"/>
      <c r="AD1324" s="340"/>
      <c r="AE1324" s="340"/>
      <c r="AF1324" s="340"/>
      <c r="AG1324" s="340"/>
      <c r="AH1324" s="340"/>
      <c r="AI1324" s="340"/>
      <c r="AJ1324" s="340"/>
      <c r="AK1324" s="340"/>
      <c r="AL1324" s="340"/>
      <c r="AM1324" s="340"/>
      <c r="AN1324" s="340"/>
    </row>
    <row r="1325" spans="20:40" x14ac:dyDescent="0.25">
      <c r="T1325" s="340"/>
      <c r="U1325" s="340"/>
      <c r="V1325" s="340"/>
      <c r="W1325" s="340"/>
      <c r="X1325" s="340"/>
      <c r="Y1325" s="340"/>
      <c r="Z1325" s="340"/>
      <c r="AA1325" s="340"/>
      <c r="AB1325" s="340"/>
      <c r="AC1325" s="340"/>
      <c r="AD1325" s="340"/>
      <c r="AE1325" s="340"/>
      <c r="AF1325" s="340"/>
      <c r="AG1325" s="340"/>
      <c r="AH1325" s="340"/>
      <c r="AI1325" s="340"/>
      <c r="AJ1325" s="340"/>
      <c r="AK1325" s="340"/>
      <c r="AL1325" s="340"/>
      <c r="AM1325" s="340"/>
      <c r="AN1325" s="340"/>
    </row>
    <row r="1326" spans="20:40" x14ac:dyDescent="0.25">
      <c r="T1326" s="340"/>
      <c r="U1326" s="340"/>
      <c r="V1326" s="340"/>
      <c r="W1326" s="340"/>
      <c r="X1326" s="340"/>
      <c r="Y1326" s="340"/>
      <c r="Z1326" s="340"/>
      <c r="AA1326" s="340"/>
      <c r="AB1326" s="340"/>
      <c r="AC1326" s="340"/>
      <c r="AD1326" s="340"/>
      <c r="AE1326" s="340"/>
      <c r="AF1326" s="340"/>
      <c r="AG1326" s="340"/>
      <c r="AH1326" s="340"/>
      <c r="AI1326" s="340"/>
      <c r="AJ1326" s="340"/>
      <c r="AK1326" s="340"/>
      <c r="AL1326" s="340"/>
      <c r="AM1326" s="340"/>
      <c r="AN1326" s="340"/>
    </row>
    <row r="1327" spans="20:40" x14ac:dyDescent="0.25">
      <c r="T1327" s="340"/>
      <c r="U1327" s="340"/>
      <c r="V1327" s="340"/>
      <c r="W1327" s="340"/>
      <c r="X1327" s="340"/>
      <c r="Y1327" s="340"/>
      <c r="Z1327" s="340"/>
      <c r="AA1327" s="340"/>
      <c r="AB1327" s="340"/>
      <c r="AC1327" s="340"/>
      <c r="AD1327" s="340"/>
      <c r="AE1327" s="340"/>
      <c r="AF1327" s="340"/>
      <c r="AG1327" s="340"/>
      <c r="AH1327" s="340"/>
      <c r="AI1327" s="340"/>
      <c r="AJ1327" s="340"/>
      <c r="AK1327" s="340"/>
      <c r="AL1327" s="340"/>
      <c r="AM1327" s="340"/>
      <c r="AN1327" s="340"/>
    </row>
    <row r="1328" spans="20:40" x14ac:dyDescent="0.25">
      <c r="T1328" s="340"/>
      <c r="U1328" s="340"/>
      <c r="V1328" s="340"/>
      <c r="W1328" s="340"/>
      <c r="X1328" s="340"/>
      <c r="Y1328" s="340"/>
      <c r="Z1328" s="340"/>
      <c r="AA1328" s="340"/>
      <c r="AB1328" s="340"/>
      <c r="AC1328" s="340"/>
      <c r="AD1328" s="340"/>
      <c r="AE1328" s="340"/>
      <c r="AF1328" s="340"/>
      <c r="AG1328" s="340"/>
      <c r="AH1328" s="340"/>
      <c r="AI1328" s="340"/>
      <c r="AJ1328" s="340"/>
      <c r="AK1328" s="340"/>
      <c r="AL1328" s="340"/>
      <c r="AM1328" s="340"/>
      <c r="AN1328" s="340"/>
    </row>
    <row r="1329" spans="20:40" x14ac:dyDescent="0.25">
      <c r="T1329" s="340"/>
      <c r="U1329" s="340"/>
      <c r="V1329" s="340"/>
      <c r="W1329" s="340"/>
      <c r="X1329" s="340"/>
      <c r="Y1329" s="340"/>
      <c r="Z1329" s="340"/>
      <c r="AA1329" s="340"/>
      <c r="AB1329" s="340"/>
      <c r="AC1329" s="340"/>
      <c r="AD1329" s="340"/>
      <c r="AE1329" s="340"/>
      <c r="AF1329" s="340"/>
      <c r="AG1329" s="340"/>
      <c r="AH1329" s="340"/>
      <c r="AI1329" s="340"/>
      <c r="AJ1329" s="340"/>
      <c r="AK1329" s="340"/>
      <c r="AL1329" s="340"/>
      <c r="AM1329" s="340"/>
      <c r="AN1329" s="340"/>
    </row>
    <row r="1330" spans="20:40" x14ac:dyDescent="0.25">
      <c r="T1330" s="340"/>
      <c r="U1330" s="340"/>
      <c r="V1330" s="340"/>
      <c r="W1330" s="340"/>
      <c r="X1330" s="340"/>
      <c r="Y1330" s="340"/>
      <c r="Z1330" s="340"/>
      <c r="AA1330" s="340"/>
      <c r="AB1330" s="340"/>
      <c r="AC1330" s="340"/>
      <c r="AD1330" s="340"/>
      <c r="AE1330" s="340"/>
      <c r="AF1330" s="340"/>
      <c r="AG1330" s="340"/>
      <c r="AH1330" s="340"/>
      <c r="AI1330" s="340"/>
      <c r="AJ1330" s="340"/>
      <c r="AK1330" s="340"/>
      <c r="AL1330" s="340"/>
      <c r="AM1330" s="340"/>
      <c r="AN1330" s="340"/>
    </row>
    <row r="1331" spans="20:40" x14ac:dyDescent="0.25">
      <c r="T1331" s="340"/>
      <c r="U1331" s="340"/>
      <c r="V1331" s="340"/>
      <c r="W1331" s="340"/>
      <c r="X1331" s="340"/>
      <c r="Y1331" s="340"/>
      <c r="Z1331" s="340"/>
      <c r="AA1331" s="340"/>
      <c r="AB1331" s="340"/>
      <c r="AC1331" s="340"/>
      <c r="AD1331" s="340"/>
      <c r="AE1331" s="340"/>
      <c r="AF1331" s="340"/>
      <c r="AG1331" s="340"/>
      <c r="AH1331" s="340"/>
      <c r="AI1331" s="340"/>
      <c r="AJ1331" s="340"/>
      <c r="AK1331" s="340"/>
      <c r="AL1331" s="340"/>
      <c r="AM1331" s="340"/>
      <c r="AN1331" s="340"/>
    </row>
    <row r="1332" spans="20:40" x14ac:dyDescent="0.25">
      <c r="T1332" s="340"/>
      <c r="U1332" s="340"/>
      <c r="V1332" s="340"/>
      <c r="W1332" s="340"/>
      <c r="X1332" s="340"/>
      <c r="Y1332" s="340"/>
      <c r="Z1332" s="340"/>
      <c r="AA1332" s="340"/>
      <c r="AB1332" s="340"/>
      <c r="AC1332" s="340"/>
      <c r="AD1332" s="340"/>
      <c r="AE1332" s="340"/>
      <c r="AF1332" s="340"/>
      <c r="AG1332" s="340"/>
      <c r="AH1332" s="340"/>
      <c r="AI1332" s="340"/>
      <c r="AJ1332" s="340"/>
      <c r="AK1332" s="340"/>
      <c r="AL1332" s="340"/>
      <c r="AM1332" s="340"/>
      <c r="AN1332" s="340"/>
    </row>
    <row r="1333" spans="20:40" x14ac:dyDescent="0.25">
      <c r="T1333" s="340"/>
      <c r="U1333" s="340"/>
      <c r="V1333" s="340"/>
      <c r="W1333" s="340"/>
      <c r="X1333" s="340"/>
      <c r="Y1333" s="340"/>
      <c r="Z1333" s="340"/>
      <c r="AA1333" s="340"/>
      <c r="AB1333" s="340"/>
      <c r="AC1333" s="340"/>
      <c r="AD1333" s="340"/>
      <c r="AE1333" s="340"/>
      <c r="AF1333" s="340"/>
      <c r="AG1333" s="340"/>
      <c r="AH1333" s="340"/>
      <c r="AI1333" s="340"/>
      <c r="AJ1333" s="340"/>
      <c r="AK1333" s="340"/>
      <c r="AL1333" s="340"/>
      <c r="AM1333" s="340"/>
      <c r="AN1333" s="340"/>
    </row>
    <row r="1334" spans="20:40" x14ac:dyDescent="0.25">
      <c r="T1334" s="340"/>
      <c r="U1334" s="340"/>
      <c r="V1334" s="340"/>
      <c r="W1334" s="340"/>
      <c r="X1334" s="340"/>
      <c r="Y1334" s="340"/>
      <c r="Z1334" s="340"/>
      <c r="AA1334" s="340"/>
      <c r="AB1334" s="340"/>
      <c r="AC1334" s="340"/>
      <c r="AD1334" s="340"/>
      <c r="AE1334" s="340"/>
      <c r="AF1334" s="340"/>
      <c r="AG1334" s="340"/>
      <c r="AH1334" s="340"/>
      <c r="AI1334" s="340"/>
      <c r="AJ1334" s="340"/>
      <c r="AK1334" s="340"/>
      <c r="AL1334" s="340"/>
      <c r="AM1334" s="340"/>
      <c r="AN1334" s="340"/>
    </row>
    <row r="1335" spans="20:40" x14ac:dyDescent="0.25">
      <c r="T1335" s="340"/>
      <c r="U1335" s="340"/>
      <c r="V1335" s="340"/>
      <c r="W1335" s="340"/>
      <c r="X1335" s="340"/>
      <c r="Y1335" s="340"/>
      <c r="Z1335" s="340"/>
      <c r="AA1335" s="340"/>
      <c r="AB1335" s="340"/>
      <c r="AC1335" s="340"/>
      <c r="AD1335" s="340"/>
      <c r="AE1335" s="340"/>
      <c r="AF1335" s="340"/>
      <c r="AG1335" s="340"/>
      <c r="AH1335" s="340"/>
      <c r="AI1335" s="340"/>
      <c r="AJ1335" s="340"/>
      <c r="AK1335" s="340"/>
      <c r="AL1335" s="340"/>
      <c r="AM1335" s="340"/>
      <c r="AN1335" s="340"/>
    </row>
    <row r="1336" spans="20:40" x14ac:dyDescent="0.25">
      <c r="T1336" s="340"/>
      <c r="U1336" s="340"/>
      <c r="V1336" s="340"/>
      <c r="W1336" s="340"/>
      <c r="X1336" s="340"/>
      <c r="Y1336" s="340"/>
      <c r="Z1336" s="340"/>
      <c r="AA1336" s="340"/>
      <c r="AB1336" s="340"/>
      <c r="AC1336" s="340"/>
      <c r="AD1336" s="340"/>
      <c r="AE1336" s="340"/>
      <c r="AF1336" s="340"/>
      <c r="AG1336" s="340"/>
      <c r="AH1336" s="340"/>
      <c r="AI1336" s="340"/>
      <c r="AJ1336" s="340"/>
      <c r="AK1336" s="340"/>
      <c r="AL1336" s="340"/>
      <c r="AM1336" s="340"/>
      <c r="AN1336" s="340"/>
    </row>
    <row r="1337" spans="20:40" x14ac:dyDescent="0.25">
      <c r="T1337" s="340"/>
      <c r="U1337" s="340"/>
      <c r="V1337" s="340"/>
      <c r="W1337" s="340"/>
      <c r="X1337" s="340"/>
      <c r="Y1337" s="340"/>
      <c r="Z1337" s="340"/>
      <c r="AA1337" s="340"/>
      <c r="AB1337" s="340"/>
      <c r="AC1337" s="340"/>
      <c r="AD1337" s="340"/>
      <c r="AE1337" s="340"/>
      <c r="AF1337" s="340"/>
      <c r="AG1337" s="340"/>
      <c r="AH1337" s="340"/>
      <c r="AI1337" s="340"/>
      <c r="AJ1337" s="340"/>
      <c r="AK1337" s="340"/>
      <c r="AL1337" s="340"/>
      <c r="AM1337" s="340"/>
      <c r="AN1337" s="340"/>
    </row>
    <row r="1338" spans="20:40" x14ac:dyDescent="0.25">
      <c r="T1338" s="340"/>
      <c r="U1338" s="340"/>
      <c r="V1338" s="340"/>
      <c r="W1338" s="340"/>
      <c r="X1338" s="340"/>
      <c r="Y1338" s="340"/>
      <c r="Z1338" s="340"/>
      <c r="AA1338" s="340"/>
      <c r="AB1338" s="340"/>
      <c r="AC1338" s="340"/>
      <c r="AD1338" s="340"/>
      <c r="AE1338" s="340"/>
      <c r="AF1338" s="340"/>
      <c r="AG1338" s="340"/>
      <c r="AH1338" s="340"/>
      <c r="AI1338" s="340"/>
      <c r="AJ1338" s="340"/>
      <c r="AK1338" s="340"/>
      <c r="AL1338" s="340"/>
      <c r="AM1338" s="340"/>
      <c r="AN1338" s="340"/>
    </row>
    <row r="1339" spans="20:40" x14ac:dyDescent="0.25">
      <c r="T1339" s="340"/>
      <c r="U1339" s="340"/>
      <c r="V1339" s="340"/>
      <c r="W1339" s="340"/>
      <c r="X1339" s="340"/>
      <c r="Y1339" s="340"/>
      <c r="Z1339" s="340"/>
      <c r="AA1339" s="340"/>
      <c r="AB1339" s="340"/>
      <c r="AC1339" s="340"/>
      <c r="AD1339" s="340"/>
      <c r="AE1339" s="340"/>
      <c r="AF1339" s="340"/>
      <c r="AG1339" s="340"/>
      <c r="AH1339" s="340"/>
      <c r="AI1339" s="340"/>
      <c r="AJ1339" s="340"/>
      <c r="AK1339" s="340"/>
      <c r="AL1339" s="340"/>
      <c r="AM1339" s="340"/>
      <c r="AN1339" s="340"/>
    </row>
    <row r="1340" spans="20:40" x14ac:dyDescent="0.25">
      <c r="T1340" s="340"/>
      <c r="U1340" s="340"/>
      <c r="V1340" s="340"/>
      <c r="W1340" s="340"/>
      <c r="X1340" s="340"/>
      <c r="Y1340" s="340"/>
      <c r="Z1340" s="340"/>
      <c r="AA1340" s="340"/>
      <c r="AB1340" s="340"/>
      <c r="AC1340" s="340"/>
      <c r="AD1340" s="340"/>
      <c r="AE1340" s="340"/>
      <c r="AF1340" s="340"/>
      <c r="AG1340" s="340"/>
      <c r="AH1340" s="340"/>
      <c r="AI1340" s="340"/>
      <c r="AJ1340" s="340"/>
      <c r="AK1340" s="340"/>
      <c r="AL1340" s="340"/>
      <c r="AM1340" s="340"/>
      <c r="AN1340" s="340"/>
    </row>
    <row r="1341" spans="20:40" x14ac:dyDescent="0.25">
      <c r="T1341" s="340"/>
      <c r="U1341" s="340"/>
      <c r="V1341" s="340"/>
      <c r="W1341" s="340"/>
      <c r="X1341" s="340"/>
      <c r="Y1341" s="340"/>
      <c r="Z1341" s="340"/>
      <c r="AA1341" s="340"/>
      <c r="AB1341" s="340"/>
      <c r="AC1341" s="340"/>
      <c r="AD1341" s="340"/>
      <c r="AE1341" s="340"/>
      <c r="AF1341" s="340"/>
      <c r="AG1341" s="340"/>
      <c r="AH1341" s="340"/>
      <c r="AI1341" s="340"/>
      <c r="AJ1341" s="340"/>
      <c r="AK1341" s="340"/>
      <c r="AL1341" s="340"/>
      <c r="AM1341" s="340"/>
      <c r="AN1341" s="340"/>
    </row>
    <row r="1342" spans="20:40" x14ac:dyDescent="0.25">
      <c r="T1342" s="340"/>
      <c r="U1342" s="340"/>
      <c r="V1342" s="340"/>
      <c r="W1342" s="340"/>
      <c r="X1342" s="340"/>
      <c r="Y1342" s="340"/>
      <c r="Z1342" s="340"/>
      <c r="AA1342" s="340"/>
      <c r="AB1342" s="340"/>
      <c r="AC1342" s="340"/>
      <c r="AD1342" s="340"/>
      <c r="AE1342" s="340"/>
      <c r="AF1342" s="340"/>
      <c r="AG1342" s="340"/>
      <c r="AH1342" s="340"/>
      <c r="AI1342" s="340"/>
      <c r="AJ1342" s="340"/>
      <c r="AK1342" s="340"/>
      <c r="AL1342" s="340"/>
      <c r="AM1342" s="340"/>
      <c r="AN1342" s="340"/>
    </row>
    <row r="1343" spans="20:40" x14ac:dyDescent="0.25">
      <c r="T1343" s="340"/>
      <c r="U1343" s="340"/>
      <c r="V1343" s="340"/>
      <c r="W1343" s="340"/>
      <c r="X1343" s="340"/>
      <c r="Y1343" s="340"/>
      <c r="Z1343" s="340"/>
      <c r="AA1343" s="340"/>
      <c r="AB1343" s="340"/>
      <c r="AC1343" s="340"/>
      <c r="AD1343" s="340"/>
      <c r="AE1343" s="340"/>
      <c r="AF1343" s="340"/>
      <c r="AG1343" s="340"/>
      <c r="AH1343" s="340"/>
      <c r="AI1343" s="340"/>
      <c r="AJ1343" s="340"/>
      <c r="AK1343" s="340"/>
      <c r="AL1343" s="340"/>
      <c r="AM1343" s="340"/>
      <c r="AN1343" s="340"/>
    </row>
    <row r="1344" spans="20:40" x14ac:dyDescent="0.25">
      <c r="T1344" s="340"/>
      <c r="U1344" s="340"/>
      <c r="V1344" s="340"/>
      <c r="W1344" s="340"/>
      <c r="X1344" s="340"/>
      <c r="Y1344" s="340"/>
      <c r="Z1344" s="340"/>
      <c r="AA1344" s="340"/>
      <c r="AB1344" s="340"/>
      <c r="AC1344" s="340"/>
      <c r="AD1344" s="340"/>
      <c r="AE1344" s="340"/>
      <c r="AF1344" s="340"/>
      <c r="AG1344" s="340"/>
      <c r="AH1344" s="340"/>
      <c r="AI1344" s="340"/>
      <c r="AJ1344" s="340"/>
      <c r="AK1344" s="340"/>
      <c r="AL1344" s="340"/>
      <c r="AM1344" s="340"/>
      <c r="AN1344" s="340"/>
    </row>
    <row r="1345" spans="20:40" x14ac:dyDescent="0.25">
      <c r="T1345" s="340"/>
      <c r="U1345" s="340"/>
      <c r="V1345" s="340"/>
      <c r="W1345" s="340"/>
      <c r="X1345" s="340"/>
      <c r="Y1345" s="340"/>
      <c r="Z1345" s="340"/>
      <c r="AA1345" s="340"/>
      <c r="AB1345" s="340"/>
      <c r="AC1345" s="340"/>
      <c r="AD1345" s="340"/>
      <c r="AE1345" s="340"/>
      <c r="AF1345" s="340"/>
      <c r="AG1345" s="340"/>
      <c r="AH1345" s="340"/>
      <c r="AI1345" s="340"/>
      <c r="AJ1345" s="340"/>
      <c r="AK1345" s="340"/>
      <c r="AL1345" s="340"/>
      <c r="AM1345" s="340"/>
      <c r="AN1345" s="340"/>
    </row>
    <row r="1346" spans="20:40" x14ac:dyDescent="0.25">
      <c r="T1346" s="340"/>
      <c r="U1346" s="340"/>
      <c r="V1346" s="340"/>
      <c r="W1346" s="340"/>
      <c r="X1346" s="340"/>
      <c r="Y1346" s="340"/>
      <c r="Z1346" s="340"/>
      <c r="AA1346" s="340"/>
      <c r="AB1346" s="340"/>
      <c r="AC1346" s="340"/>
      <c r="AD1346" s="340"/>
      <c r="AE1346" s="340"/>
      <c r="AF1346" s="340"/>
      <c r="AG1346" s="340"/>
      <c r="AH1346" s="340"/>
      <c r="AI1346" s="340"/>
      <c r="AJ1346" s="340"/>
      <c r="AK1346" s="340"/>
      <c r="AL1346" s="340"/>
      <c r="AM1346" s="340"/>
      <c r="AN1346" s="340"/>
    </row>
    <row r="1347" spans="20:40" x14ac:dyDescent="0.25">
      <c r="T1347" s="340"/>
      <c r="U1347" s="340"/>
      <c r="V1347" s="340"/>
      <c r="W1347" s="340"/>
      <c r="X1347" s="340"/>
      <c r="Y1347" s="340"/>
      <c r="Z1347" s="340"/>
      <c r="AA1347" s="340"/>
      <c r="AB1347" s="340"/>
      <c r="AC1347" s="340"/>
      <c r="AD1347" s="340"/>
      <c r="AE1347" s="340"/>
      <c r="AF1347" s="340"/>
      <c r="AG1347" s="340"/>
      <c r="AH1347" s="340"/>
      <c r="AI1347" s="340"/>
      <c r="AJ1347" s="340"/>
      <c r="AK1347" s="340"/>
      <c r="AL1347" s="340"/>
      <c r="AM1347" s="340"/>
      <c r="AN1347" s="340"/>
    </row>
    <row r="1348" spans="20:40" x14ac:dyDescent="0.25">
      <c r="T1348" s="340"/>
      <c r="U1348" s="340"/>
      <c r="V1348" s="340"/>
      <c r="W1348" s="340"/>
      <c r="X1348" s="340"/>
      <c r="Y1348" s="340"/>
      <c r="Z1348" s="340"/>
      <c r="AA1348" s="340"/>
      <c r="AB1348" s="340"/>
      <c r="AC1348" s="340"/>
      <c r="AD1348" s="340"/>
      <c r="AE1348" s="340"/>
      <c r="AF1348" s="340"/>
      <c r="AG1348" s="340"/>
      <c r="AH1348" s="340"/>
      <c r="AI1348" s="340"/>
      <c r="AJ1348" s="340"/>
      <c r="AK1348" s="340"/>
      <c r="AL1348" s="340"/>
      <c r="AM1348" s="340"/>
      <c r="AN1348" s="340"/>
    </row>
    <row r="1349" spans="20:40" x14ac:dyDescent="0.25">
      <c r="T1349" s="340"/>
      <c r="U1349" s="340"/>
      <c r="V1349" s="340"/>
      <c r="W1349" s="340"/>
      <c r="X1349" s="340"/>
      <c r="Y1349" s="340"/>
      <c r="Z1349" s="340"/>
      <c r="AA1349" s="340"/>
      <c r="AB1349" s="340"/>
      <c r="AC1349" s="340"/>
      <c r="AD1349" s="340"/>
      <c r="AE1349" s="340"/>
      <c r="AF1349" s="340"/>
      <c r="AG1349" s="340"/>
      <c r="AH1349" s="340"/>
      <c r="AI1349" s="340"/>
      <c r="AJ1349" s="340"/>
      <c r="AK1349" s="340"/>
      <c r="AL1349" s="340"/>
      <c r="AM1349" s="340"/>
      <c r="AN1349" s="340"/>
    </row>
    <row r="1350" spans="20:40" x14ac:dyDescent="0.25">
      <c r="T1350" s="340"/>
      <c r="U1350" s="340"/>
      <c r="V1350" s="340"/>
      <c r="W1350" s="340"/>
      <c r="X1350" s="340"/>
      <c r="Y1350" s="340"/>
      <c r="Z1350" s="340"/>
      <c r="AA1350" s="340"/>
      <c r="AB1350" s="340"/>
      <c r="AC1350" s="340"/>
      <c r="AD1350" s="340"/>
      <c r="AE1350" s="340"/>
      <c r="AF1350" s="340"/>
      <c r="AG1350" s="340"/>
      <c r="AH1350" s="340"/>
      <c r="AI1350" s="340"/>
      <c r="AJ1350" s="340"/>
      <c r="AK1350" s="340"/>
      <c r="AL1350" s="340"/>
      <c r="AM1350" s="340"/>
      <c r="AN1350" s="340"/>
    </row>
    <row r="1351" spans="20:40" x14ac:dyDescent="0.25">
      <c r="T1351" s="340"/>
      <c r="U1351" s="340"/>
      <c r="V1351" s="340"/>
      <c r="W1351" s="340"/>
      <c r="X1351" s="340"/>
      <c r="Y1351" s="340"/>
      <c r="Z1351" s="340"/>
      <c r="AA1351" s="340"/>
      <c r="AB1351" s="340"/>
      <c r="AC1351" s="340"/>
      <c r="AD1351" s="340"/>
      <c r="AE1351" s="340"/>
      <c r="AF1351" s="340"/>
      <c r="AG1351" s="340"/>
      <c r="AH1351" s="340"/>
      <c r="AI1351" s="340"/>
      <c r="AJ1351" s="340"/>
      <c r="AK1351" s="340"/>
      <c r="AL1351" s="340"/>
      <c r="AM1351" s="340"/>
      <c r="AN1351" s="340"/>
    </row>
    <row r="1352" spans="20:40" x14ac:dyDescent="0.25">
      <c r="T1352" s="340"/>
      <c r="U1352" s="340"/>
      <c r="V1352" s="340"/>
      <c r="W1352" s="340"/>
      <c r="X1352" s="340"/>
      <c r="Y1352" s="340"/>
      <c r="Z1352" s="340"/>
      <c r="AA1352" s="340"/>
      <c r="AB1352" s="340"/>
      <c r="AC1352" s="340"/>
      <c r="AD1352" s="340"/>
      <c r="AE1352" s="340"/>
      <c r="AF1352" s="340"/>
      <c r="AG1352" s="340"/>
      <c r="AH1352" s="340"/>
      <c r="AI1352" s="340"/>
      <c r="AJ1352" s="340"/>
      <c r="AK1352" s="340"/>
      <c r="AL1352" s="340"/>
      <c r="AM1352" s="340"/>
      <c r="AN1352" s="340"/>
    </row>
    <row r="1353" spans="20:40" x14ac:dyDescent="0.25">
      <c r="T1353" s="340"/>
      <c r="U1353" s="340"/>
      <c r="V1353" s="340"/>
      <c r="W1353" s="340"/>
      <c r="X1353" s="340"/>
      <c r="Y1353" s="340"/>
      <c r="Z1353" s="340"/>
      <c r="AA1353" s="340"/>
      <c r="AB1353" s="340"/>
      <c r="AC1353" s="340"/>
      <c r="AD1353" s="340"/>
      <c r="AE1353" s="340"/>
      <c r="AF1353" s="340"/>
      <c r="AG1353" s="340"/>
      <c r="AH1353" s="340"/>
      <c r="AI1353" s="340"/>
      <c r="AJ1353" s="340"/>
      <c r="AK1353" s="340"/>
      <c r="AL1353" s="340"/>
      <c r="AM1353" s="340"/>
      <c r="AN1353" s="340"/>
    </row>
    <row r="1354" spans="20:40" x14ac:dyDescent="0.25">
      <c r="T1354" s="340"/>
      <c r="U1354" s="340"/>
      <c r="V1354" s="340"/>
      <c r="W1354" s="340"/>
      <c r="X1354" s="340"/>
      <c r="Y1354" s="340"/>
      <c r="Z1354" s="340"/>
      <c r="AA1354" s="340"/>
      <c r="AB1354" s="340"/>
      <c r="AC1354" s="340"/>
      <c r="AD1354" s="340"/>
      <c r="AE1354" s="340"/>
      <c r="AF1354" s="340"/>
      <c r="AG1354" s="340"/>
      <c r="AH1354" s="340"/>
      <c r="AI1354" s="340"/>
      <c r="AJ1354" s="340"/>
      <c r="AK1354" s="340"/>
      <c r="AL1354" s="340"/>
      <c r="AM1354" s="340"/>
      <c r="AN1354" s="340"/>
    </row>
    <row r="1355" spans="20:40" x14ac:dyDescent="0.25">
      <c r="T1355" s="340"/>
      <c r="U1355" s="340"/>
      <c r="V1355" s="340"/>
      <c r="W1355" s="340"/>
      <c r="X1355" s="340"/>
      <c r="Y1355" s="340"/>
      <c r="Z1355" s="340"/>
      <c r="AA1355" s="340"/>
      <c r="AB1355" s="340"/>
      <c r="AC1355" s="340"/>
      <c r="AD1355" s="340"/>
      <c r="AE1355" s="340"/>
      <c r="AF1355" s="340"/>
      <c r="AG1355" s="340"/>
      <c r="AH1355" s="340"/>
      <c r="AI1355" s="340"/>
      <c r="AJ1355" s="340"/>
      <c r="AK1355" s="340"/>
      <c r="AL1355" s="340"/>
      <c r="AM1355" s="340"/>
      <c r="AN1355" s="340"/>
    </row>
    <row r="1356" spans="20:40" x14ac:dyDescent="0.25">
      <c r="T1356" s="340"/>
      <c r="U1356" s="340"/>
      <c r="V1356" s="340"/>
      <c r="W1356" s="340"/>
      <c r="X1356" s="340"/>
      <c r="Y1356" s="340"/>
      <c r="Z1356" s="340"/>
      <c r="AA1356" s="340"/>
      <c r="AB1356" s="340"/>
      <c r="AC1356" s="340"/>
      <c r="AD1356" s="340"/>
      <c r="AE1356" s="340"/>
      <c r="AF1356" s="340"/>
      <c r="AG1356" s="340"/>
      <c r="AH1356" s="340"/>
      <c r="AI1356" s="340"/>
      <c r="AJ1356" s="340"/>
      <c r="AK1356" s="340"/>
      <c r="AL1356" s="340"/>
      <c r="AM1356" s="340"/>
      <c r="AN1356" s="340"/>
    </row>
    <row r="1357" spans="20:40" x14ac:dyDescent="0.25">
      <c r="T1357" s="340"/>
      <c r="U1357" s="340"/>
      <c r="V1357" s="340"/>
      <c r="W1357" s="340"/>
      <c r="X1357" s="340"/>
      <c r="Y1357" s="340"/>
      <c r="Z1357" s="340"/>
      <c r="AA1357" s="340"/>
      <c r="AB1357" s="340"/>
      <c r="AC1357" s="340"/>
      <c r="AD1357" s="340"/>
      <c r="AE1357" s="340"/>
      <c r="AF1357" s="340"/>
      <c r="AG1357" s="340"/>
      <c r="AH1357" s="340"/>
      <c r="AI1357" s="340"/>
      <c r="AJ1357" s="340"/>
      <c r="AK1357" s="340"/>
      <c r="AL1357" s="340"/>
      <c r="AM1357" s="340"/>
      <c r="AN1357" s="340"/>
    </row>
    <row r="1358" spans="20:40" x14ac:dyDescent="0.25">
      <c r="T1358" s="340"/>
      <c r="U1358" s="340"/>
      <c r="V1358" s="340"/>
      <c r="W1358" s="340"/>
      <c r="X1358" s="340"/>
      <c r="Y1358" s="340"/>
      <c r="Z1358" s="340"/>
      <c r="AA1358" s="340"/>
      <c r="AB1358" s="340"/>
      <c r="AC1358" s="340"/>
      <c r="AD1358" s="340"/>
      <c r="AE1358" s="340"/>
      <c r="AF1358" s="340"/>
      <c r="AG1358" s="340"/>
      <c r="AH1358" s="340"/>
      <c r="AI1358" s="340"/>
      <c r="AJ1358" s="340"/>
      <c r="AK1358" s="340"/>
      <c r="AL1358" s="340"/>
      <c r="AM1358" s="340"/>
      <c r="AN1358" s="340"/>
    </row>
    <row r="1359" spans="20:40" x14ac:dyDescent="0.25">
      <c r="T1359" s="340"/>
      <c r="U1359" s="340"/>
      <c r="V1359" s="340"/>
      <c r="W1359" s="340"/>
      <c r="X1359" s="340"/>
      <c r="Y1359" s="340"/>
      <c r="Z1359" s="340"/>
      <c r="AA1359" s="340"/>
      <c r="AB1359" s="340"/>
      <c r="AC1359" s="340"/>
      <c r="AD1359" s="340"/>
      <c r="AE1359" s="340"/>
      <c r="AF1359" s="340"/>
      <c r="AG1359" s="340"/>
      <c r="AH1359" s="340"/>
      <c r="AI1359" s="340"/>
      <c r="AJ1359" s="340"/>
      <c r="AK1359" s="340"/>
      <c r="AL1359" s="340"/>
      <c r="AM1359" s="340"/>
      <c r="AN1359" s="340"/>
    </row>
    <row r="1360" spans="20:40" x14ac:dyDescent="0.25">
      <c r="T1360" s="340"/>
      <c r="U1360" s="340"/>
      <c r="V1360" s="340"/>
      <c r="W1360" s="340"/>
      <c r="X1360" s="340"/>
      <c r="Y1360" s="340"/>
      <c r="Z1360" s="340"/>
      <c r="AA1360" s="340"/>
      <c r="AB1360" s="340"/>
      <c r="AC1360" s="340"/>
      <c r="AD1360" s="340"/>
      <c r="AE1360" s="340"/>
      <c r="AF1360" s="340"/>
      <c r="AG1360" s="340"/>
      <c r="AH1360" s="340"/>
      <c r="AI1360" s="340"/>
      <c r="AJ1360" s="340"/>
      <c r="AK1360" s="340"/>
      <c r="AL1360" s="340"/>
      <c r="AM1360" s="340"/>
      <c r="AN1360" s="340"/>
    </row>
    <row r="1361" spans="20:40" x14ac:dyDescent="0.25">
      <c r="T1361" s="340"/>
      <c r="U1361" s="340"/>
      <c r="V1361" s="340"/>
      <c r="W1361" s="340"/>
      <c r="X1361" s="340"/>
      <c r="Y1361" s="340"/>
      <c r="Z1361" s="340"/>
      <c r="AA1361" s="340"/>
      <c r="AB1361" s="340"/>
      <c r="AC1361" s="340"/>
      <c r="AD1361" s="340"/>
      <c r="AE1361" s="340"/>
      <c r="AF1361" s="340"/>
      <c r="AG1361" s="340"/>
      <c r="AH1361" s="340"/>
      <c r="AI1361" s="340"/>
      <c r="AJ1361" s="340"/>
      <c r="AK1361" s="340"/>
      <c r="AL1361" s="340"/>
      <c r="AM1361" s="340"/>
      <c r="AN1361" s="340"/>
    </row>
    <row r="1362" spans="20:40" x14ac:dyDescent="0.25">
      <c r="T1362" s="340"/>
      <c r="U1362" s="340"/>
      <c r="V1362" s="340"/>
      <c r="W1362" s="340"/>
      <c r="X1362" s="340"/>
      <c r="Y1362" s="340"/>
      <c r="Z1362" s="340"/>
      <c r="AA1362" s="340"/>
      <c r="AB1362" s="340"/>
      <c r="AC1362" s="340"/>
      <c r="AD1362" s="340"/>
      <c r="AE1362" s="340"/>
      <c r="AF1362" s="340"/>
      <c r="AG1362" s="340"/>
      <c r="AH1362" s="340"/>
      <c r="AI1362" s="340"/>
      <c r="AJ1362" s="340"/>
      <c r="AK1362" s="340"/>
      <c r="AL1362" s="340"/>
      <c r="AM1362" s="340"/>
      <c r="AN1362" s="340"/>
    </row>
    <row r="1363" spans="20:40" x14ac:dyDescent="0.25">
      <c r="T1363" s="340"/>
      <c r="U1363" s="340"/>
      <c r="V1363" s="340"/>
      <c r="W1363" s="340"/>
      <c r="X1363" s="340"/>
      <c r="Y1363" s="340"/>
      <c r="Z1363" s="340"/>
      <c r="AA1363" s="340"/>
      <c r="AB1363" s="340"/>
      <c r="AC1363" s="340"/>
      <c r="AD1363" s="340"/>
      <c r="AE1363" s="340"/>
      <c r="AF1363" s="340"/>
      <c r="AG1363" s="340"/>
      <c r="AH1363" s="340"/>
      <c r="AI1363" s="340"/>
      <c r="AJ1363" s="340"/>
      <c r="AK1363" s="340"/>
      <c r="AL1363" s="340"/>
      <c r="AM1363" s="340"/>
      <c r="AN1363" s="340"/>
    </row>
    <row r="1364" spans="20:40" x14ac:dyDescent="0.25">
      <c r="T1364" s="340"/>
      <c r="U1364" s="340"/>
      <c r="V1364" s="340"/>
      <c r="W1364" s="340"/>
      <c r="X1364" s="340"/>
      <c r="Y1364" s="340"/>
      <c r="Z1364" s="340"/>
      <c r="AA1364" s="340"/>
      <c r="AB1364" s="340"/>
      <c r="AC1364" s="340"/>
      <c r="AD1364" s="340"/>
      <c r="AE1364" s="340"/>
      <c r="AF1364" s="340"/>
      <c r="AG1364" s="340"/>
      <c r="AH1364" s="340"/>
      <c r="AI1364" s="340"/>
      <c r="AJ1364" s="340"/>
      <c r="AK1364" s="340"/>
      <c r="AL1364" s="340"/>
      <c r="AM1364" s="340"/>
      <c r="AN1364" s="340"/>
    </row>
    <row r="1365" spans="20:40" x14ac:dyDescent="0.25">
      <c r="T1365" s="340"/>
      <c r="U1365" s="340"/>
      <c r="V1365" s="340"/>
      <c r="W1365" s="340"/>
      <c r="X1365" s="340"/>
      <c r="Y1365" s="340"/>
      <c r="Z1365" s="340"/>
      <c r="AA1365" s="340"/>
      <c r="AB1365" s="340"/>
      <c r="AC1365" s="340"/>
      <c r="AD1365" s="340"/>
      <c r="AE1365" s="340"/>
      <c r="AF1365" s="340"/>
      <c r="AG1365" s="340"/>
      <c r="AH1365" s="340"/>
      <c r="AI1365" s="340"/>
      <c r="AJ1365" s="340"/>
      <c r="AK1365" s="340"/>
      <c r="AL1365" s="340"/>
      <c r="AM1365" s="340"/>
      <c r="AN1365" s="340"/>
    </row>
    <row r="1366" spans="20:40" x14ac:dyDescent="0.25">
      <c r="T1366" s="340"/>
      <c r="U1366" s="340"/>
      <c r="V1366" s="340"/>
      <c r="W1366" s="340"/>
      <c r="X1366" s="340"/>
      <c r="Y1366" s="340"/>
      <c r="Z1366" s="340"/>
      <c r="AA1366" s="340"/>
      <c r="AB1366" s="340"/>
      <c r="AC1366" s="340"/>
      <c r="AD1366" s="340"/>
      <c r="AE1366" s="340"/>
      <c r="AF1366" s="340"/>
      <c r="AG1366" s="340"/>
      <c r="AH1366" s="340"/>
      <c r="AI1366" s="340"/>
      <c r="AJ1366" s="340"/>
      <c r="AK1366" s="340"/>
      <c r="AL1366" s="340"/>
      <c r="AM1366" s="340"/>
      <c r="AN1366" s="340"/>
    </row>
    <row r="1367" spans="20:40" x14ac:dyDescent="0.25">
      <c r="T1367" s="340"/>
      <c r="U1367" s="340"/>
      <c r="V1367" s="340"/>
      <c r="W1367" s="340"/>
      <c r="X1367" s="340"/>
      <c r="Y1367" s="340"/>
      <c r="Z1367" s="340"/>
      <c r="AA1367" s="340"/>
      <c r="AB1367" s="340"/>
      <c r="AC1367" s="340"/>
      <c r="AD1367" s="340"/>
      <c r="AE1367" s="340"/>
      <c r="AF1367" s="340"/>
      <c r="AG1367" s="340"/>
      <c r="AH1367" s="340"/>
      <c r="AI1367" s="340"/>
      <c r="AJ1367" s="340"/>
      <c r="AK1367" s="340"/>
      <c r="AL1367" s="340"/>
      <c r="AM1367" s="340"/>
      <c r="AN1367" s="340"/>
    </row>
    <row r="1368" spans="20:40" x14ac:dyDescent="0.25">
      <c r="T1368" s="340"/>
      <c r="U1368" s="340"/>
      <c r="V1368" s="340"/>
      <c r="W1368" s="340"/>
      <c r="X1368" s="340"/>
      <c r="Y1368" s="340"/>
      <c r="Z1368" s="340"/>
      <c r="AA1368" s="340"/>
      <c r="AB1368" s="340"/>
      <c r="AC1368" s="340"/>
      <c r="AD1368" s="340"/>
      <c r="AE1368" s="340"/>
      <c r="AF1368" s="340"/>
      <c r="AG1368" s="340"/>
      <c r="AH1368" s="340"/>
      <c r="AI1368" s="340"/>
      <c r="AJ1368" s="340"/>
      <c r="AK1368" s="340"/>
      <c r="AL1368" s="340"/>
      <c r="AM1368" s="340"/>
      <c r="AN1368" s="340"/>
    </row>
    <row r="1369" spans="20:40" x14ac:dyDescent="0.25">
      <c r="T1369" s="340"/>
      <c r="U1369" s="340"/>
      <c r="V1369" s="340"/>
      <c r="W1369" s="340"/>
      <c r="X1369" s="340"/>
      <c r="Y1369" s="340"/>
      <c r="Z1369" s="340"/>
      <c r="AA1369" s="340"/>
      <c r="AB1369" s="340"/>
      <c r="AC1369" s="340"/>
      <c r="AD1369" s="340"/>
      <c r="AE1369" s="340"/>
      <c r="AF1369" s="340"/>
      <c r="AG1369" s="340"/>
      <c r="AH1369" s="340"/>
      <c r="AI1369" s="340"/>
      <c r="AJ1369" s="340"/>
      <c r="AK1369" s="340"/>
      <c r="AL1369" s="340"/>
      <c r="AM1369" s="340"/>
      <c r="AN1369" s="340"/>
    </row>
    <row r="1370" spans="20:40" x14ac:dyDescent="0.25">
      <c r="T1370" s="340"/>
      <c r="U1370" s="340"/>
      <c r="V1370" s="340"/>
      <c r="W1370" s="340"/>
      <c r="X1370" s="340"/>
      <c r="Y1370" s="340"/>
      <c r="Z1370" s="340"/>
      <c r="AA1370" s="340"/>
      <c r="AB1370" s="340"/>
      <c r="AC1370" s="340"/>
      <c r="AD1370" s="340"/>
      <c r="AE1370" s="340"/>
      <c r="AF1370" s="340"/>
      <c r="AG1370" s="340"/>
      <c r="AH1370" s="340"/>
      <c r="AI1370" s="340"/>
      <c r="AJ1370" s="340"/>
      <c r="AK1370" s="340"/>
      <c r="AL1370" s="340"/>
      <c r="AM1370" s="340"/>
      <c r="AN1370" s="340"/>
    </row>
    <row r="1371" spans="20:40" x14ac:dyDescent="0.25">
      <c r="T1371" s="340"/>
      <c r="U1371" s="340"/>
      <c r="V1371" s="340"/>
      <c r="W1371" s="340"/>
      <c r="X1371" s="340"/>
      <c r="Y1371" s="340"/>
      <c r="Z1371" s="340"/>
      <c r="AA1371" s="340"/>
      <c r="AB1371" s="340"/>
      <c r="AC1371" s="340"/>
      <c r="AD1371" s="340"/>
      <c r="AE1371" s="340"/>
      <c r="AF1371" s="340"/>
      <c r="AG1371" s="340"/>
      <c r="AH1371" s="340"/>
      <c r="AI1371" s="340"/>
      <c r="AJ1371" s="340"/>
      <c r="AK1371" s="340"/>
      <c r="AL1371" s="340"/>
      <c r="AM1371" s="340"/>
      <c r="AN1371" s="340"/>
    </row>
    <row r="1372" spans="20:40" x14ac:dyDescent="0.25">
      <c r="T1372" s="340"/>
      <c r="U1372" s="340"/>
      <c r="V1372" s="340"/>
      <c r="W1372" s="340"/>
      <c r="X1372" s="340"/>
      <c r="Y1372" s="340"/>
      <c r="Z1372" s="340"/>
      <c r="AA1372" s="340"/>
      <c r="AB1372" s="340"/>
      <c r="AC1372" s="340"/>
      <c r="AD1372" s="340"/>
      <c r="AE1372" s="340"/>
      <c r="AF1372" s="340"/>
      <c r="AG1372" s="340"/>
      <c r="AH1372" s="340"/>
      <c r="AI1372" s="340"/>
      <c r="AJ1372" s="340"/>
      <c r="AK1372" s="340"/>
      <c r="AL1372" s="340"/>
      <c r="AM1372" s="340"/>
      <c r="AN1372" s="340"/>
    </row>
    <row r="1373" spans="20:40" x14ac:dyDescent="0.25">
      <c r="T1373" s="340"/>
      <c r="U1373" s="340"/>
      <c r="V1373" s="340"/>
      <c r="W1373" s="340"/>
      <c r="X1373" s="340"/>
      <c r="Y1373" s="340"/>
      <c r="Z1373" s="340"/>
      <c r="AA1373" s="340"/>
      <c r="AB1373" s="340"/>
      <c r="AC1373" s="340"/>
      <c r="AD1373" s="340"/>
      <c r="AE1373" s="340"/>
      <c r="AF1373" s="340"/>
      <c r="AG1373" s="340"/>
      <c r="AH1373" s="340"/>
      <c r="AI1373" s="340"/>
      <c r="AJ1373" s="340"/>
      <c r="AK1373" s="340"/>
      <c r="AL1373" s="340"/>
      <c r="AM1373" s="340"/>
      <c r="AN1373" s="340"/>
    </row>
    <row r="1374" spans="20:40" x14ac:dyDescent="0.25">
      <c r="T1374" s="340"/>
      <c r="U1374" s="340"/>
      <c r="V1374" s="340"/>
      <c r="W1374" s="340"/>
      <c r="X1374" s="340"/>
      <c r="Y1374" s="340"/>
      <c r="Z1374" s="340"/>
      <c r="AA1374" s="340"/>
      <c r="AB1374" s="340"/>
      <c r="AC1374" s="340"/>
      <c r="AD1374" s="340"/>
      <c r="AE1374" s="340"/>
      <c r="AF1374" s="340"/>
      <c r="AG1374" s="340"/>
      <c r="AH1374" s="340"/>
      <c r="AI1374" s="340"/>
      <c r="AJ1374" s="340"/>
      <c r="AK1374" s="340"/>
      <c r="AL1374" s="340"/>
      <c r="AM1374" s="340"/>
      <c r="AN1374" s="340"/>
    </row>
    <row r="1375" spans="20:40" x14ac:dyDescent="0.25">
      <c r="T1375" s="340"/>
      <c r="U1375" s="340"/>
      <c r="V1375" s="340"/>
      <c r="W1375" s="340"/>
      <c r="X1375" s="340"/>
      <c r="Y1375" s="340"/>
      <c r="Z1375" s="340"/>
      <c r="AA1375" s="340"/>
      <c r="AB1375" s="340"/>
      <c r="AC1375" s="340"/>
      <c r="AD1375" s="340"/>
      <c r="AE1375" s="340"/>
      <c r="AF1375" s="340"/>
      <c r="AG1375" s="340"/>
      <c r="AH1375" s="340"/>
      <c r="AI1375" s="340"/>
      <c r="AJ1375" s="340"/>
      <c r="AK1375" s="340"/>
      <c r="AL1375" s="340"/>
      <c r="AM1375" s="340"/>
      <c r="AN1375" s="340"/>
    </row>
    <row r="1376" spans="20:40" x14ac:dyDescent="0.25">
      <c r="T1376" s="340"/>
      <c r="U1376" s="340"/>
      <c r="V1376" s="340"/>
      <c r="W1376" s="340"/>
      <c r="X1376" s="340"/>
      <c r="Y1376" s="340"/>
      <c r="Z1376" s="340"/>
      <c r="AA1376" s="340"/>
      <c r="AB1376" s="340"/>
      <c r="AC1376" s="340"/>
      <c r="AD1376" s="340"/>
      <c r="AE1376" s="340"/>
      <c r="AF1376" s="340"/>
      <c r="AG1376" s="340"/>
      <c r="AH1376" s="340"/>
      <c r="AI1376" s="340"/>
      <c r="AJ1376" s="340"/>
      <c r="AK1376" s="340"/>
      <c r="AL1376" s="340"/>
      <c r="AM1376" s="340"/>
      <c r="AN1376" s="340"/>
    </row>
    <row r="1377" spans="20:40" x14ac:dyDescent="0.25">
      <c r="T1377" s="340"/>
      <c r="U1377" s="340"/>
      <c r="V1377" s="340"/>
      <c r="W1377" s="340"/>
      <c r="X1377" s="340"/>
      <c r="Y1377" s="340"/>
      <c r="Z1377" s="340"/>
      <c r="AA1377" s="340"/>
      <c r="AB1377" s="340"/>
      <c r="AC1377" s="340"/>
      <c r="AD1377" s="340"/>
      <c r="AE1377" s="340"/>
      <c r="AF1377" s="340"/>
      <c r="AG1377" s="340"/>
      <c r="AH1377" s="340"/>
      <c r="AI1377" s="340"/>
      <c r="AJ1377" s="340"/>
      <c r="AK1377" s="340"/>
      <c r="AL1377" s="340"/>
      <c r="AM1377" s="340"/>
      <c r="AN1377" s="340"/>
    </row>
    <row r="1378" spans="20:40" x14ac:dyDescent="0.25">
      <c r="T1378" s="340"/>
      <c r="U1378" s="340"/>
      <c r="V1378" s="340"/>
      <c r="W1378" s="340"/>
      <c r="X1378" s="340"/>
      <c r="Y1378" s="340"/>
      <c r="Z1378" s="340"/>
      <c r="AA1378" s="340"/>
      <c r="AB1378" s="340"/>
      <c r="AC1378" s="340"/>
      <c r="AD1378" s="340"/>
      <c r="AE1378" s="340"/>
      <c r="AF1378" s="340"/>
      <c r="AG1378" s="340"/>
      <c r="AH1378" s="340"/>
      <c r="AI1378" s="340"/>
      <c r="AJ1378" s="340"/>
      <c r="AK1378" s="340"/>
      <c r="AL1378" s="340"/>
      <c r="AM1378" s="340"/>
      <c r="AN1378" s="340"/>
    </row>
    <row r="1379" spans="20:40" x14ac:dyDescent="0.25">
      <c r="T1379" s="340"/>
      <c r="U1379" s="340"/>
      <c r="V1379" s="340"/>
      <c r="W1379" s="340"/>
      <c r="X1379" s="340"/>
      <c r="Y1379" s="340"/>
      <c r="Z1379" s="340"/>
      <c r="AA1379" s="340"/>
      <c r="AB1379" s="340"/>
      <c r="AC1379" s="340"/>
      <c r="AD1379" s="340"/>
      <c r="AE1379" s="340"/>
      <c r="AF1379" s="340"/>
      <c r="AG1379" s="340"/>
      <c r="AH1379" s="340"/>
      <c r="AI1379" s="340"/>
      <c r="AJ1379" s="340"/>
      <c r="AK1379" s="340"/>
      <c r="AL1379" s="340"/>
      <c r="AM1379" s="340"/>
      <c r="AN1379" s="340"/>
    </row>
    <row r="1380" spans="20:40" x14ac:dyDescent="0.25">
      <c r="T1380" s="340"/>
      <c r="U1380" s="340"/>
      <c r="V1380" s="340"/>
      <c r="W1380" s="340"/>
      <c r="X1380" s="340"/>
      <c r="Y1380" s="340"/>
      <c r="Z1380" s="340"/>
      <c r="AA1380" s="340"/>
      <c r="AB1380" s="340"/>
      <c r="AC1380" s="340"/>
      <c r="AD1380" s="340"/>
      <c r="AE1380" s="340"/>
      <c r="AF1380" s="340"/>
      <c r="AG1380" s="340"/>
      <c r="AH1380" s="340"/>
      <c r="AI1380" s="340"/>
      <c r="AJ1380" s="340"/>
      <c r="AK1380" s="340"/>
      <c r="AL1380" s="340"/>
      <c r="AM1380" s="340"/>
      <c r="AN1380" s="340"/>
    </row>
    <row r="1381" spans="20:40" x14ac:dyDescent="0.25">
      <c r="T1381" s="340"/>
      <c r="U1381" s="340"/>
      <c r="V1381" s="340"/>
      <c r="W1381" s="340"/>
      <c r="X1381" s="340"/>
      <c r="Y1381" s="340"/>
      <c r="Z1381" s="340"/>
      <c r="AA1381" s="340"/>
      <c r="AB1381" s="340"/>
      <c r="AC1381" s="340"/>
      <c r="AD1381" s="340"/>
      <c r="AE1381" s="340"/>
      <c r="AF1381" s="340"/>
      <c r="AG1381" s="340"/>
      <c r="AH1381" s="340"/>
      <c r="AI1381" s="340"/>
      <c r="AJ1381" s="340"/>
      <c r="AK1381" s="340"/>
      <c r="AL1381" s="340"/>
      <c r="AM1381" s="340"/>
      <c r="AN1381" s="340"/>
    </row>
    <row r="1382" spans="20:40" x14ac:dyDescent="0.25">
      <c r="T1382" s="340"/>
      <c r="U1382" s="340"/>
      <c r="V1382" s="340"/>
      <c r="W1382" s="340"/>
      <c r="X1382" s="340"/>
      <c r="Y1382" s="340"/>
      <c r="Z1382" s="340"/>
      <c r="AA1382" s="340"/>
      <c r="AB1382" s="340"/>
      <c r="AC1382" s="340"/>
      <c r="AD1382" s="340"/>
      <c r="AE1382" s="340"/>
      <c r="AF1382" s="340"/>
      <c r="AG1382" s="340"/>
      <c r="AH1382" s="340"/>
      <c r="AI1382" s="340"/>
      <c r="AJ1382" s="340"/>
      <c r="AK1382" s="340"/>
      <c r="AL1382" s="340"/>
      <c r="AM1382" s="340"/>
      <c r="AN1382" s="340"/>
    </row>
    <row r="1383" spans="20:40" x14ac:dyDescent="0.25">
      <c r="T1383" s="340"/>
      <c r="U1383" s="340"/>
      <c r="V1383" s="340"/>
      <c r="W1383" s="340"/>
      <c r="X1383" s="340"/>
      <c r="Y1383" s="340"/>
      <c r="Z1383" s="340"/>
      <c r="AA1383" s="340"/>
      <c r="AB1383" s="340"/>
      <c r="AC1383" s="340"/>
      <c r="AD1383" s="340"/>
      <c r="AE1383" s="340"/>
      <c r="AF1383" s="340"/>
      <c r="AG1383" s="340"/>
      <c r="AH1383" s="340"/>
      <c r="AI1383" s="340"/>
      <c r="AJ1383" s="340"/>
      <c r="AK1383" s="340"/>
      <c r="AL1383" s="340"/>
      <c r="AM1383" s="340"/>
      <c r="AN1383" s="340"/>
    </row>
    <row r="1384" spans="20:40" x14ac:dyDescent="0.25">
      <c r="T1384" s="340"/>
      <c r="U1384" s="340"/>
      <c r="V1384" s="340"/>
      <c r="W1384" s="340"/>
      <c r="X1384" s="340"/>
      <c r="Y1384" s="340"/>
      <c r="Z1384" s="340"/>
      <c r="AA1384" s="340"/>
      <c r="AB1384" s="340"/>
      <c r="AC1384" s="340"/>
      <c r="AD1384" s="340"/>
      <c r="AE1384" s="340"/>
      <c r="AF1384" s="340"/>
      <c r="AG1384" s="340"/>
      <c r="AH1384" s="340"/>
      <c r="AI1384" s="340"/>
      <c r="AJ1384" s="340"/>
      <c r="AK1384" s="340"/>
      <c r="AL1384" s="340"/>
      <c r="AM1384" s="340"/>
      <c r="AN1384" s="340"/>
    </row>
    <row r="1385" spans="20:40" x14ac:dyDescent="0.25">
      <c r="T1385" s="340"/>
      <c r="U1385" s="340"/>
      <c r="V1385" s="340"/>
      <c r="W1385" s="340"/>
      <c r="X1385" s="340"/>
      <c r="Y1385" s="340"/>
      <c r="Z1385" s="340"/>
      <c r="AA1385" s="340"/>
      <c r="AB1385" s="340"/>
      <c r="AC1385" s="340"/>
      <c r="AD1385" s="340"/>
      <c r="AE1385" s="340"/>
      <c r="AF1385" s="340"/>
      <c r="AG1385" s="340"/>
      <c r="AH1385" s="340"/>
      <c r="AI1385" s="340"/>
      <c r="AJ1385" s="340"/>
      <c r="AK1385" s="340"/>
      <c r="AL1385" s="340"/>
      <c r="AM1385" s="340"/>
      <c r="AN1385" s="340"/>
    </row>
    <row r="1386" spans="20:40" x14ac:dyDescent="0.25">
      <c r="T1386" s="340"/>
      <c r="U1386" s="340"/>
      <c r="V1386" s="340"/>
      <c r="W1386" s="340"/>
      <c r="X1386" s="340"/>
      <c r="Y1386" s="340"/>
      <c r="Z1386" s="340"/>
      <c r="AA1386" s="340"/>
      <c r="AB1386" s="340"/>
      <c r="AC1386" s="340"/>
      <c r="AD1386" s="340"/>
      <c r="AE1386" s="340"/>
      <c r="AF1386" s="340"/>
      <c r="AG1386" s="340"/>
      <c r="AH1386" s="340"/>
      <c r="AI1386" s="340"/>
      <c r="AJ1386" s="340"/>
      <c r="AK1386" s="340"/>
      <c r="AL1386" s="340"/>
      <c r="AM1386" s="340"/>
      <c r="AN1386" s="340"/>
    </row>
    <row r="1387" spans="20:40" x14ac:dyDescent="0.25">
      <c r="T1387" s="340"/>
      <c r="U1387" s="340"/>
      <c r="V1387" s="340"/>
      <c r="W1387" s="340"/>
      <c r="X1387" s="340"/>
      <c r="Y1387" s="340"/>
      <c r="Z1387" s="340"/>
      <c r="AA1387" s="340"/>
      <c r="AB1387" s="340"/>
      <c r="AC1387" s="340"/>
      <c r="AD1387" s="340"/>
      <c r="AE1387" s="340"/>
      <c r="AF1387" s="340"/>
      <c r="AG1387" s="340"/>
      <c r="AH1387" s="340"/>
      <c r="AI1387" s="340"/>
      <c r="AJ1387" s="340"/>
      <c r="AK1387" s="340"/>
      <c r="AL1387" s="340"/>
      <c r="AM1387" s="340"/>
      <c r="AN1387" s="340"/>
    </row>
    <row r="1388" spans="20:40" x14ac:dyDescent="0.25">
      <c r="T1388" s="340"/>
      <c r="U1388" s="340"/>
      <c r="V1388" s="340"/>
      <c r="W1388" s="340"/>
      <c r="X1388" s="340"/>
      <c r="Y1388" s="340"/>
      <c r="Z1388" s="340"/>
      <c r="AA1388" s="340"/>
      <c r="AB1388" s="340"/>
      <c r="AC1388" s="340"/>
      <c r="AD1388" s="340"/>
      <c r="AE1388" s="340"/>
      <c r="AF1388" s="340"/>
      <c r="AG1388" s="340"/>
      <c r="AH1388" s="340"/>
      <c r="AI1388" s="340"/>
      <c r="AJ1388" s="340"/>
      <c r="AK1388" s="340"/>
      <c r="AL1388" s="340"/>
      <c r="AM1388" s="340"/>
      <c r="AN1388" s="340"/>
    </row>
    <row r="1389" spans="20:40" x14ac:dyDescent="0.25">
      <c r="T1389" s="340"/>
      <c r="U1389" s="340"/>
      <c r="V1389" s="340"/>
      <c r="W1389" s="340"/>
      <c r="X1389" s="340"/>
      <c r="Y1389" s="340"/>
      <c r="Z1389" s="340"/>
      <c r="AA1389" s="340"/>
      <c r="AB1389" s="340"/>
      <c r="AC1389" s="340"/>
      <c r="AD1389" s="340"/>
      <c r="AE1389" s="340"/>
      <c r="AF1389" s="340"/>
      <c r="AG1389" s="340"/>
      <c r="AH1389" s="340"/>
      <c r="AI1389" s="340"/>
      <c r="AJ1389" s="340"/>
      <c r="AK1389" s="340"/>
      <c r="AL1389" s="340"/>
      <c r="AM1389" s="340"/>
      <c r="AN1389" s="340"/>
    </row>
    <row r="1390" spans="20:40" x14ac:dyDescent="0.25">
      <c r="T1390" s="340"/>
      <c r="U1390" s="340"/>
      <c r="V1390" s="340"/>
      <c r="W1390" s="340"/>
      <c r="X1390" s="340"/>
      <c r="Y1390" s="340"/>
      <c r="Z1390" s="340"/>
      <c r="AA1390" s="340"/>
      <c r="AB1390" s="340"/>
      <c r="AC1390" s="340"/>
      <c r="AD1390" s="340"/>
      <c r="AE1390" s="340"/>
      <c r="AF1390" s="340"/>
      <c r="AG1390" s="340"/>
      <c r="AH1390" s="340"/>
      <c r="AI1390" s="340"/>
      <c r="AJ1390" s="340"/>
      <c r="AK1390" s="340"/>
      <c r="AL1390" s="340"/>
      <c r="AM1390" s="340"/>
      <c r="AN1390" s="340"/>
    </row>
    <row r="1391" spans="20:40" x14ac:dyDescent="0.25">
      <c r="T1391" s="340"/>
      <c r="U1391" s="340"/>
      <c r="V1391" s="340"/>
      <c r="W1391" s="340"/>
      <c r="X1391" s="340"/>
      <c r="Y1391" s="340"/>
      <c r="Z1391" s="340"/>
      <c r="AA1391" s="340"/>
      <c r="AB1391" s="340"/>
      <c r="AC1391" s="340"/>
      <c r="AD1391" s="340"/>
      <c r="AE1391" s="340"/>
      <c r="AF1391" s="340"/>
      <c r="AG1391" s="340"/>
      <c r="AH1391" s="340"/>
      <c r="AI1391" s="340"/>
      <c r="AJ1391" s="340"/>
      <c r="AK1391" s="340"/>
      <c r="AL1391" s="340"/>
      <c r="AM1391" s="340"/>
      <c r="AN1391" s="340"/>
    </row>
    <row r="1392" spans="20:40" x14ac:dyDescent="0.25">
      <c r="T1392" s="340"/>
      <c r="U1392" s="340"/>
      <c r="V1392" s="340"/>
      <c r="W1392" s="340"/>
      <c r="X1392" s="340"/>
      <c r="Y1392" s="340"/>
      <c r="Z1392" s="340"/>
      <c r="AA1392" s="340"/>
      <c r="AB1392" s="340"/>
      <c r="AC1392" s="340"/>
      <c r="AD1392" s="340"/>
      <c r="AE1392" s="340"/>
      <c r="AF1392" s="340"/>
      <c r="AG1392" s="340"/>
      <c r="AH1392" s="340"/>
      <c r="AI1392" s="340"/>
      <c r="AJ1392" s="340"/>
      <c r="AK1392" s="340"/>
      <c r="AL1392" s="340"/>
      <c r="AM1392" s="340"/>
      <c r="AN1392" s="340"/>
    </row>
    <row r="1393" spans="20:40" x14ac:dyDescent="0.25">
      <c r="T1393" s="340"/>
      <c r="U1393" s="340"/>
      <c r="V1393" s="340"/>
      <c r="W1393" s="340"/>
      <c r="X1393" s="340"/>
      <c r="Y1393" s="340"/>
      <c r="Z1393" s="340"/>
      <c r="AA1393" s="340"/>
      <c r="AB1393" s="340"/>
      <c r="AC1393" s="340"/>
      <c r="AD1393" s="340"/>
      <c r="AE1393" s="340"/>
      <c r="AF1393" s="340"/>
      <c r="AG1393" s="340"/>
      <c r="AH1393" s="340"/>
      <c r="AI1393" s="340"/>
      <c r="AJ1393" s="340"/>
      <c r="AK1393" s="340"/>
      <c r="AL1393" s="340"/>
      <c r="AM1393" s="340"/>
      <c r="AN1393" s="340"/>
    </row>
    <row r="1394" spans="20:40" x14ac:dyDescent="0.25">
      <c r="T1394" s="340"/>
      <c r="U1394" s="340"/>
      <c r="V1394" s="340"/>
      <c r="W1394" s="340"/>
      <c r="X1394" s="340"/>
      <c r="Y1394" s="340"/>
      <c r="Z1394" s="340"/>
      <c r="AA1394" s="340"/>
      <c r="AB1394" s="340"/>
      <c r="AC1394" s="340"/>
      <c r="AD1394" s="340"/>
      <c r="AE1394" s="340"/>
      <c r="AF1394" s="340"/>
      <c r="AG1394" s="340"/>
      <c r="AH1394" s="340"/>
      <c r="AI1394" s="340"/>
      <c r="AJ1394" s="340"/>
      <c r="AK1394" s="340"/>
      <c r="AL1394" s="340"/>
      <c r="AM1394" s="340"/>
      <c r="AN1394" s="340"/>
    </row>
    <row r="1395" spans="20:40" x14ac:dyDescent="0.25">
      <c r="T1395" s="340"/>
      <c r="U1395" s="340"/>
      <c r="V1395" s="340"/>
      <c r="W1395" s="340"/>
      <c r="X1395" s="340"/>
      <c r="Y1395" s="340"/>
      <c r="Z1395" s="340"/>
      <c r="AA1395" s="340"/>
      <c r="AB1395" s="340"/>
      <c r="AC1395" s="340"/>
      <c r="AD1395" s="340"/>
      <c r="AE1395" s="340"/>
      <c r="AF1395" s="340"/>
      <c r="AG1395" s="340"/>
      <c r="AH1395" s="340"/>
      <c r="AI1395" s="340"/>
      <c r="AJ1395" s="340"/>
      <c r="AK1395" s="340"/>
      <c r="AL1395" s="340"/>
      <c r="AM1395" s="340"/>
      <c r="AN1395" s="340"/>
    </row>
    <row r="1396" spans="20:40" x14ac:dyDescent="0.25">
      <c r="T1396" s="340"/>
      <c r="U1396" s="340"/>
      <c r="V1396" s="340"/>
      <c r="W1396" s="340"/>
      <c r="X1396" s="340"/>
      <c r="Y1396" s="340"/>
      <c r="Z1396" s="340"/>
      <c r="AA1396" s="340"/>
      <c r="AB1396" s="340"/>
      <c r="AC1396" s="340"/>
      <c r="AD1396" s="340"/>
      <c r="AE1396" s="340"/>
      <c r="AF1396" s="340"/>
      <c r="AG1396" s="340"/>
      <c r="AH1396" s="340"/>
      <c r="AI1396" s="340"/>
      <c r="AJ1396" s="340"/>
      <c r="AK1396" s="340"/>
      <c r="AL1396" s="340"/>
      <c r="AM1396" s="340"/>
      <c r="AN1396" s="340"/>
    </row>
    <row r="1397" spans="20:40" x14ac:dyDescent="0.25">
      <c r="T1397" s="340"/>
      <c r="U1397" s="340"/>
      <c r="V1397" s="340"/>
      <c r="W1397" s="340"/>
      <c r="X1397" s="340"/>
      <c r="Y1397" s="340"/>
      <c r="Z1397" s="340"/>
      <c r="AA1397" s="340"/>
      <c r="AB1397" s="340"/>
      <c r="AC1397" s="340"/>
      <c r="AD1397" s="340"/>
      <c r="AE1397" s="340"/>
      <c r="AF1397" s="340"/>
      <c r="AG1397" s="340"/>
      <c r="AH1397" s="340"/>
      <c r="AI1397" s="340"/>
      <c r="AJ1397" s="340"/>
      <c r="AK1397" s="340"/>
      <c r="AL1397" s="340"/>
      <c r="AM1397" s="340"/>
      <c r="AN1397" s="340"/>
    </row>
  </sheetData>
  <mergeCells count="10">
    <mergeCell ref="AR1:AR2"/>
    <mergeCell ref="A91:B91"/>
    <mergeCell ref="Q91:R91"/>
    <mergeCell ref="B1:B2"/>
    <mergeCell ref="C1:C2"/>
    <mergeCell ref="R1:R2"/>
    <mergeCell ref="S1:S2"/>
    <mergeCell ref="P1:P2"/>
    <mergeCell ref="A1:A2"/>
    <mergeCell ref="Q1:Q2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55" orientation="landscape" r:id="rId1"/>
  <headerFooter>
    <oddHeader>&amp;CTaksony Nagyközség Önkormányzat 2016. évi költségvetés 
2. sz. módosítás&amp;R17.sz. melléklet</oddHeader>
    <oddFooter xml:space="preserve">&amp;LKészült: &amp;D
&amp;R/:Kreisz László://:Dr.Micheller Anita:/       </oddFooter>
  </headerFooter>
  <rowBreaks count="1" manualBreakCount="1">
    <brk id="46" max="40" man="1"/>
  </rowBreaks>
  <colBreaks count="1" manualBreakCount="1">
    <brk id="16" max="99" man="1"/>
  </colBreaks>
  <ignoredErrors>
    <ignoredError sqref="K1:O1 V1:Z1 AP1 T1 AE1:AN1 D1:I1 AB1:AC1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3:E23"/>
  <sheetViews>
    <sheetView workbookViewId="0">
      <selection activeCell="C9" sqref="C9"/>
    </sheetView>
  </sheetViews>
  <sheetFormatPr defaultRowHeight="15" x14ac:dyDescent="0.25"/>
  <cols>
    <col min="2" max="2" width="35.7109375" bestFit="1" customWidth="1"/>
    <col min="3" max="4" width="10.5703125" bestFit="1" customWidth="1"/>
    <col min="5" max="5" width="17.85546875" bestFit="1" customWidth="1"/>
  </cols>
  <sheetData>
    <row r="3" spans="2:5" ht="22.5" customHeight="1" x14ac:dyDescent="0.25">
      <c r="B3" s="863" t="s">
        <v>1021</v>
      </c>
      <c r="C3" s="863"/>
      <c r="D3" s="863"/>
      <c r="E3" s="863"/>
    </row>
    <row r="4" spans="2:5" ht="15.75" thickBot="1" x14ac:dyDescent="0.3">
      <c r="B4" s="152"/>
      <c r="C4" s="152"/>
      <c r="D4" s="843" t="s">
        <v>763</v>
      </c>
      <c r="E4" s="843"/>
    </row>
    <row r="5" spans="2:5" x14ac:dyDescent="0.25">
      <c r="B5" s="864" t="s">
        <v>545</v>
      </c>
      <c r="C5" s="866" t="s">
        <v>948</v>
      </c>
      <c r="D5" s="868" t="s">
        <v>1034</v>
      </c>
      <c r="E5" s="870" t="s">
        <v>1035</v>
      </c>
    </row>
    <row r="6" spans="2:5" x14ac:dyDescent="0.25">
      <c r="B6" s="865"/>
      <c r="C6" s="867"/>
      <c r="D6" s="869"/>
      <c r="E6" s="871"/>
    </row>
    <row r="7" spans="2:5" x14ac:dyDescent="0.25">
      <c r="B7" s="562"/>
      <c r="C7" s="553"/>
      <c r="D7" s="554"/>
      <c r="E7" s="563"/>
    </row>
    <row r="8" spans="2:5" x14ac:dyDescent="0.25">
      <c r="B8" s="564" t="s">
        <v>9</v>
      </c>
      <c r="C8" s="555">
        <v>309500</v>
      </c>
      <c r="D8" s="555">
        <f>'16. középtávú terv'!H9</f>
        <v>312595</v>
      </c>
      <c r="E8" s="565">
        <f>'16. középtávú terv'!I9</f>
        <v>315720.95</v>
      </c>
    </row>
    <row r="9" spans="2:5" x14ac:dyDescent="0.25">
      <c r="B9" s="564" t="s">
        <v>1022</v>
      </c>
      <c r="C9" s="555">
        <f>6471+61+3150</f>
        <v>9682</v>
      </c>
      <c r="D9" s="555">
        <f>C9*101%</f>
        <v>9778.82</v>
      </c>
      <c r="E9" s="565">
        <f>D9*101%</f>
        <v>9876.6082000000006</v>
      </c>
    </row>
    <row r="10" spans="2:5" x14ac:dyDescent="0.25">
      <c r="B10" s="564" t="s">
        <v>1036</v>
      </c>
      <c r="C10" s="555">
        <v>540</v>
      </c>
      <c r="D10" s="555"/>
      <c r="E10" s="565"/>
    </row>
    <row r="11" spans="2:5" x14ac:dyDescent="0.25">
      <c r="B11" s="566" t="s">
        <v>1023</v>
      </c>
      <c r="C11" s="556">
        <f>SUM(C8:C10)</f>
        <v>319722</v>
      </c>
      <c r="D11" s="556">
        <f t="shared" ref="D11:E11" si="0">SUM(D8:D10)</f>
        <v>322373.82</v>
      </c>
      <c r="E11" s="567">
        <f t="shared" si="0"/>
        <v>325597.55820000003</v>
      </c>
    </row>
    <row r="12" spans="2:5" x14ac:dyDescent="0.25">
      <c r="B12" s="568"/>
      <c r="C12" s="557"/>
      <c r="D12" s="558"/>
      <c r="E12" s="569"/>
    </row>
    <row r="13" spans="2:5" x14ac:dyDescent="0.25">
      <c r="B13" s="564" t="s">
        <v>1024</v>
      </c>
      <c r="C13" s="555"/>
      <c r="D13" s="559"/>
      <c r="E13" s="570"/>
    </row>
    <row r="14" spans="2:5" x14ac:dyDescent="0.25">
      <c r="B14" s="564" t="s">
        <v>1025</v>
      </c>
      <c r="C14" s="555"/>
      <c r="D14" s="559"/>
      <c r="E14" s="570"/>
    </row>
    <row r="15" spans="2:5" x14ac:dyDescent="0.25">
      <c r="B15" s="564" t="s">
        <v>1026</v>
      </c>
      <c r="C15" s="555"/>
      <c r="D15" s="559"/>
      <c r="E15" s="570"/>
    </row>
    <row r="16" spans="2:5" x14ac:dyDescent="0.25">
      <c r="B16" s="564" t="s">
        <v>1027</v>
      </c>
      <c r="C16" s="555"/>
      <c r="D16" s="559"/>
      <c r="E16" s="570"/>
    </row>
    <row r="17" spans="2:5" x14ac:dyDescent="0.25">
      <c r="B17" s="564" t="s">
        <v>1028</v>
      </c>
      <c r="C17" s="555"/>
      <c r="D17" s="559"/>
      <c r="E17" s="570"/>
    </row>
    <row r="18" spans="2:5" x14ac:dyDescent="0.25">
      <c r="B18" s="564" t="s">
        <v>1029</v>
      </c>
      <c r="C18" s="555"/>
      <c r="D18" s="559"/>
      <c r="E18" s="570"/>
    </row>
    <row r="19" spans="2:5" x14ac:dyDescent="0.25">
      <c r="B19" s="564" t="s">
        <v>1030</v>
      </c>
      <c r="C19" s="555"/>
      <c r="D19" s="559"/>
      <c r="E19" s="570"/>
    </row>
    <row r="20" spans="2:5" x14ac:dyDescent="0.25">
      <c r="B20" s="564" t="s">
        <v>1031</v>
      </c>
      <c r="C20" s="555"/>
      <c r="D20" s="559"/>
      <c r="E20" s="570"/>
    </row>
    <row r="21" spans="2:5" x14ac:dyDescent="0.25">
      <c r="B21" s="566" t="s">
        <v>1032</v>
      </c>
      <c r="C21" s="556">
        <f>SUM(C13:C20)</f>
        <v>0</v>
      </c>
      <c r="D21" s="556">
        <f t="shared" ref="D21:E21" si="1">SUM(D13:D20)</f>
        <v>0</v>
      </c>
      <c r="E21" s="567">
        <f t="shared" si="1"/>
        <v>0</v>
      </c>
    </row>
    <row r="22" spans="2:5" x14ac:dyDescent="0.25">
      <c r="B22" s="571"/>
      <c r="C22" s="560"/>
      <c r="D22" s="561"/>
      <c r="E22" s="572"/>
    </row>
    <row r="23" spans="2:5" ht="15.75" thickBot="1" x14ac:dyDescent="0.3">
      <c r="B23" s="573" t="s">
        <v>1033</v>
      </c>
      <c r="C23" s="574">
        <f>ROUND((C11-C21)*50%,0)</f>
        <v>159861</v>
      </c>
      <c r="D23" s="574">
        <f>ROUND((D11-D21)*50%,0)</f>
        <v>161187</v>
      </c>
      <c r="E23" s="575">
        <f t="shared" ref="E23" si="2">ROUND((E11-E21)*50%,0)</f>
        <v>162799</v>
      </c>
    </row>
  </sheetData>
  <mergeCells count="6">
    <mergeCell ref="B3:E3"/>
    <mergeCell ref="B5:B6"/>
    <mergeCell ref="C5:C6"/>
    <mergeCell ref="D5:D6"/>
    <mergeCell ref="E5:E6"/>
    <mergeCell ref="D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Header>&amp;CTaksony Nagyközség Önkormányzat 2016. évi költségvetés 
2. sz. módosítás&amp;R18.sz. melléklet</oddHeader>
    <oddFooter xml:space="preserve">&amp;LKészült: &amp;D
&amp;R/:Kreisz László://:Dr.Micheller Anita:/ 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07"/>
  <sheetViews>
    <sheetView view="pageBreakPreview" zoomScale="70" zoomScaleNormal="90" zoomScaleSheetLayoutView="70" workbookViewId="0">
      <selection activeCell="L65" sqref="L65"/>
    </sheetView>
  </sheetViews>
  <sheetFormatPr defaultRowHeight="15" x14ac:dyDescent="0.25"/>
  <cols>
    <col min="1" max="1" width="6.7109375" style="21" customWidth="1"/>
    <col min="2" max="2" width="71.5703125" style="21" customWidth="1"/>
    <col min="3" max="6" width="20.85546875" style="21" customWidth="1"/>
    <col min="7" max="7" width="6.7109375" style="21" customWidth="1"/>
    <col min="8" max="8" width="71.5703125" style="21" customWidth="1"/>
    <col min="9" max="12" width="20.7109375" style="21" customWidth="1"/>
    <col min="13" max="16384" width="9.140625" style="21"/>
  </cols>
  <sheetData>
    <row r="1" spans="1:13" ht="40.5" customHeight="1" x14ac:dyDescent="0.25">
      <c r="A1" s="76"/>
      <c r="B1" s="77" t="s">
        <v>955</v>
      </c>
      <c r="C1" s="76" t="s">
        <v>1101</v>
      </c>
      <c r="D1" s="76" t="s">
        <v>1106</v>
      </c>
      <c r="E1" s="657" t="s">
        <v>1110</v>
      </c>
      <c r="F1" s="76" t="s">
        <v>1102</v>
      </c>
      <c r="G1" s="76"/>
      <c r="H1" s="77" t="s">
        <v>956</v>
      </c>
      <c r="I1" s="76" t="s">
        <v>1101</v>
      </c>
      <c r="J1" s="76" t="s">
        <v>1106</v>
      </c>
      <c r="K1" s="657" t="s">
        <v>1110</v>
      </c>
      <c r="L1" s="76" t="s">
        <v>1102</v>
      </c>
      <c r="M1" s="442"/>
    </row>
    <row r="2" spans="1:13" ht="20.25" customHeight="1" x14ac:dyDescent="0.25">
      <c r="A2" s="689"/>
      <c r="B2" s="690" t="s">
        <v>180</v>
      </c>
      <c r="C2" s="691">
        <f>C3+C18+C25+C36</f>
        <v>575309.66779999994</v>
      </c>
      <c r="D2" s="691">
        <f>D3+D18+D25+D36</f>
        <v>11562</v>
      </c>
      <c r="E2" s="691">
        <f>E3+E18+E25+E36</f>
        <v>28980.000000000004</v>
      </c>
      <c r="F2" s="691">
        <f>F3+F18+F25+F36</f>
        <v>615852.66779999994</v>
      </c>
      <c r="G2" s="689"/>
      <c r="H2" s="690" t="s">
        <v>196</v>
      </c>
      <c r="I2" s="691">
        <f>I3+I7+I18+I25+I36</f>
        <v>584377.74778521887</v>
      </c>
      <c r="J2" s="691">
        <f t="shared" ref="J2" si="0">J3+J7+J18+J25+J36</f>
        <v>30949</v>
      </c>
      <c r="K2" s="691">
        <f t="shared" ref="K2" si="1">K3+K7+K18+K25+K36</f>
        <v>56604.875196850393</v>
      </c>
      <c r="L2" s="691">
        <f>L3+L7+L18+L25+L36</f>
        <v>671933.62298206927</v>
      </c>
      <c r="M2" s="442"/>
    </row>
    <row r="3" spans="1:13" ht="20.25" customHeight="1" x14ac:dyDescent="0.25">
      <c r="A3" s="421" t="s">
        <v>23</v>
      </c>
      <c r="B3" s="414" t="s">
        <v>312</v>
      </c>
      <c r="C3" s="415">
        <f>C4+C12+C13+C14+C15+C16</f>
        <v>133336</v>
      </c>
      <c r="D3" s="415">
        <f>D4+D12+D13+D14+D15+D16</f>
        <v>11563</v>
      </c>
      <c r="E3" s="415">
        <f>E4+E12+E13+E14+E15+E16</f>
        <v>34524</v>
      </c>
      <c r="F3" s="415">
        <f>F4+F12+F13+F14+F15+F16</f>
        <v>179423</v>
      </c>
      <c r="G3" s="421" t="s">
        <v>23</v>
      </c>
      <c r="H3" s="414" t="s">
        <v>213</v>
      </c>
      <c r="I3" s="415">
        <f>SUM(I4:I5)</f>
        <v>173850.75200000001</v>
      </c>
      <c r="J3" s="415">
        <f t="shared" ref="J3:L3" si="2">SUM(J4:J5)</f>
        <v>10106</v>
      </c>
      <c r="K3" s="415">
        <f t="shared" ref="K3" si="3">SUM(K4:K5)</f>
        <v>2653</v>
      </c>
      <c r="L3" s="415">
        <f t="shared" si="2"/>
        <v>186479.75200000001</v>
      </c>
    </row>
    <row r="4" spans="1:13" ht="20.25" customHeight="1" x14ac:dyDescent="0.25">
      <c r="A4" s="70"/>
      <c r="B4" s="111" t="s">
        <v>247</v>
      </c>
      <c r="C4" s="109">
        <f>SUM(C5:C8)</f>
        <v>115941</v>
      </c>
      <c r="D4" s="109">
        <f>SUM(D5:D9)</f>
        <v>659</v>
      </c>
      <c r="E4" s="109">
        <f>SUM(E5:E9)</f>
        <v>2129</v>
      </c>
      <c r="F4" s="109">
        <f>SUM(F5:F9)</f>
        <v>118729</v>
      </c>
      <c r="G4" s="80"/>
      <c r="H4" s="69" t="s">
        <v>507</v>
      </c>
      <c r="I4" s="97">
        <f>'2. 2016. önkormányzat'!I4+'3. 2016. hivatal'!I4+'4. 2016. műv.ház'!I4+'5. 2016. forrás'!I4+'6. 2016. szociális'!I4</f>
        <v>155252</v>
      </c>
      <c r="J4" s="97">
        <f>'2. 2016. önkormányzat'!J4+'3. 2016. hivatal'!J4+'4. 2016. műv.ház'!J4+'5. 2016. forrás'!J4+'6. 2016. szociális'!J4</f>
        <v>10217</v>
      </c>
      <c r="K4" s="97">
        <f>'2. 2016. önkormányzat'!K4+'3. 2016. hivatal'!K4+'4. 2016. műv.ház'!K4+'5. 2016. forrás'!K4+'6. 2016. szociális'!K4+'19. 2016. bölcsőde'!K4</f>
        <v>2533</v>
      </c>
      <c r="L4" s="97">
        <f>'2. 2016. önkormányzat'!L4+'3. 2016. hivatal'!L4+'4. 2016. műv.ház'!L4+'5. 2016. forrás'!L4+'6. 2016. szociális'!L4+'19. 2016. bölcsőde'!L4</f>
        <v>167992</v>
      </c>
    </row>
    <row r="5" spans="1:13" ht="24" customHeight="1" x14ac:dyDescent="0.25">
      <c r="A5" s="80"/>
      <c r="B5" s="84" t="s">
        <v>248</v>
      </c>
      <c r="C5" s="109">
        <f>'2. 2016. önkormányzat'!C5+'3. 2016. hivatal'!C5+'4. 2016. műv.ház'!C5+'5. 2016. forrás'!C5+'6. 2016. szociális'!C5</f>
        <v>82055</v>
      </c>
      <c r="D5" s="109">
        <f>'2. 2016. önkormányzat'!D5+'3. 2016. hivatal'!D5+'4. 2016. műv.ház'!D5+'5. 2016. forrás'!D5+'6. 2016. szociális'!D5</f>
        <v>0</v>
      </c>
      <c r="E5" s="109">
        <f>'2. 2016. önkormányzat'!E5+'3. 2016. hivatal'!E5+'4. 2016. műv.ház'!E5+'5. 2016. forrás'!E5+'6. 2016. szociális'!E5+'19. 2016. bölcsőde'!E5</f>
        <v>0</v>
      </c>
      <c r="F5" s="109">
        <f>'2. 2016. önkormányzat'!F5+'3. 2016. hivatal'!F5+'4. 2016. műv.ház'!F5+'5. 2016. forrás'!F5+'6. 2016. szociális'!F5+'19. 2016. bölcsőde'!F5</f>
        <v>82055</v>
      </c>
      <c r="G5" s="80"/>
      <c r="H5" s="69" t="s">
        <v>508</v>
      </c>
      <c r="I5" s="97">
        <f>'2. 2016. önkormányzat'!I5+'3. 2016. hivatal'!I5+'4. 2016. műv.ház'!I5+'5. 2016. forrás'!I5+'6. 2016. szociális'!I5</f>
        <v>18598.752</v>
      </c>
      <c r="J5" s="97">
        <f>'2. 2016. önkormányzat'!J5+'3. 2016. hivatal'!J5+'4. 2016. műv.ház'!J5+'5. 2016. forrás'!J5+'6. 2016. szociális'!J5</f>
        <v>-111</v>
      </c>
      <c r="K5" s="97">
        <f>'2. 2016. önkormányzat'!K5+'3. 2016. hivatal'!K5+'4. 2016. műv.ház'!K5+'5. 2016. forrás'!K5+'6. 2016. szociális'!K5+'19. 2016. bölcsőde'!K5</f>
        <v>120</v>
      </c>
      <c r="L5" s="97">
        <f>'2. 2016. önkormányzat'!L5+'3. 2016. hivatal'!L5+'4. 2016. műv.ház'!L5+'5. 2016. forrás'!L5+'6. 2016. szociális'!L5+'19. 2016. bölcsőde'!L5</f>
        <v>18487.752</v>
      </c>
    </row>
    <row r="6" spans="1:13" ht="24" customHeight="1" x14ac:dyDescent="0.25">
      <c r="A6" s="80"/>
      <c r="B6" s="84" t="s">
        <v>249</v>
      </c>
      <c r="C6" s="109">
        <f>'2. 2016. önkormányzat'!C6+'3. 2016. hivatal'!C6+'4. 2016. műv.ház'!C6+'5. 2016. forrás'!C6+'6. 2016. szociális'!C6</f>
        <v>0</v>
      </c>
      <c r="D6" s="109">
        <f>'2. 2016. önkormányzat'!D6+'3. 2016. hivatal'!D6+'4. 2016. műv.ház'!D6+'5. 2016. forrás'!D6+'6. 2016. szociális'!D6</f>
        <v>0</v>
      </c>
      <c r="E6" s="109">
        <f>'2. 2016. önkormányzat'!E6+'3. 2016. hivatal'!E6+'4. 2016. műv.ház'!E6+'5. 2016. forrás'!E6+'6. 2016. szociális'!E6+'19. 2016. bölcsőde'!E6</f>
        <v>0</v>
      </c>
      <c r="F6" s="109">
        <f>'2. 2016. önkormányzat'!F6+'3. 2016. hivatal'!F6+'4. 2016. műv.ház'!F6+'5. 2016. forrás'!F6+'6. 2016. szociális'!F6+'19. 2016. bölcsőde'!F6</f>
        <v>0</v>
      </c>
      <c r="G6" s="80"/>
      <c r="H6" s="69"/>
      <c r="I6" s="97"/>
      <c r="J6" s="97"/>
      <c r="K6" s="97"/>
      <c r="L6" s="97"/>
    </row>
    <row r="7" spans="1:13" ht="22.5" customHeight="1" x14ac:dyDescent="0.25">
      <c r="A7" s="80"/>
      <c r="B7" s="84" t="s">
        <v>250</v>
      </c>
      <c r="C7" s="109">
        <f>'2. 2016. önkormányzat'!C7+'3. 2016. hivatal'!C7+'4. 2016. műv.ház'!C7+'5. 2016. forrás'!C7+'6. 2016. szociális'!C7</f>
        <v>26705</v>
      </c>
      <c r="D7" s="109">
        <f>'2. 2016. önkormányzat'!D7+'3. 2016. hivatal'!D7+'4. 2016. műv.ház'!D7+'5. 2016. forrás'!D7+'6. 2016. szociális'!D7</f>
        <v>0</v>
      </c>
      <c r="E7" s="109">
        <f>'2. 2016. önkormányzat'!E7+'3. 2016. hivatal'!E7+'4. 2016. műv.ház'!E7+'5. 2016. forrás'!E7+'6. 2016. szociális'!E7+'19. 2016. bölcsőde'!E7</f>
        <v>1500</v>
      </c>
      <c r="F7" s="109">
        <f>'2. 2016. önkormányzat'!F7+'3. 2016. hivatal'!F7+'4. 2016. műv.ház'!F7+'5. 2016. forrás'!F7+'6. 2016. szociális'!F7+'19. 2016. bölcsőde'!F7</f>
        <v>28205</v>
      </c>
      <c r="G7" s="421" t="s">
        <v>45</v>
      </c>
      <c r="H7" s="414" t="s">
        <v>214</v>
      </c>
      <c r="I7" s="415">
        <f>'2. 2016. önkormányzat'!I7+'3. 2016. hivatal'!I7+'4. 2016. műv.ház'!I7+'5. 2016. forrás'!I7+'6. 2016. szociális'!I7-1</f>
        <v>47469.541878400007</v>
      </c>
      <c r="J7" s="415">
        <f>'2. 2016. önkormányzat'!J7+'3. 2016. hivatal'!J7+'4. 2016. műv.ház'!J7+'5. 2016. forrás'!J7+'6. 2016. szociális'!J7-1</f>
        <v>1586</v>
      </c>
      <c r="K7" s="415">
        <f>'2. 2016. önkormányzat'!K7+'3. 2016. hivatal'!K7+'4. 2016. műv.ház'!K7+'5. 2016. forrás'!K7+'6. 2016. szociális'!K7+'19. 2016. bölcsőde'!K7-1</f>
        <v>687</v>
      </c>
      <c r="L7" s="415">
        <f>'2. 2016. önkormányzat'!L7+'3. 2016. hivatal'!L7+'4. 2016. műv.ház'!L7+'5. 2016. forrás'!L7+'6. 2016. szociális'!L7+'19. 2016. bölcsőde'!L7-1</f>
        <v>49744.541878400007</v>
      </c>
    </row>
    <row r="8" spans="1:13" ht="22.5" customHeight="1" x14ac:dyDescent="0.25">
      <c r="A8" s="80"/>
      <c r="B8" s="84" t="s">
        <v>251</v>
      </c>
      <c r="C8" s="109">
        <f>'2. 2016. önkormányzat'!C8+'3. 2016. hivatal'!C8+'4. 2016. műv.ház'!C8+'5. 2016. forrás'!C8+'6. 2016. szociális'!C8</f>
        <v>7181</v>
      </c>
      <c r="D8" s="109">
        <f>'2. 2016. önkormányzat'!D8+'3. 2016. hivatal'!D8+'4. 2016. műv.ház'!D8+'5. 2016. forrás'!D8+'6. 2016. szociális'!D8</f>
        <v>0</v>
      </c>
      <c r="E8" s="109">
        <f>'2. 2016. önkormányzat'!E8+'3. 2016. hivatal'!E8+'4. 2016. műv.ház'!E8+'5. 2016. forrás'!E8+'6. 2016. szociális'!E8+'19. 2016. bölcsőde'!E8</f>
        <v>242</v>
      </c>
      <c r="F8" s="109">
        <f>'2. 2016. önkormányzat'!F8+'3. 2016. hivatal'!F8+'4. 2016. műv.ház'!F8+'5. 2016. forrás'!F8+'6. 2016. szociális'!F8+'19. 2016. bölcsőde'!F8</f>
        <v>7423</v>
      </c>
      <c r="G8" s="80"/>
      <c r="H8" s="69"/>
      <c r="I8" s="97"/>
      <c r="J8" s="97"/>
      <c r="K8" s="97"/>
      <c r="L8" s="97"/>
    </row>
    <row r="9" spans="1:13" ht="24.75" customHeight="1" x14ac:dyDescent="0.25">
      <c r="A9" s="80"/>
      <c r="B9" s="84" t="s">
        <v>252</v>
      </c>
      <c r="C9" s="82" t="s">
        <v>253</v>
      </c>
      <c r="D9" s="82">
        <f>'2. 2016. önkormányzat'!D9</f>
        <v>659</v>
      </c>
      <c r="E9" s="109">
        <f>'2. 2016. önkormányzat'!E9+'3. 2016. hivatal'!E9+'4. 2016. műv.ház'!E9+'5. 2016. forrás'!E9+'6. 2016. szociális'!E9+'19. 2016. bölcsőde'!E9</f>
        <v>387</v>
      </c>
      <c r="F9" s="109">
        <f>'2. 2016. önkormányzat'!F9+'3. 2016. hivatal'!F9+'4. 2016. műv.ház'!F9+'5. 2016. forrás'!F9+'6. 2016. szociális'!F9+'19. 2016. bölcsőde'!F9</f>
        <v>1046</v>
      </c>
      <c r="G9" s="80"/>
      <c r="H9" s="69"/>
      <c r="I9" s="97"/>
      <c r="J9" s="97"/>
      <c r="K9" s="97"/>
      <c r="L9" s="97"/>
    </row>
    <row r="10" spans="1:13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5"/>
      <c r="H10" s="69"/>
      <c r="I10" s="98"/>
      <c r="J10" s="98"/>
      <c r="K10" s="98"/>
      <c r="L10" s="98"/>
    </row>
    <row r="11" spans="1:13" ht="20.25" customHeight="1" x14ac:dyDescent="0.25">
      <c r="A11" s="80"/>
      <c r="B11" s="115"/>
      <c r="C11" s="88"/>
      <c r="D11" s="88"/>
      <c r="E11" s="88"/>
      <c r="F11" s="88"/>
      <c r="G11" s="85"/>
      <c r="H11" s="69"/>
      <c r="I11" s="99"/>
      <c r="J11" s="99"/>
      <c r="K11" s="99"/>
      <c r="L11" s="99"/>
    </row>
    <row r="12" spans="1:13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7"/>
      <c r="J12" s="107"/>
      <c r="K12" s="107"/>
      <c r="L12" s="107"/>
    </row>
    <row r="13" spans="1:13" ht="30" x14ac:dyDescent="0.25">
      <c r="A13" s="70"/>
      <c r="B13" s="84" t="s">
        <v>256</v>
      </c>
      <c r="C13" s="109"/>
      <c r="D13" s="109"/>
      <c r="E13" s="109"/>
      <c r="F13" s="109"/>
      <c r="G13" s="85"/>
      <c r="H13" s="69"/>
      <c r="I13" s="99"/>
      <c r="J13" s="99"/>
      <c r="K13" s="99"/>
      <c r="L13" s="99"/>
    </row>
    <row r="14" spans="1:13" ht="29.25" customHeight="1" x14ac:dyDescent="0.25">
      <c r="A14" s="70"/>
      <c r="B14" s="84" t="s">
        <v>257</v>
      </c>
      <c r="C14" s="109"/>
      <c r="D14" s="109"/>
      <c r="E14" s="109"/>
      <c r="F14" s="109"/>
      <c r="G14" s="85"/>
      <c r="H14" s="69"/>
      <c r="I14" s="99"/>
      <c r="J14" s="99"/>
      <c r="K14" s="99"/>
      <c r="L14" s="99"/>
    </row>
    <row r="15" spans="1:13" ht="29.25" customHeight="1" x14ac:dyDescent="0.25">
      <c r="A15" s="70"/>
      <c r="B15" s="84" t="s">
        <v>258</v>
      </c>
      <c r="C15" s="109"/>
      <c r="D15" s="109"/>
      <c r="E15" s="109"/>
      <c r="F15" s="109"/>
      <c r="G15" s="85"/>
      <c r="H15" s="69"/>
      <c r="I15" s="99"/>
      <c r="J15" s="99"/>
      <c r="K15" s="99"/>
      <c r="L15" s="99"/>
    </row>
    <row r="16" spans="1:13" ht="29.25" customHeight="1" x14ac:dyDescent="0.25">
      <c r="A16" s="70"/>
      <c r="B16" s="84" t="s">
        <v>259</v>
      </c>
      <c r="C16" s="109">
        <f>'2. 2016. önkormányzat'!C16+'3. 2016. hivatal'!C16+'4. 2016. műv.ház'!C16+'5. 2016. forrás'!C16+'6. 2016. szociális'!C16</f>
        <v>17395</v>
      </c>
      <c r="D16" s="109">
        <f>'2. 2016. önkormányzat'!D16+'3. 2016. hivatal'!D16+'4. 2016. műv.ház'!D16+'5. 2016. forrás'!D16+'6. 2016. szociális'!D16</f>
        <v>10904</v>
      </c>
      <c r="E16" s="109">
        <f>'2. 2016. önkormányzat'!E16+'3. 2016. hivatal'!E16+'4. 2016. műv.ház'!E16+'5. 2016. forrás'!E16+'6. 2016. szociális'!E16+'19. 2016. bölcsőde'!E16</f>
        <v>32395</v>
      </c>
      <c r="F16" s="109">
        <f>'2. 2016. önkormányzat'!F16+'3. 2016. hivatal'!F16+'4. 2016. műv.ház'!F16+'5. 2016. forrás'!F16+'6. 2016. szociális'!F16+'19. 2016. bölcsőde'!F16</f>
        <v>60694</v>
      </c>
      <c r="G16" s="85"/>
      <c r="H16" s="88"/>
      <c r="I16" s="107"/>
      <c r="J16" s="107"/>
      <c r="K16" s="107"/>
      <c r="L16" s="107"/>
    </row>
    <row r="17" spans="1:12" ht="18.75" customHeight="1" x14ac:dyDescent="0.25">
      <c r="A17" s="70"/>
      <c r="C17" s="109"/>
      <c r="D17" s="109"/>
      <c r="E17" s="109"/>
      <c r="F17" s="109"/>
      <c r="H17" s="88"/>
      <c r="I17" s="99"/>
      <c r="J17" s="99"/>
      <c r="K17" s="99"/>
      <c r="L17" s="99"/>
    </row>
    <row r="18" spans="1:12" ht="20.25" customHeight="1" x14ac:dyDescent="0.25">
      <c r="A18" s="421" t="s">
        <v>45</v>
      </c>
      <c r="B18" s="414" t="s">
        <v>266</v>
      </c>
      <c r="C18" s="415">
        <f>C19+C20+C24</f>
        <v>309500</v>
      </c>
      <c r="D18" s="415">
        <f>D19+D20+D24</f>
        <v>0</v>
      </c>
      <c r="E18" s="415">
        <f>E19+E20+E24</f>
        <v>0</v>
      </c>
      <c r="F18" s="415">
        <f>F19+F20+F24</f>
        <v>309500</v>
      </c>
      <c r="G18" s="421" t="s">
        <v>56</v>
      </c>
      <c r="H18" s="414" t="s">
        <v>215</v>
      </c>
      <c r="I18" s="415">
        <f>SUM(I19:I23)</f>
        <v>320746.55390681891</v>
      </c>
      <c r="J18" s="415">
        <f t="shared" ref="J18:L18" si="4">SUM(J19:J23)</f>
        <v>-804</v>
      </c>
      <c r="K18" s="415">
        <f t="shared" ref="K18" si="5">SUM(K19:K23)</f>
        <v>4992.8751968503948</v>
      </c>
      <c r="L18" s="415">
        <f t="shared" si="4"/>
        <v>325065.4291036693</v>
      </c>
    </row>
    <row r="19" spans="1:12" ht="20.25" customHeight="1" x14ac:dyDescent="0.25">
      <c r="A19" s="86"/>
      <c r="B19" s="88" t="s">
        <v>267</v>
      </c>
      <c r="C19" s="97">
        <f>'2. 2016. önkormányzat'!C19</f>
        <v>75000</v>
      </c>
      <c r="D19" s="97">
        <f>'2. 2016. önkormányzat'!D19</f>
        <v>0</v>
      </c>
      <c r="E19" s="97">
        <f>'2. 2016. önkormányzat'!E19</f>
        <v>0</v>
      </c>
      <c r="F19" s="97">
        <f>'2. 2016. önkormányzat'!F19</f>
        <v>75000</v>
      </c>
      <c r="G19" s="71"/>
      <c r="H19" s="119" t="s">
        <v>238</v>
      </c>
      <c r="I19" s="107">
        <f>'2. 2016. önkormányzat'!I19+'3. 2016. hivatal'!I19+'4. 2016. műv.ház'!I19+'5. 2016. forrás'!I19+'6. 2016. szociális'!I19</f>
        <v>70253.404761904763</v>
      </c>
      <c r="J19" s="107">
        <f>'2. 2016. önkormányzat'!J19+'3. 2016. hivatal'!J19+'4. 2016. műv.ház'!J19+'5. 2016. forrás'!J19+'6. 2016. szociális'!J19</f>
        <v>0</v>
      </c>
      <c r="K19" s="107">
        <f>'2. 2016. önkormányzat'!K19+'3. 2016. hivatal'!K19+'4. 2016. műv.ház'!K19+'5. 2016. forrás'!K19+'6. 2016. szociális'!K19+'19. 2016. bölcsőde'!K19</f>
        <v>-10505.031496062991</v>
      </c>
      <c r="L19" s="107">
        <f>'2. 2016. önkormányzat'!L19+'3. 2016. hivatal'!L19+'4. 2016. műv.ház'!L19+'5. 2016. forrás'!L19+'6. 2016. szociális'!L19+'19. 2016. bölcsőde'!L19</f>
        <v>59748.373265841772</v>
      </c>
    </row>
    <row r="20" spans="1:12" ht="20.25" customHeight="1" x14ac:dyDescent="0.25">
      <c r="A20" s="86"/>
      <c r="B20" s="88" t="s">
        <v>268</v>
      </c>
      <c r="C20" s="97">
        <f>'2. 2016. önkormányzat'!C20</f>
        <v>232000</v>
      </c>
      <c r="D20" s="97">
        <f>'2. 2016. önkormányzat'!D20</f>
        <v>0</v>
      </c>
      <c r="E20" s="97">
        <f>'2. 2016. önkormányzat'!E20</f>
        <v>0</v>
      </c>
      <c r="F20" s="97">
        <f>'2. 2016. önkormányzat'!F20</f>
        <v>232000</v>
      </c>
      <c r="G20" s="71"/>
      <c r="H20" s="119" t="s">
        <v>239</v>
      </c>
      <c r="I20" s="107">
        <f>'2. 2016. önkormányzat'!I20+'3. 2016. hivatal'!I20+'4. 2016. műv.ház'!I20+'6. 2016. szociális'!I20+'5. 2016. forrás'!I20</f>
        <v>11716</v>
      </c>
      <c r="J20" s="107">
        <f>'2. 2016. önkormányzat'!J20+'3. 2016. hivatal'!J20+'4. 2016. műv.ház'!J20+'6. 2016. szociális'!J20+'5. 2016. forrás'!J20</f>
        <v>-10</v>
      </c>
      <c r="K20" s="107">
        <f>'2. 2016. önkormányzat'!K20+'3. 2016. hivatal'!K20+'4. 2016. műv.ház'!K20+'5. 2016. forrás'!K20+'6. 2016. szociális'!K20+'19. 2016. bölcsőde'!K20</f>
        <v>915</v>
      </c>
      <c r="L20" s="107">
        <f>'2. 2016. önkormányzat'!L20+'3. 2016. hivatal'!L20+'4. 2016. műv.ház'!L20+'5. 2016. forrás'!L20+'6. 2016. szociális'!L20+'19. 2016. bölcsőde'!L20</f>
        <v>12631</v>
      </c>
    </row>
    <row r="21" spans="1:12" ht="20.25" customHeight="1" x14ac:dyDescent="0.25">
      <c r="A21" s="86"/>
      <c r="B21" s="88" t="s">
        <v>269</v>
      </c>
      <c r="C21" s="97">
        <f>'2. 2016. önkormányzat'!C21</f>
        <v>210000</v>
      </c>
      <c r="D21" s="97">
        <f>'2. 2016. önkormányzat'!D21</f>
        <v>0</v>
      </c>
      <c r="E21" s="97">
        <f>'2. 2016. önkormányzat'!E21</f>
        <v>0</v>
      </c>
      <c r="F21" s="97">
        <f>'2. 2016. önkormányzat'!F21</f>
        <v>210000</v>
      </c>
      <c r="G21" s="71"/>
      <c r="H21" s="119" t="s">
        <v>240</v>
      </c>
      <c r="I21" s="107">
        <f>'2. 2016. önkormányzat'!I21+'3. 2016. hivatal'!I21+'4. 2016. műv.ház'!I21+'5. 2016. forrás'!I21+'6. 2016. szociális'!I21</f>
        <v>114409.95406141732</v>
      </c>
      <c r="J21" s="107">
        <f>'2. 2016. önkormányzat'!J21+'3. 2016. hivatal'!J21+'4. 2016. műv.ház'!J21+'5. 2016. forrás'!J21+'6. 2016. szociális'!J21</f>
        <v>1</v>
      </c>
      <c r="K21" s="107">
        <f>'2. 2016. önkormányzat'!K21+'3. 2016. hivatal'!K21+'4. 2016. műv.ház'!K21+'5. 2016. forrás'!K21+'6. 2016. szociális'!K21+'19. 2016. bölcsőde'!K21</f>
        <v>12640.874015748032</v>
      </c>
      <c r="L21" s="107">
        <f>'2. 2016. önkormányzat'!L21+'3. 2016. hivatal'!L21+'4. 2016. műv.ház'!L21+'5. 2016. forrás'!L21+'6. 2016. szociális'!L21+'19. 2016. bölcsőde'!L21</f>
        <v>127051.82807716535</v>
      </c>
    </row>
    <row r="22" spans="1:12" ht="20.25" customHeight="1" x14ac:dyDescent="0.25">
      <c r="A22" s="86"/>
      <c r="B22" s="88" t="s">
        <v>270</v>
      </c>
      <c r="C22" s="97">
        <f>'2. 2016. önkormányzat'!C22</f>
        <v>20000</v>
      </c>
      <c r="D22" s="97">
        <f>'2. 2016. önkormányzat'!D22</f>
        <v>0</v>
      </c>
      <c r="E22" s="97">
        <f>'2. 2016. önkormányzat'!E22</f>
        <v>0</v>
      </c>
      <c r="F22" s="97">
        <f>'2. 2016. önkormányzat'!F22</f>
        <v>20000</v>
      </c>
      <c r="G22" s="71"/>
      <c r="H22" s="119" t="s">
        <v>241</v>
      </c>
      <c r="I22" s="107">
        <f>'2. 2016. önkormányzat'!I22+'3. 2016. hivatal'!I22+'4. 2016. műv.ház'!I22+'5. 2016. forrás'!I22+'6. 2016. szociális'!I22</f>
        <v>9935</v>
      </c>
      <c r="J22" s="107">
        <f>'2. 2016. önkormányzat'!J22+'3. 2016. hivatal'!J22+'4. 2016. műv.ház'!J22+'5. 2016. forrás'!J22+'6. 2016. szociális'!J22</f>
        <v>-110</v>
      </c>
      <c r="K22" s="107">
        <f>'2. 2016. önkormányzat'!K22+'3. 2016. hivatal'!K22+'4. 2016. műv.ház'!K22+'5. 2016. forrás'!K22+'6. 2016. szociális'!K22+'19. 2016. bölcsőde'!K22</f>
        <v>-120</v>
      </c>
      <c r="L22" s="107">
        <f>'2. 2016. önkormányzat'!L22+'3. 2016. hivatal'!L22+'4. 2016. műv.ház'!L22+'5. 2016. forrás'!L22+'6. 2016. szociális'!L22+'19. 2016. bölcsőde'!L22</f>
        <v>9825</v>
      </c>
    </row>
    <row r="23" spans="1:12" ht="20.25" customHeight="1" x14ac:dyDescent="0.25">
      <c r="A23" s="86"/>
      <c r="B23" s="88" t="s">
        <v>271</v>
      </c>
      <c r="C23" s="97">
        <f>'2. 2016. önkormányzat'!C23</f>
        <v>2000</v>
      </c>
      <c r="D23" s="97">
        <f>'2. 2016. önkormányzat'!D23</f>
        <v>0</v>
      </c>
      <c r="E23" s="97">
        <f>'2. 2016. önkormányzat'!E23</f>
        <v>0</v>
      </c>
      <c r="F23" s="97">
        <f>'2. 2016. önkormányzat'!F23</f>
        <v>2000</v>
      </c>
      <c r="G23" s="71"/>
      <c r="H23" s="119" t="s">
        <v>242</v>
      </c>
      <c r="I23" s="107">
        <f>'2. 2016. önkormányzat'!I23+'3. 2016. hivatal'!I23+'4. 2016. műv.ház'!I23+'5. 2016. forrás'!I23+'6. 2016. szociális'!I23</f>
        <v>114432.19508349683</v>
      </c>
      <c r="J23" s="107">
        <f>'2. 2016. önkormányzat'!J23+'3. 2016. hivatal'!J23+'4. 2016. műv.ház'!J23+'5. 2016. forrás'!J23+'6. 2016. szociális'!J23</f>
        <v>-685</v>
      </c>
      <c r="K23" s="107">
        <f>'2. 2016. önkormányzat'!K23+'3. 2016. hivatal'!K23+'4. 2016. műv.ház'!K23+'5. 2016. forrás'!K23+'6. 2016. szociális'!K23+'19. 2016. bölcsőde'!K23</f>
        <v>2062.0326771653545</v>
      </c>
      <c r="L23" s="107">
        <f>'2. 2016. önkormányzat'!L23+'3. 2016. hivatal'!L23+'4. 2016. műv.ház'!L23+'5. 2016. forrás'!L23+'6. 2016. szociális'!L23+'19. 2016. bölcsőde'!L23</f>
        <v>115809.22776066218</v>
      </c>
    </row>
    <row r="24" spans="1:12" ht="20.25" customHeight="1" x14ac:dyDescent="0.25">
      <c r="A24" s="86"/>
      <c r="B24" s="88" t="s">
        <v>272</v>
      </c>
      <c r="C24" s="97">
        <f>'2. 2016. önkormányzat'!C24</f>
        <v>2500</v>
      </c>
      <c r="D24" s="97">
        <f>'2. 2016. önkormányzat'!D24</f>
        <v>0</v>
      </c>
      <c r="E24" s="97">
        <f>'2. 2016. önkormányzat'!E24</f>
        <v>0</v>
      </c>
      <c r="F24" s="97">
        <f>'2. 2016. önkormányzat'!F24</f>
        <v>2500</v>
      </c>
      <c r="G24" s="71"/>
      <c r="H24" s="71"/>
      <c r="I24" s="99"/>
      <c r="J24" s="99"/>
      <c r="K24" s="99"/>
      <c r="L24" s="99"/>
    </row>
    <row r="25" spans="1:12" ht="20.25" customHeight="1" x14ac:dyDescent="0.25">
      <c r="A25" s="421" t="s">
        <v>56</v>
      </c>
      <c r="B25" s="414" t="s">
        <v>273</v>
      </c>
      <c r="C25" s="415">
        <f>SUM(C26:C35)</f>
        <v>124091.6678</v>
      </c>
      <c r="D25" s="415">
        <f>SUM(D26:D35)</f>
        <v>-1</v>
      </c>
      <c r="E25" s="415">
        <f>SUM(E26:E35)</f>
        <v>-12118.999999999996</v>
      </c>
      <c r="F25" s="415">
        <f>SUM(F26:F35)</f>
        <v>111972.6678</v>
      </c>
      <c r="G25" s="421" t="s">
        <v>64</v>
      </c>
      <c r="H25" s="414" t="s">
        <v>216</v>
      </c>
      <c r="I25" s="415">
        <f>SUM(I26:I31)</f>
        <v>8185</v>
      </c>
      <c r="J25" s="415">
        <f t="shared" ref="J25:L25" si="6">SUM(J26:J31)</f>
        <v>0</v>
      </c>
      <c r="K25" s="415">
        <f t="shared" ref="K25" si="7">SUM(K26:K31)</f>
        <v>0</v>
      </c>
      <c r="L25" s="415">
        <f t="shared" si="6"/>
        <v>8185</v>
      </c>
    </row>
    <row r="26" spans="1:12" ht="20.25" customHeight="1" x14ac:dyDescent="0.25">
      <c r="A26" s="86"/>
      <c r="B26" s="89" t="s">
        <v>274</v>
      </c>
      <c r="C26" s="103">
        <f>'2. 2016. önkormányzat'!C26+'3. 2016. hivatal'!C26+'4. 2016. műv.ház'!C26+'5. 2016. forrás'!C26+'6. 2016. szociális'!C26</f>
        <v>0</v>
      </c>
      <c r="D26" s="103">
        <f>'2. 2016. önkormányzat'!D26+'3. 2016. hivatal'!D26+'4. 2016. műv.ház'!D26+'5. 2016. forrás'!D26+'6. 2016. szociális'!D26</f>
        <v>0</v>
      </c>
      <c r="E26" s="103">
        <f>'2. 2016. önkormányzat'!E26+'3. 2016. hivatal'!E26+'4. 2016. műv.ház'!E26+'5. 2016. forrás'!E26+'6. 2016. szociális'!E26+'19. 2016. bölcsőde'!E26</f>
        <v>0</v>
      </c>
      <c r="F26" s="103">
        <f>'2. 2016. önkormányzat'!F26+'3. 2016. hivatal'!F26+'4. 2016. műv.ház'!F26+'5. 2016. forrás'!F26+'6. 2016. szociális'!F26+'19. 2016. bölcsőde'!F26</f>
        <v>0</v>
      </c>
      <c r="G26" s="71"/>
      <c r="H26" s="71" t="s">
        <v>202</v>
      </c>
      <c r="I26" s="108">
        <f>'2. 2016. önkormányzat'!I26</f>
        <v>4000</v>
      </c>
      <c r="J26" s="108">
        <f>'2. 2016. önkormányzat'!J26</f>
        <v>0</v>
      </c>
      <c r="K26" s="108">
        <f>'2. 2016. önkormányzat'!K26</f>
        <v>-3922</v>
      </c>
      <c r="L26" s="108">
        <f>'2. 2016. önkormányzat'!L26</f>
        <v>78</v>
      </c>
    </row>
    <row r="27" spans="1:12" ht="20.25" customHeight="1" x14ac:dyDescent="0.25">
      <c r="A27" s="86"/>
      <c r="B27" s="89" t="s">
        <v>275</v>
      </c>
      <c r="C27" s="103">
        <f>'2. 2016. önkormányzat'!C27+'3. 2016. hivatal'!C27+'4. 2016. műv.ház'!C27+'5. 2016. forrás'!C27+'6. 2016. szociális'!C27</f>
        <v>93608.14</v>
      </c>
      <c r="D27" s="103">
        <f>'2. 2016. önkormányzat'!D27+'3. 2016. hivatal'!D27+'4. 2016. műv.ház'!D27+'5. 2016. forrás'!D27+'6. 2016. szociális'!D27</f>
        <v>0</v>
      </c>
      <c r="E27" s="103">
        <f>'2. 2016. önkormányzat'!E27+'3. 2016. hivatal'!E27+'4. 2016. műv.ház'!E27+'5. 2016. forrás'!E27+'6. 2016. szociális'!E27+'19. 2016. bölcsőde'!E27</f>
        <v>-16770.078740157478</v>
      </c>
      <c r="F27" s="103">
        <f>'2. 2016. önkormányzat'!F27+'3. 2016. hivatal'!F27+'4. 2016. műv.ház'!F27+'5. 2016. forrás'!F27+'6. 2016. szociális'!F27+'19. 2016. bölcsőde'!F27</f>
        <v>76838.061259842521</v>
      </c>
      <c r="G27" s="71"/>
      <c r="H27" s="88" t="s">
        <v>203</v>
      </c>
      <c r="I27" s="108">
        <f>'2. 2016. önkormányzat'!I27</f>
        <v>0</v>
      </c>
      <c r="J27" s="108">
        <f>'2. 2016. önkormányzat'!J27</f>
        <v>0</v>
      </c>
      <c r="K27" s="108">
        <f>'2. 2016. önkormányzat'!K27</f>
        <v>0</v>
      </c>
      <c r="L27" s="108">
        <f>'2. 2016. önkormányzat'!L27</f>
        <v>0</v>
      </c>
    </row>
    <row r="28" spans="1:12" ht="20.25" customHeight="1" x14ac:dyDescent="0.25">
      <c r="A28" s="86"/>
      <c r="B28" s="89" t="s">
        <v>276</v>
      </c>
      <c r="C28" s="103">
        <f>'2. 2016. önkormányzat'!C28+'3. 2016. hivatal'!C28+'4. 2016. műv.ház'!C28+'5. 2016. forrás'!C28+'6. 2016. szociális'!C28</f>
        <v>3675.5905511811025</v>
      </c>
      <c r="D28" s="103">
        <f>'2. 2016. önkormányzat'!D28+'3. 2016. hivatal'!D28+'4. 2016. műv.ház'!D28+'5. 2016. forrás'!D28+'6. 2016. szociális'!D28</f>
        <v>0</v>
      </c>
      <c r="E28" s="103">
        <f>'2. 2016. önkormányzat'!E28+'3. 2016. hivatal'!E28+'4. 2016. műv.ház'!E28+'5. 2016. forrás'!E28+'6. 2016. szociális'!E28+'19. 2016. bölcsőde'!E28</f>
        <v>0</v>
      </c>
      <c r="F28" s="103">
        <f>'2. 2016. önkormányzat'!F28+'3. 2016. hivatal'!F28+'4. 2016. műv.ház'!F28+'5. 2016. forrás'!F28+'6. 2016. szociális'!F28+'19. 2016. bölcsőde'!F28</f>
        <v>3675.5905511811025</v>
      </c>
      <c r="G28" s="71"/>
      <c r="H28" s="71" t="s">
        <v>204</v>
      </c>
      <c r="I28" s="108">
        <f>'2. 2016. önkormányzat'!I28</f>
        <v>0</v>
      </c>
      <c r="J28" s="108">
        <f>'2. 2016. önkormányzat'!J28</f>
        <v>0</v>
      </c>
      <c r="K28" s="108">
        <f>'2. 2016. önkormányzat'!K28</f>
        <v>0</v>
      </c>
      <c r="L28" s="108">
        <f>'2. 2016. önkormányzat'!L28</f>
        <v>0</v>
      </c>
    </row>
    <row r="29" spans="1:12" ht="20.25" customHeight="1" x14ac:dyDescent="0.25">
      <c r="A29" s="86"/>
      <c r="B29" s="89" t="s">
        <v>277</v>
      </c>
      <c r="C29" s="103">
        <f>'2. 2016. önkormányzat'!C29+'3. 2016. hivatal'!C29+'4. 2016. műv.ház'!C29+'5. 2016. forrás'!C29+'6. 2016. szociális'!C29</f>
        <v>0</v>
      </c>
      <c r="D29" s="103">
        <f>'2. 2016. önkormányzat'!D29+'3. 2016. hivatal'!D29+'4. 2016. műv.ház'!D29+'5. 2016. forrás'!D29+'6. 2016. szociális'!D29</f>
        <v>0</v>
      </c>
      <c r="E29" s="103">
        <f>'2. 2016. önkormányzat'!E29+'3. 2016. hivatal'!E29+'4. 2016. műv.ház'!E29+'5. 2016. forrás'!E29+'6. 2016. szociális'!E29+'19. 2016. bölcsőde'!E29</f>
        <v>0</v>
      </c>
      <c r="F29" s="103">
        <f>'2. 2016. önkormányzat'!F29+'3. 2016. hivatal'!F29+'4. 2016. műv.ház'!F29+'5. 2016. forrás'!F29+'6. 2016. szociális'!F29+'19. 2016. bölcsőde'!F29</f>
        <v>0</v>
      </c>
      <c r="G29" s="71"/>
      <c r="H29" s="71" t="s">
        <v>205</v>
      </c>
      <c r="I29" s="108">
        <f>'2. 2016. önkormányzat'!I29</f>
        <v>1500</v>
      </c>
      <c r="J29" s="108">
        <f>'2. 2016. önkormányzat'!J29</f>
        <v>0</v>
      </c>
      <c r="K29" s="108">
        <f>'2. 2016. önkormányzat'!K29</f>
        <v>-1462</v>
      </c>
      <c r="L29" s="108">
        <f>'2. 2016. önkormányzat'!L29</f>
        <v>38</v>
      </c>
    </row>
    <row r="30" spans="1:12" ht="20.25" customHeight="1" x14ac:dyDescent="0.25">
      <c r="A30" s="86"/>
      <c r="B30" s="89" t="s">
        <v>278</v>
      </c>
      <c r="C30" s="103">
        <f>'2. 2016. önkormányzat'!C30+'3. 2016. hivatal'!C30+'4. 2016. műv.ház'!C30+'5. 2016. forrás'!C30+'6. 2016. szociális'!C30</f>
        <v>3140</v>
      </c>
      <c r="D30" s="103">
        <f>'2. 2016. önkormányzat'!D30+'3. 2016. hivatal'!D30+'4. 2016. műv.ház'!D30+'5. 2016. forrás'!D30+'6. 2016. szociális'!D30</f>
        <v>0</v>
      </c>
      <c r="E30" s="103">
        <f>'2. 2016. önkormányzat'!E30+'3. 2016. hivatal'!E30+'4. 2016. műv.ház'!E30+'5. 2016. forrás'!E30+'6. 2016. szociális'!E30+'19. 2016. bölcsőde'!E30</f>
        <v>1690</v>
      </c>
      <c r="F30" s="103">
        <f>'2. 2016. önkormányzat'!F30+'3. 2016. hivatal'!F30+'4. 2016. műv.ház'!F30+'5. 2016. forrás'!F30+'6. 2016. szociális'!F30+'19. 2016. bölcsőde'!F30</f>
        <v>4830</v>
      </c>
      <c r="G30" s="71"/>
      <c r="H30" s="71" t="s">
        <v>206</v>
      </c>
      <c r="I30" s="108">
        <f>'2. 2016. önkormányzat'!I30</f>
        <v>0</v>
      </c>
      <c r="J30" s="108">
        <f>'2. 2016. önkormányzat'!J30</f>
        <v>210</v>
      </c>
      <c r="K30" s="108">
        <f>'2. 2016. önkormányzat'!K30</f>
        <v>210</v>
      </c>
      <c r="L30" s="108">
        <f>'2. 2016. önkormányzat'!L30</f>
        <v>420</v>
      </c>
    </row>
    <row r="31" spans="1:12" ht="20.25" customHeight="1" x14ac:dyDescent="0.25">
      <c r="A31" s="86"/>
      <c r="B31" s="89" t="s">
        <v>279</v>
      </c>
      <c r="C31" s="103">
        <f>'2. 2016. önkormányzat'!C31+'3. 2016. hivatal'!C31+'4. 2016. műv.ház'!C31+'5. 2016. forrás'!C31+'6. 2016. szociális'!C31-1</f>
        <v>23667.937248818896</v>
      </c>
      <c r="D31" s="103">
        <f>'2. 2016. önkormányzat'!D31+'3. 2016. hivatal'!D31+'4. 2016. műv.ház'!D31+'5. 2016. forrás'!D31+'6. 2016. szociális'!D31-1</f>
        <v>-1</v>
      </c>
      <c r="E31" s="103">
        <f>'2. 2016. önkormányzat'!E31+'3. 2016. hivatal'!E31+'4. 2016. műv.ház'!E31+'5. 2016. forrás'!E31+'6. 2016. szociális'!E31+'19. 2016. bölcsőde'!E31</f>
        <v>-4425.9212598425192</v>
      </c>
      <c r="F31" s="103">
        <f>'2. 2016. önkormányzat'!F31+'3. 2016. hivatal'!F31+'4. 2016. műv.ház'!F31+'5. 2016. forrás'!F31+'6. 2016. szociális'!F31+'19. 2016. bölcsőde'!F31-1</f>
        <v>19242.015988976378</v>
      </c>
      <c r="G31" s="71"/>
      <c r="H31" s="71" t="s">
        <v>207</v>
      </c>
      <c r="I31" s="108">
        <f>'2. 2016. önkormányzat'!I31</f>
        <v>2685</v>
      </c>
      <c r="J31" s="108">
        <f>'2. 2016. önkormányzat'!J31</f>
        <v>-210</v>
      </c>
      <c r="K31" s="108">
        <f>'2. 2016. önkormányzat'!K31</f>
        <v>5174</v>
      </c>
      <c r="L31" s="108">
        <f>'2. 2016. önkormányzat'!L31</f>
        <v>7649</v>
      </c>
    </row>
    <row r="32" spans="1:12" ht="20.25" customHeight="1" x14ac:dyDescent="0.25">
      <c r="A32" s="86"/>
      <c r="B32" s="89" t="s">
        <v>280</v>
      </c>
      <c r="C32" s="103">
        <f>'2. 2016. önkormányzat'!C32+'3. 2016. hivatal'!C322+'4. 2016. műv.ház'!C32+'5. 2016. forrás'!C32+'6. 2016. szociális'!C32</f>
        <v>0</v>
      </c>
      <c r="D32" s="103">
        <f>'2. 2016. önkormányzat'!D32+'3. 2016. hivatal'!D322+'4. 2016. műv.ház'!D32+'5. 2016. forrás'!D32+'6. 2016. szociális'!D32</f>
        <v>0</v>
      </c>
      <c r="E32" s="103">
        <f>'2. 2016. önkormányzat'!E32+'3. 2016. hivatal'!E32+'4. 2016. műv.ház'!E32+'5. 2016. forrás'!E32+'6. 2016. szociális'!E32+'19. 2016. bölcsőde'!E32</f>
        <v>0</v>
      </c>
      <c r="F32" s="103">
        <f>'2. 2016. önkormányzat'!F32+'3. 2016. hivatal'!F32+'4. 2016. műv.ház'!F32+'5. 2016. forrás'!F32+'6. 2016. szociális'!F32+'19. 2016. bölcsőde'!F32</f>
        <v>0</v>
      </c>
      <c r="G32" s="71"/>
      <c r="H32" s="71"/>
      <c r="I32" s="99"/>
      <c r="J32" s="99"/>
      <c r="K32" s="99"/>
      <c r="L32" s="99"/>
    </row>
    <row r="33" spans="1:12" ht="20.25" customHeight="1" x14ac:dyDescent="0.25">
      <c r="A33" s="86"/>
      <c r="B33" s="89" t="s">
        <v>281</v>
      </c>
      <c r="C33" s="103">
        <f>'2. 2016. önkormányzat'!C33+'3. 2016. hivatal'!C333+'4. 2016. műv.ház'!C33+'5. 2016. forrás'!C33+'6. 2016. szociális'!C33</f>
        <v>0</v>
      </c>
      <c r="D33" s="103">
        <f>'2. 2016. önkormányzat'!D33+'3. 2016. hivatal'!D333+'4. 2016. műv.ház'!D33+'5. 2016. forrás'!D33+'6. 2016. szociális'!D33</f>
        <v>0</v>
      </c>
      <c r="E33" s="103">
        <f>'2. 2016. önkormányzat'!E33+'3. 2016. hivatal'!E33+'4. 2016. műv.ház'!E33+'5. 2016. forrás'!E33+'6. 2016. szociális'!E33+'19. 2016. bölcsőde'!E33</f>
        <v>5736</v>
      </c>
      <c r="F33" s="103">
        <f>'2. 2016. önkormányzat'!F33+'3. 2016. hivatal'!F33+'4. 2016. műv.ház'!F33+'5. 2016. forrás'!F33+'6. 2016. szociális'!F33+'19. 2016. bölcsőde'!F33</f>
        <v>5736</v>
      </c>
      <c r="G33" s="71"/>
      <c r="I33" s="107"/>
      <c r="J33" s="107"/>
      <c r="K33" s="107"/>
      <c r="L33" s="107"/>
    </row>
    <row r="34" spans="1:12" ht="20.25" customHeight="1" x14ac:dyDescent="0.25">
      <c r="A34" s="86"/>
      <c r="B34" s="89" t="s">
        <v>282</v>
      </c>
      <c r="C34" s="103">
        <f>'2. 2016. önkormányzat'!C34+'3. 2016. hivatal'!C34+'4. 2016. műv.ház'!C34+'5. 2016. forrás'!C34+'6. 2016. szociális'!C34</f>
        <v>0</v>
      </c>
      <c r="D34" s="103">
        <f>'2. 2016. önkormányzat'!D34+'3. 2016. hivatal'!D34+'4. 2016. műv.ház'!D34+'5. 2016. forrás'!D34+'6. 2016. szociális'!D34</f>
        <v>0</v>
      </c>
      <c r="E34" s="103">
        <f>'2. 2016. önkormányzat'!E34+'3. 2016. hivatal'!E34+'4. 2016. műv.ház'!E34+'5. 2016. forrás'!E34+'6. 2016. szociális'!E34+'19. 2016. bölcsőde'!E34</f>
        <v>0</v>
      </c>
      <c r="F34" s="103">
        <f>'2. 2016. önkormányzat'!F34+'3. 2016. hivatal'!F34+'4. 2016. műv.ház'!F34+'5. 2016. forrás'!F34+'6. 2016. szociális'!F34+'19. 2016. bölcsőde'!F34</f>
        <v>0</v>
      </c>
      <c r="G34" s="71"/>
      <c r="H34" s="71"/>
      <c r="I34" s="99"/>
      <c r="J34" s="99"/>
      <c r="K34" s="99"/>
      <c r="L34" s="99"/>
    </row>
    <row r="35" spans="1:12" ht="20.25" customHeight="1" x14ac:dyDescent="0.25">
      <c r="A35" s="86"/>
      <c r="B35" s="89" t="s">
        <v>283</v>
      </c>
      <c r="C35" s="103">
        <f>'2. 2016. önkormányzat'!C35+'3. 2016. hivatal'!C35+'4. 2016. műv.ház'!C35+'5. 2016. forrás'!C35+'6. 2016. szociális'!C35</f>
        <v>0</v>
      </c>
      <c r="D35" s="103">
        <f>'2. 2016. önkormányzat'!D35+'3. 2016. hivatal'!D35+'4. 2016. műv.ház'!D35+'5. 2016. forrás'!D35+'6. 2016. szociális'!D35</f>
        <v>0</v>
      </c>
      <c r="E35" s="103">
        <f>'2. 2016. önkormányzat'!E35+'3. 2016. hivatal'!E35+'4. 2016. műv.ház'!E35+'5. 2016. forrás'!E35+'6. 2016. szociális'!E35+'19. 2016. bölcsőde'!E35</f>
        <v>1651</v>
      </c>
      <c r="F35" s="103">
        <f>'2. 2016. önkormányzat'!F35+'3. 2016. hivatal'!F35+'4. 2016. műv.ház'!F35+'5. 2016. forrás'!F35+'6. 2016. szociális'!F35+'19. 2016. bölcsőde'!F35</f>
        <v>1651</v>
      </c>
      <c r="G35" s="71"/>
      <c r="H35" s="71"/>
      <c r="I35" s="99"/>
      <c r="J35" s="99"/>
      <c r="K35" s="99"/>
      <c r="L35" s="99"/>
    </row>
    <row r="36" spans="1:12" ht="20.25" customHeight="1" x14ac:dyDescent="0.25">
      <c r="A36" s="421" t="s">
        <v>64</v>
      </c>
      <c r="B36" s="414" t="s">
        <v>290</v>
      </c>
      <c r="C36" s="415">
        <f>SUM(C37:C40)</f>
        <v>8382</v>
      </c>
      <c r="D36" s="415">
        <f t="shared" ref="D36:F36" si="8">SUM(D37:D40)</f>
        <v>0</v>
      </c>
      <c r="E36" s="415">
        <f t="shared" si="8"/>
        <v>6575</v>
      </c>
      <c r="F36" s="415">
        <f t="shared" si="8"/>
        <v>14957</v>
      </c>
      <c r="G36" s="421" t="s">
        <v>100</v>
      </c>
      <c r="H36" s="414" t="s">
        <v>237</v>
      </c>
      <c r="I36" s="415">
        <f>SUM(I37:I42)</f>
        <v>34125.9</v>
      </c>
      <c r="J36" s="415">
        <f t="shared" ref="J36:L36" si="9">SUM(J37:J42)</f>
        <v>20061</v>
      </c>
      <c r="K36" s="415">
        <f t="shared" ref="K36" si="10">SUM(K37:K42)</f>
        <v>48272</v>
      </c>
      <c r="L36" s="415">
        <f t="shared" si="9"/>
        <v>102458.9</v>
      </c>
    </row>
    <row r="37" spans="1:12" ht="30" x14ac:dyDescent="0.25">
      <c r="A37" s="86"/>
      <c r="B37" s="89" t="s">
        <v>291</v>
      </c>
      <c r="C37" s="103"/>
      <c r="D37" s="103"/>
      <c r="E37" s="103"/>
      <c r="F37" s="103"/>
      <c r="G37" s="71"/>
      <c r="H37" s="71" t="s">
        <v>208</v>
      </c>
      <c r="I37" s="108" t="s">
        <v>253</v>
      </c>
      <c r="J37" s="108">
        <f>'2. 2016. önkormányzat'!J37</f>
        <v>674</v>
      </c>
      <c r="K37" s="108">
        <f>'2. 2016. önkormányzat'!K37</f>
        <v>12100</v>
      </c>
      <c r="L37" s="108">
        <f>'2. 2016. önkormányzat'!L37</f>
        <v>12774</v>
      </c>
    </row>
    <row r="38" spans="1:12" ht="28.5" customHeight="1" x14ac:dyDescent="0.25">
      <c r="A38" s="86"/>
      <c r="B38" s="84" t="s">
        <v>292</v>
      </c>
      <c r="C38" s="103"/>
      <c r="D38" s="103"/>
      <c r="E38" s="103"/>
      <c r="F38" s="103"/>
      <c r="G38" s="71"/>
      <c r="H38" s="71" t="s">
        <v>210</v>
      </c>
      <c r="I38" s="102"/>
      <c r="J38" s="102"/>
      <c r="K38" s="102"/>
      <c r="L38" s="102"/>
    </row>
    <row r="39" spans="1:12" ht="19.5" customHeight="1" x14ac:dyDescent="0.25">
      <c r="A39" s="86"/>
      <c r="B39" s="89" t="s">
        <v>293</v>
      </c>
      <c r="C39" s="103">
        <f>'2. 2016. önkormányzat'!C39+'3. 2016. hivatal'!C39+'4. 2016. műv.ház'!C39+'5. 2016. forrás'!C39+'6. 2016. szociális'!C39</f>
        <v>8382</v>
      </c>
      <c r="D39" s="103">
        <f>'2. 2016. önkormányzat'!D39+'3. 2016. hivatal'!D39+'4. 2016. műv.ház'!D39+'5. 2016. forrás'!D39+'6. 2016. szociális'!D39</f>
        <v>0</v>
      </c>
      <c r="E39" s="103">
        <f>'2. 2016. önkormányzat'!E39+'3. 2016. hivatal'!E39+'4. 2016. műv.ház'!E39+'5. 2016. forrás'!E39+'6. 2016. szociális'!E39</f>
        <v>-5525</v>
      </c>
      <c r="F39" s="103">
        <f>'2. 2016. önkormányzat'!F39+'3. 2016. hivatal'!F39+'4. 2016. műv.ház'!F39+'5. 2016. forrás'!F39+'6. 2016. szociális'!F39</f>
        <v>2857</v>
      </c>
      <c r="G39" s="71"/>
      <c r="H39" s="71" t="s">
        <v>209</v>
      </c>
      <c r="I39" s="108">
        <f>'2. 2016. önkormányzat'!I39</f>
        <v>21598.9</v>
      </c>
      <c r="J39" s="108">
        <f>'2. 2016. önkormányzat'!J39</f>
        <v>0</v>
      </c>
      <c r="K39" s="108">
        <f>'2. 2016. önkormányzat'!K39</f>
        <v>0</v>
      </c>
      <c r="L39" s="108">
        <f>'2. 2016. önkormányzat'!L39</f>
        <v>21598.9</v>
      </c>
    </row>
    <row r="40" spans="1:12" ht="19.5" customHeight="1" x14ac:dyDescent="0.25">
      <c r="A40" s="86"/>
      <c r="B40" s="84" t="s">
        <v>1121</v>
      </c>
      <c r="C40" s="103"/>
      <c r="D40" s="103"/>
      <c r="E40" s="103">
        <f>'2. 2016. önkormányzat'!E40</f>
        <v>12100</v>
      </c>
      <c r="F40" s="103">
        <f>'2. 2016. önkormányzat'!F40</f>
        <v>12100</v>
      </c>
      <c r="G40" s="71"/>
      <c r="H40" s="71" t="s">
        <v>211</v>
      </c>
      <c r="I40" s="102"/>
      <c r="J40" s="102"/>
      <c r="K40" s="102"/>
      <c r="L40" s="102"/>
    </row>
    <row r="41" spans="1:12" ht="19.5" customHeight="1" x14ac:dyDescent="0.25">
      <c r="A41" s="86"/>
      <c r="B41" s="89"/>
      <c r="C41" s="101"/>
      <c r="D41" s="101"/>
      <c r="E41" s="101"/>
      <c r="F41" s="101"/>
      <c r="G41" s="71"/>
      <c r="H41" s="71" t="s">
        <v>377</v>
      </c>
      <c r="I41" s="108">
        <f>'2. 2016. önkormányzat'!I41</f>
        <v>10336</v>
      </c>
      <c r="J41" s="108">
        <f>'2. 2016. önkormányzat'!J41</f>
        <v>-600</v>
      </c>
      <c r="K41" s="108">
        <f>'2. 2016. önkormányzat'!K41</f>
        <v>29465</v>
      </c>
      <c r="L41" s="108">
        <f>'2. 2016. önkormányzat'!L41</f>
        <v>39201</v>
      </c>
    </row>
    <row r="42" spans="1:12" ht="19.5" customHeight="1" x14ac:dyDescent="0.25">
      <c r="A42" s="86"/>
      <c r="B42" s="89"/>
      <c r="C42" s="101"/>
      <c r="D42" s="101"/>
      <c r="E42" s="101"/>
      <c r="F42" s="101"/>
      <c r="G42" s="71"/>
      <c r="H42" s="71" t="s">
        <v>212</v>
      </c>
      <c r="I42" s="108">
        <f>'2. 2016. önkormányzat'!I42</f>
        <v>2191</v>
      </c>
      <c r="J42" s="108">
        <f>'2. 2016. önkormányzat'!J42</f>
        <v>19987</v>
      </c>
      <c r="K42" s="108">
        <f>'2. 2016. önkormányzat'!K42</f>
        <v>6707</v>
      </c>
      <c r="L42" s="108">
        <f>'2. 2016. önkormányzat'!L42</f>
        <v>28885</v>
      </c>
    </row>
    <row r="43" spans="1:12" ht="19.5" customHeight="1" x14ac:dyDescent="0.25">
      <c r="A43" s="86"/>
      <c r="B43" s="89"/>
      <c r="C43" s="101"/>
      <c r="D43" s="101"/>
      <c r="E43" s="101"/>
      <c r="F43" s="101"/>
      <c r="G43" s="73"/>
      <c r="H43" s="83"/>
      <c r="I43" s="102"/>
      <c r="J43" s="102"/>
      <c r="K43" s="102"/>
      <c r="L43" s="102"/>
    </row>
    <row r="44" spans="1:12" ht="19.5" customHeight="1" x14ac:dyDescent="0.25">
      <c r="A44" s="86"/>
      <c r="B44" s="89"/>
      <c r="C44" s="101"/>
      <c r="D44" s="101"/>
      <c r="E44" s="101"/>
      <c r="F44" s="101"/>
      <c r="G44" s="71"/>
      <c r="H44" s="71"/>
      <c r="I44" s="102"/>
      <c r="J44" s="102"/>
      <c r="K44" s="102"/>
      <c r="L44" s="102"/>
    </row>
    <row r="45" spans="1:12" ht="19.5" customHeight="1" x14ac:dyDescent="0.25">
      <c r="A45" s="86"/>
      <c r="B45" s="89"/>
      <c r="C45" s="101"/>
      <c r="D45" s="101"/>
      <c r="E45" s="101"/>
      <c r="F45" s="101"/>
      <c r="G45" s="71"/>
      <c r="H45" s="88"/>
      <c r="I45" s="102"/>
      <c r="J45" s="102"/>
      <c r="K45" s="102"/>
      <c r="L45" s="102"/>
    </row>
    <row r="46" spans="1:12" ht="19.5" customHeight="1" x14ac:dyDescent="0.25">
      <c r="A46" s="86"/>
      <c r="B46" s="89"/>
      <c r="C46" s="101"/>
      <c r="D46" s="101"/>
      <c r="E46" s="101"/>
      <c r="F46" s="101"/>
      <c r="G46" s="71"/>
      <c r="H46" s="71"/>
      <c r="I46" s="102"/>
      <c r="J46" s="102"/>
      <c r="K46" s="102"/>
      <c r="L46" s="102"/>
    </row>
    <row r="47" spans="1:12" ht="19.5" customHeight="1" x14ac:dyDescent="0.25">
      <c r="A47" s="86"/>
      <c r="B47" s="89"/>
      <c r="C47" s="101"/>
      <c r="D47" s="101"/>
      <c r="E47" s="101"/>
      <c r="F47" s="101"/>
      <c r="G47" s="71"/>
      <c r="H47" s="71"/>
      <c r="I47" s="102"/>
      <c r="J47" s="102"/>
      <c r="K47" s="102"/>
      <c r="L47" s="102"/>
    </row>
    <row r="48" spans="1:12" ht="19.5" customHeight="1" x14ac:dyDescent="0.25">
      <c r="A48" s="86"/>
      <c r="B48" s="89"/>
      <c r="C48" s="101"/>
      <c r="D48" s="101"/>
      <c r="E48" s="101"/>
      <c r="F48" s="101"/>
      <c r="G48" s="71"/>
      <c r="H48" s="71"/>
      <c r="I48" s="102"/>
      <c r="J48" s="102"/>
      <c r="K48" s="102"/>
      <c r="L48" s="102"/>
    </row>
    <row r="49" spans="1:12" ht="19.5" customHeight="1" x14ac:dyDescent="0.25">
      <c r="A49" s="86"/>
      <c r="B49" s="89"/>
      <c r="C49" s="101"/>
      <c r="D49" s="101"/>
      <c r="E49" s="101"/>
      <c r="F49" s="101"/>
      <c r="G49" s="71"/>
      <c r="H49" s="71"/>
      <c r="I49" s="102"/>
      <c r="J49" s="102"/>
      <c r="K49" s="102"/>
      <c r="L49" s="102"/>
    </row>
    <row r="50" spans="1:12" ht="19.5" customHeight="1" x14ac:dyDescent="0.25">
      <c r="A50" s="86"/>
      <c r="B50" s="87"/>
      <c r="C50" s="101"/>
      <c r="D50" s="101"/>
      <c r="E50" s="101"/>
      <c r="F50" s="101"/>
      <c r="G50" s="73"/>
      <c r="H50" s="83"/>
      <c r="I50" s="102"/>
      <c r="J50" s="102"/>
      <c r="K50" s="102"/>
      <c r="L50" s="102"/>
    </row>
    <row r="51" spans="1:12" ht="21.75" customHeight="1" x14ac:dyDescent="0.25">
      <c r="A51" s="86"/>
      <c r="B51" s="89"/>
      <c r="C51" s="101"/>
      <c r="D51" s="101"/>
      <c r="E51" s="101"/>
      <c r="F51" s="101"/>
      <c r="G51" s="71"/>
      <c r="H51" s="71"/>
      <c r="I51" s="108"/>
      <c r="J51" s="108"/>
      <c r="K51" s="108"/>
      <c r="L51" s="108"/>
    </row>
    <row r="52" spans="1:12" ht="21.75" customHeight="1" x14ac:dyDescent="0.25">
      <c r="A52" s="86"/>
      <c r="B52" s="84"/>
      <c r="C52" s="101"/>
      <c r="D52" s="101"/>
      <c r="E52" s="101"/>
      <c r="F52" s="101"/>
      <c r="G52" s="71"/>
      <c r="H52" s="71"/>
      <c r="I52" s="102"/>
      <c r="J52" s="102"/>
      <c r="K52" s="102"/>
      <c r="L52" s="102"/>
    </row>
    <row r="53" spans="1:12" ht="19.5" customHeight="1" x14ac:dyDescent="0.25">
      <c r="A53" s="86"/>
      <c r="B53" s="89"/>
      <c r="C53" s="101"/>
      <c r="D53" s="101"/>
      <c r="E53" s="101"/>
      <c r="F53" s="101"/>
      <c r="G53" s="71"/>
      <c r="H53" s="71"/>
      <c r="I53" s="102"/>
      <c r="J53" s="102"/>
      <c r="K53" s="102"/>
      <c r="L53" s="102"/>
    </row>
    <row r="54" spans="1:12" ht="19.5" customHeight="1" x14ac:dyDescent="0.25">
      <c r="A54" s="86"/>
      <c r="B54" s="89"/>
      <c r="C54" s="101"/>
      <c r="D54" s="101"/>
      <c r="E54" s="101"/>
      <c r="F54" s="101"/>
      <c r="G54" s="71"/>
      <c r="H54" s="71"/>
      <c r="I54" s="102"/>
      <c r="J54" s="102"/>
      <c r="K54" s="102"/>
      <c r="L54" s="102"/>
    </row>
    <row r="55" spans="1:12" ht="19.5" customHeight="1" x14ac:dyDescent="0.25">
      <c r="A55" s="86"/>
      <c r="B55" s="89"/>
      <c r="C55" s="101"/>
      <c r="D55" s="101"/>
      <c r="E55" s="101"/>
      <c r="F55" s="101"/>
      <c r="G55" s="71"/>
      <c r="H55" s="71"/>
      <c r="I55" s="102"/>
      <c r="J55" s="102"/>
      <c r="K55" s="102"/>
      <c r="L55" s="102"/>
    </row>
    <row r="56" spans="1:12" ht="20.25" customHeight="1" x14ac:dyDescent="0.25">
      <c r="A56" s="86"/>
      <c r="B56" s="89"/>
      <c r="C56" s="101"/>
      <c r="D56" s="101"/>
      <c r="E56" s="101"/>
      <c r="F56" s="101"/>
      <c r="G56" s="71"/>
      <c r="H56" s="71"/>
      <c r="I56" s="102"/>
      <c r="J56" s="102"/>
      <c r="K56" s="102"/>
      <c r="L56" s="102"/>
    </row>
    <row r="57" spans="1:12" ht="20.25" customHeight="1" x14ac:dyDescent="0.25">
      <c r="A57" s="689"/>
      <c r="B57" s="690" t="s">
        <v>192</v>
      </c>
      <c r="C57" s="691">
        <f>C58+C64+C70</f>
        <v>540</v>
      </c>
      <c r="D57" s="691">
        <f>D58+D64+D70</f>
        <v>0</v>
      </c>
      <c r="E57" s="691">
        <f>E58+E64+E70</f>
        <v>20000</v>
      </c>
      <c r="F57" s="691">
        <f>F58+F64+F70</f>
        <v>20540</v>
      </c>
      <c r="G57" s="689"/>
      <c r="H57" s="690" t="s">
        <v>200</v>
      </c>
      <c r="I57" s="691">
        <f>I58+I66+I71</f>
        <v>153698.66</v>
      </c>
      <c r="J57" s="691">
        <f t="shared" ref="J57" si="11">J58+J66+J71</f>
        <v>600</v>
      </c>
      <c r="K57" s="691">
        <f t="shared" ref="K57" si="12">K58+K66+K71</f>
        <v>24269</v>
      </c>
      <c r="L57" s="691">
        <f>L58+L66+L71</f>
        <v>178566.66</v>
      </c>
    </row>
    <row r="58" spans="1:12" ht="20.25" customHeight="1" x14ac:dyDescent="0.25">
      <c r="A58" s="421" t="s">
        <v>100</v>
      </c>
      <c r="B58" s="414" t="s">
        <v>260</v>
      </c>
      <c r="C58" s="415">
        <f>SUM(C59:C63)</f>
        <v>0</v>
      </c>
      <c r="D58" s="415">
        <f>SUM(D59:D63)</f>
        <v>0</v>
      </c>
      <c r="E58" s="415">
        <f>SUM(E59:E63)</f>
        <v>0</v>
      </c>
      <c r="F58" s="415">
        <f>SUM(F59:F63)</f>
        <v>0</v>
      </c>
      <c r="G58" s="421" t="s">
        <v>181</v>
      </c>
      <c r="H58" s="414" t="s">
        <v>217</v>
      </c>
      <c r="I58" s="415">
        <f>SUM(I59:I65)</f>
        <v>97698.66</v>
      </c>
      <c r="J58" s="415">
        <f t="shared" ref="J58:L58" si="13">SUM(J59:J65)</f>
        <v>0</v>
      </c>
      <c r="K58" s="415">
        <f t="shared" ref="K58" si="14">SUM(K59:K65)</f>
        <v>24269</v>
      </c>
      <c r="L58" s="415">
        <f t="shared" si="13"/>
        <v>121966.66</v>
      </c>
    </row>
    <row r="59" spans="1:12" ht="20.25" customHeight="1" x14ac:dyDescent="0.25">
      <c r="A59" s="86"/>
      <c r="B59" s="84" t="s">
        <v>261</v>
      </c>
      <c r="C59" s="103">
        <f>'2. 2016. önkormányzat'!C46+'3. 2016. hivatal'!C59+'4. 2016. műv.ház'!C59+'5. 2016. forrás'!C59+'6. 2016. szociális'!C59</f>
        <v>0</v>
      </c>
      <c r="D59" s="103">
        <f>'2. 2016. önkormányzat'!D46+'3. 2016. hivatal'!D59+'4. 2016. műv.ház'!D59+'5. 2016. forrás'!D59+'6. 2016. szociális'!D59</f>
        <v>0</v>
      </c>
      <c r="E59" s="103">
        <f>'2. 2016. önkormányzat'!E46+'3. 2016. hivatal'!E59+'4. 2016. műv.ház'!E59+'5. 2016. forrás'!E59+'6. 2016. szociális'!E59</f>
        <v>0</v>
      </c>
      <c r="F59" s="103">
        <f>'2. 2016. önkormányzat'!F46+'3. 2016. hivatal'!F59+'4. 2016. műv.ház'!F59+'5. 2016. forrás'!F59+'6. 2016. szociális'!F59</f>
        <v>0</v>
      </c>
      <c r="G59" s="86"/>
      <c r="H59" s="92" t="s">
        <v>218</v>
      </c>
      <c r="I59" s="97">
        <f>'2. 2016. önkormányzat'!I46+'3. 2016. hivatal'!I59+'4. 2016. műv.ház'!I59+'5. 2016. forrás'!I59+'6. 2016. szociális'!I59</f>
        <v>6850</v>
      </c>
      <c r="J59" s="97">
        <f>'2. 2016. önkormányzat'!J46+'3. 2016. hivatal'!J59+'4. 2016. műv.ház'!J59+'5. 2016. forrás'!J59+'6. 2016. szociális'!J59</f>
        <v>0</v>
      </c>
      <c r="K59" s="97">
        <f>'2. 2016. önkormányzat'!K46+'3. 2016. hivatal'!K59+'4. 2016. műv.ház'!K59+'5. 2016. forrás'!K59+'6. 2016. szociális'!K59</f>
        <v>0</v>
      </c>
      <c r="L59" s="97">
        <f>'2. 2016. önkormányzat'!L46+'3. 2016. hivatal'!L59+'4. 2016. műv.ház'!L59+'5. 2016. forrás'!L59+'6. 2016. szociális'!L59</f>
        <v>6850</v>
      </c>
    </row>
    <row r="60" spans="1:12" ht="29.25" customHeight="1" x14ac:dyDescent="0.25">
      <c r="A60" s="86"/>
      <c r="B60" s="84" t="s">
        <v>262</v>
      </c>
      <c r="C60" s="103">
        <f>'2. 2016. önkormányzat'!C47+'3. 2016. hivatal'!C60+'4. 2016. műv.ház'!C60+'5. 2016. forrás'!C60+'6. 2016. szociális'!C60</f>
        <v>0</v>
      </c>
      <c r="D60" s="103">
        <f>'2. 2016. önkormányzat'!D47+'3. 2016. hivatal'!D60+'4. 2016. műv.ház'!D60+'5. 2016. forrás'!D60+'6. 2016. szociális'!D60</f>
        <v>0</v>
      </c>
      <c r="E60" s="103">
        <f>'2. 2016. önkormányzat'!E47+'3. 2016. hivatal'!E60+'4. 2016. műv.ház'!E60+'5. 2016. forrás'!E60+'6. 2016. szociális'!E60</f>
        <v>0</v>
      </c>
      <c r="F60" s="103">
        <f>'2. 2016. önkormányzat'!F47+'3. 2016. hivatal'!F60+'4. 2016. műv.ház'!F60+'5. 2016. forrás'!F60+'6. 2016. szociális'!F60</f>
        <v>0</v>
      </c>
      <c r="G60" s="86"/>
      <c r="H60" s="92" t="s">
        <v>219</v>
      </c>
      <c r="I60" s="97">
        <f>'2. 2016. önkormányzat'!I47+'3. 2016. hivatal'!I60+'4. 2016. műv.ház'!I60+'5. 2016. forrás'!I60+'6. 2016. szociális'!I60</f>
        <v>62650</v>
      </c>
      <c r="J60" s="97">
        <f>'2. 2016. önkormányzat'!J47+'3. 2016. hivatal'!J60+'4. 2016. műv.ház'!J60+'5. 2016. forrás'!J60+'6. 2016. szociális'!J60</f>
        <v>0</v>
      </c>
      <c r="K60" s="97">
        <f>'2. 2016. önkormányzat'!K47+'3. 2016. hivatal'!K60+'4. 2016. műv.ház'!K60+'5. 2016. forrás'!K60+'6. 2016. szociális'!K60</f>
        <v>19290</v>
      </c>
      <c r="L60" s="97">
        <f>'2. 2016. önkormányzat'!L47+'3. 2016. hivatal'!L60+'4. 2016. műv.ház'!L60+'5. 2016. forrás'!L60+'6. 2016. szociális'!L60</f>
        <v>81940</v>
      </c>
    </row>
    <row r="61" spans="1:12" ht="29.25" customHeight="1" x14ac:dyDescent="0.25">
      <c r="A61" s="86"/>
      <c r="B61" s="84" t="s">
        <v>263</v>
      </c>
      <c r="C61" s="103">
        <f>'2. 2016. önkormányzat'!C48+'3. 2016. hivatal'!C61+'4. 2016. műv.ház'!C61+'5. 2016. forrás'!C61+'6. 2016. szociális'!C61</f>
        <v>0</v>
      </c>
      <c r="D61" s="103">
        <f>'2. 2016. önkormányzat'!D48+'3. 2016. hivatal'!D61+'4. 2016. műv.ház'!D61+'5. 2016. forrás'!D61+'6. 2016. szociális'!D61</f>
        <v>0</v>
      </c>
      <c r="E61" s="103">
        <f>'2. 2016. önkormányzat'!E48+'3. 2016. hivatal'!E61+'4. 2016. műv.ház'!E61+'5. 2016. forrás'!E61+'6. 2016. szociális'!E61</f>
        <v>0</v>
      </c>
      <c r="F61" s="103">
        <f>'2. 2016. önkormányzat'!F48+'3. 2016. hivatal'!F61+'4. 2016. műv.ház'!F61+'5. 2016. forrás'!F61+'6. 2016. szociális'!F61</f>
        <v>0</v>
      </c>
      <c r="G61" s="71"/>
      <c r="H61" s="71" t="s">
        <v>220</v>
      </c>
      <c r="I61" s="100">
        <f>'2. 2016. önkormányzat'!I48+'3. 2016. hivatal'!I61+'4. 2016. műv.ház'!I61+'5. 2016. forrás'!I61+'6. 2016. szociális'!I61</f>
        <v>700</v>
      </c>
      <c r="J61" s="100">
        <f>'2. 2016. önkormányzat'!J48+'3. 2016. hivatal'!J61+'4. 2016. műv.ház'!J61+'5. 2016. forrás'!J61+'6. 2016. szociális'!J61</f>
        <v>210</v>
      </c>
      <c r="K61" s="100">
        <f>'2. 2016. önkormányzat'!K48+'3. 2016. hivatal'!K61+'4. 2016. műv.ház'!K61+'5. 2016. forrás'!K61+'6. 2016. szociális'!K61</f>
        <v>480</v>
      </c>
      <c r="L61" s="100">
        <f>'2. 2016. önkormányzat'!L48+'3. 2016. hivatal'!L61+'4. 2016. műv.ház'!L61+'5. 2016. forrás'!L61+'6. 2016. szociális'!L61</f>
        <v>1390</v>
      </c>
    </row>
    <row r="62" spans="1:12" ht="29.25" customHeight="1" x14ac:dyDescent="0.25">
      <c r="A62" s="86"/>
      <c r="B62" s="84" t="s">
        <v>264</v>
      </c>
      <c r="C62" s="103">
        <f>'2. 2016. önkormányzat'!C49+'3. 2016. hivatal'!C62+'4. 2016. műv.ház'!C62+'5. 2016. forrás'!C62+'6. 2016. szociális'!C62</f>
        <v>0</v>
      </c>
      <c r="D62" s="103">
        <f>'2. 2016. önkormányzat'!D49+'3. 2016. hivatal'!D62+'4. 2016. műv.ház'!D62+'5. 2016. forrás'!D62+'6. 2016. szociális'!D62</f>
        <v>0</v>
      </c>
      <c r="E62" s="103">
        <f>'2. 2016. önkormányzat'!E49+'3. 2016. hivatal'!E62+'4. 2016. műv.ház'!E62+'5. 2016. forrás'!E62+'6. 2016. szociális'!E62</f>
        <v>0</v>
      </c>
      <c r="F62" s="103">
        <f>'2. 2016. önkormányzat'!F49+'3. 2016. hivatal'!F62+'4. 2016. műv.ház'!F62+'5. 2016. forrás'!F62+'6. 2016. szociális'!F62</f>
        <v>0</v>
      </c>
      <c r="G62" s="71"/>
      <c r="H62" s="71" t="s">
        <v>221</v>
      </c>
      <c r="I62" s="100">
        <f>'2. 2016. önkormányzat'!I49+'3. 2016. hivatal'!I62+'4. 2016. műv.ház'!I62+'5. 2016. forrás'!I62+'6. 2016. szociális'!I62</f>
        <v>9097.9212598425202</v>
      </c>
      <c r="J62" s="100">
        <f>'2. 2016. önkormányzat'!J49+'3. 2016. hivatal'!J62+'4. 2016. műv.ház'!J62+'5. 2016. forrás'!J62+'6. 2016. szociális'!J62</f>
        <v>-210</v>
      </c>
      <c r="K62" s="100">
        <f>'2. 2016. önkormányzat'!K49+'3. 2016. hivatal'!K62+'4. 2016. műv.ház'!K62+'5. 2016. forrás'!K62+'6. 2016. szociális'!K62</f>
        <v>2000</v>
      </c>
      <c r="L62" s="100">
        <f>'2. 2016. önkormányzat'!L49+'3. 2016. hivatal'!L62+'4. 2016. műv.ház'!L62+'5. 2016. forrás'!L62+'6. 2016. szociális'!L62</f>
        <v>10887.92125984252</v>
      </c>
    </row>
    <row r="63" spans="1:12" ht="21" customHeight="1" x14ac:dyDescent="0.25">
      <c r="A63" s="86"/>
      <c r="B63" s="84" t="s">
        <v>265</v>
      </c>
      <c r="C63" s="103">
        <f>'2. 2016. önkormányzat'!C50+'3. 2016. hivatal'!C63+'4. 2016. műv.ház'!C63+'5. 2016. forrás'!C63+'6. 2016. szociális'!C63</f>
        <v>0</v>
      </c>
      <c r="D63" s="103">
        <f>'2. 2016. önkormányzat'!D50+'3. 2016. hivatal'!D63+'4. 2016. műv.ház'!D63+'5. 2016. forrás'!D63+'6. 2016. szociális'!D63</f>
        <v>0</v>
      </c>
      <c r="E63" s="103">
        <f>'2. 2016. önkormányzat'!E50+'3. 2016. hivatal'!E63+'4. 2016. műv.ház'!E63+'5. 2016. forrás'!E63+'6. 2016. szociális'!E63</f>
        <v>0</v>
      </c>
      <c r="F63" s="103">
        <f>'2. 2016. önkormányzat'!F50+'3. 2016. hivatal'!F63+'4. 2016. műv.ház'!F63+'5. 2016. forrás'!F63+'6. 2016. szociális'!F63</f>
        <v>0</v>
      </c>
      <c r="G63" s="71"/>
      <c r="H63" s="71" t="s">
        <v>222</v>
      </c>
      <c r="I63" s="100"/>
      <c r="J63" s="100"/>
      <c r="K63" s="100"/>
      <c r="L63" s="100"/>
    </row>
    <row r="64" spans="1:12" ht="20.25" customHeight="1" x14ac:dyDescent="0.25">
      <c r="A64" s="421" t="s">
        <v>181</v>
      </c>
      <c r="B64" s="414" t="s">
        <v>284</v>
      </c>
      <c r="C64" s="415">
        <f>SUM(C65:C69)</f>
        <v>540</v>
      </c>
      <c r="D64" s="415">
        <f>SUM(D65:D69)</f>
        <v>0</v>
      </c>
      <c r="E64" s="415">
        <f>SUM(E65:E69)</f>
        <v>0</v>
      </c>
      <c r="F64" s="415">
        <f>SUM(F65:F69)</f>
        <v>540</v>
      </c>
      <c r="G64" s="71"/>
      <c r="H64" s="71" t="s">
        <v>223</v>
      </c>
      <c r="I64" s="100">
        <f>'2. 2016. önkormányzat'!I51+'3. 2016. hivatal'!I64+'4. 2016. műv.ház'!I64+'5. 2016. forrás'!I64+'6. 2016. szociális'!I64</f>
        <v>0</v>
      </c>
      <c r="J64" s="100">
        <f>'2. 2016. önkormányzat'!J51+'3. 2016. hivatal'!J64+'4. 2016. műv.ház'!J64+'5. 2016. forrás'!J64+'6. 2016. szociális'!J64</f>
        <v>0</v>
      </c>
      <c r="K64" s="100">
        <f>'2. 2016. önkormányzat'!K51+'3. 2016. hivatal'!K64+'4. 2016. műv.ház'!K64+'5. 2016. forrás'!K64+'6. 2016. szociális'!K64</f>
        <v>0</v>
      </c>
      <c r="L64" s="100">
        <f>'2. 2016. önkormányzat'!L51+'3. 2016. hivatal'!L64+'4. 2016. műv.ház'!L64+'5. 2016. forrás'!L64+'6. 2016. szociális'!L64</f>
        <v>0</v>
      </c>
    </row>
    <row r="65" spans="1:12" ht="20.25" customHeight="1" x14ac:dyDescent="0.25">
      <c r="A65" s="86"/>
      <c r="B65" s="89" t="s">
        <v>285</v>
      </c>
      <c r="C65" s="103"/>
      <c r="D65" s="103"/>
      <c r="E65" s="103"/>
      <c r="F65" s="103"/>
      <c r="G65" s="71"/>
      <c r="H65" s="71" t="s">
        <v>224</v>
      </c>
      <c r="I65" s="100">
        <f>'2. 2016. önkormányzat'!I52+'3. 2016. hivatal'!I65+'4. 2016. műv.ház'!I65+'5. 2016. forrás'!I65+'6. 2016. szociális'!I65+1</f>
        <v>18400.738740157478</v>
      </c>
      <c r="J65" s="100">
        <f>'2. 2016. önkormányzat'!J52+'3. 2016. hivatal'!J65+'4. 2016. műv.ház'!J65+'5. 2016. forrás'!J65+'6. 2016. szociális'!J65</f>
        <v>0</v>
      </c>
      <c r="K65" s="100">
        <f>'2. 2016. önkormányzat'!K52+'3. 2016. hivatal'!K65+'4. 2016. műv.ház'!K65+'5. 2016. forrás'!K65+'6. 2016. szociális'!K65</f>
        <v>2499</v>
      </c>
      <c r="L65" s="100">
        <f>'2. 2016. önkormányzat'!L52+'3. 2016. hivatal'!L65+'4. 2016. műv.ház'!L65+'5. 2016. forrás'!L65+'6. 2016. szociális'!L65</f>
        <v>20898.738740157478</v>
      </c>
    </row>
    <row r="66" spans="1:12" ht="20.25" customHeight="1" x14ac:dyDescent="0.25">
      <c r="A66" s="86"/>
      <c r="B66" s="89" t="s">
        <v>286</v>
      </c>
      <c r="C66" s="103">
        <f>'2. 2016. önkormányzat'!C53</f>
        <v>0</v>
      </c>
      <c r="D66" s="103">
        <f>'2. 2016. önkormányzat'!D53</f>
        <v>0</v>
      </c>
      <c r="E66" s="103">
        <f>'2. 2016. önkormányzat'!E53</f>
        <v>0</v>
      </c>
      <c r="F66" s="103">
        <f>'2. 2016. önkormányzat'!F53</f>
        <v>0</v>
      </c>
      <c r="G66" s="421" t="s">
        <v>191</v>
      </c>
      <c r="H66" s="414" t="s">
        <v>225</v>
      </c>
      <c r="I66" s="415">
        <f>SUM(I67:I70)</f>
        <v>56000</v>
      </c>
      <c r="J66" s="415">
        <f t="shared" ref="J66:L66" si="15">SUM(J67:J70)</f>
        <v>0</v>
      </c>
      <c r="K66" s="415">
        <f t="shared" ref="K66" si="16">SUM(K67:K70)</f>
        <v>0</v>
      </c>
      <c r="L66" s="415">
        <f t="shared" si="15"/>
        <v>56000</v>
      </c>
    </row>
    <row r="67" spans="1:12" ht="20.25" customHeight="1" x14ac:dyDescent="0.25">
      <c r="A67" s="86"/>
      <c r="B67" s="89" t="s">
        <v>287</v>
      </c>
      <c r="C67" s="103"/>
      <c r="D67" s="103"/>
      <c r="E67" s="103"/>
      <c r="F67" s="103"/>
      <c r="G67" s="71"/>
      <c r="H67" s="71" t="s">
        <v>226</v>
      </c>
      <c r="I67" s="100">
        <f>'2. 2016. önkormányzat'!I54+'3. 2016. hivatal'!I67+'4. 2016. műv.ház'!I67+'5. 2016. forrás'!I67+'6. 2016. szociális'!I67</f>
        <v>33400</v>
      </c>
      <c r="J67" s="100">
        <f>'2. 2016. önkormányzat'!J54+'3. 2016. hivatal'!J67+'4. 2016. műv.ház'!J67+'5. 2016. forrás'!J67+'6. 2016. szociális'!J67</f>
        <v>0</v>
      </c>
      <c r="K67" s="100">
        <f>'2. 2016. önkormányzat'!K54+'3. 2016. hivatal'!K67+'4. 2016. műv.ház'!K67+'5. 2016. forrás'!K67+'6. 2016. szociális'!K67</f>
        <v>0</v>
      </c>
      <c r="L67" s="100">
        <f>'2. 2016. önkormányzat'!L54+'3. 2016. hivatal'!L67+'4. 2016. műv.ház'!L67+'5. 2016. forrás'!L67+'6. 2016. szociális'!L67</f>
        <v>33400</v>
      </c>
    </row>
    <row r="68" spans="1:12" ht="20.25" customHeight="1" x14ac:dyDescent="0.25">
      <c r="A68" s="86"/>
      <c r="B68" s="89" t="s">
        <v>288</v>
      </c>
      <c r="C68" s="103">
        <f>'2. 2016. önkormányzat'!C55</f>
        <v>540</v>
      </c>
      <c r="D68" s="103">
        <f>'2. 2016. önkormányzat'!D55</f>
        <v>0</v>
      </c>
      <c r="E68" s="103">
        <f>'2. 2016. önkormányzat'!E55</f>
        <v>0</v>
      </c>
      <c r="F68" s="103">
        <f>'2. 2016. önkormányzat'!F55</f>
        <v>540</v>
      </c>
      <c r="G68" s="71"/>
      <c r="H68" s="71" t="s">
        <v>227</v>
      </c>
      <c r="I68" s="100">
        <f>'2. 2016. önkormányzat'!I55+'3. 2016. hivatal'!I68+'4. 2016. műv.ház'!I68+'5. 2016. forrás'!I68+'6. 2016. szociális'!I68</f>
        <v>0</v>
      </c>
      <c r="J68" s="100">
        <f>'2. 2016. önkormányzat'!J55+'3. 2016. hivatal'!J68+'4. 2016. műv.ház'!J68+'5. 2016. forrás'!J68+'6. 2016. szociális'!J68</f>
        <v>0</v>
      </c>
      <c r="K68" s="100">
        <f>'2. 2016. önkormányzat'!K55+'3. 2016. hivatal'!K68+'4. 2016. műv.ház'!K68+'5. 2016. forrás'!K68+'6. 2016. szociális'!K68</f>
        <v>0</v>
      </c>
      <c r="L68" s="100">
        <f>'2. 2016. önkormányzat'!L55+'3. 2016. hivatal'!L68+'4. 2016. műv.ház'!L68+'5. 2016. forrás'!L68+'6. 2016. szociális'!L68</f>
        <v>0</v>
      </c>
    </row>
    <row r="69" spans="1:12" ht="20.25" customHeight="1" x14ac:dyDescent="0.25">
      <c r="A69" s="86"/>
      <c r="B69" s="89" t="s">
        <v>289</v>
      </c>
      <c r="C69" s="103"/>
      <c r="D69" s="103"/>
      <c r="E69" s="103"/>
      <c r="F69" s="103"/>
      <c r="G69" s="71"/>
      <c r="H69" s="71" t="s">
        <v>228</v>
      </c>
      <c r="I69" s="100">
        <f>'2. 2016. önkormányzat'!I56+'3. 2016. hivatal'!I69+'4. 2016. műv.ház'!I69+'5. 2016. forrás'!I69+'6. 2016. szociális'!I69</f>
        <v>13582</v>
      </c>
      <c r="J69" s="100">
        <f>'2. 2016. önkormányzat'!J56+'3. 2016. hivatal'!J69+'4. 2016. műv.ház'!J69+'5. 2016. forrás'!J69+'6. 2016. szociális'!J69</f>
        <v>0</v>
      </c>
      <c r="K69" s="100">
        <f>'2. 2016. önkormányzat'!K56+'3. 2016. hivatal'!K69+'4. 2016. műv.ház'!K69+'5. 2016. forrás'!K69+'6. 2016. szociális'!K69</f>
        <v>0</v>
      </c>
      <c r="L69" s="100">
        <f>'2. 2016. önkormányzat'!L56+'3. 2016. hivatal'!L69+'4. 2016. műv.ház'!L69+'5. 2016. forrás'!L69+'6. 2016. szociális'!L69</f>
        <v>13582</v>
      </c>
    </row>
    <row r="70" spans="1:12" ht="20.25" customHeight="1" x14ac:dyDescent="0.25">
      <c r="A70" s="421" t="s">
        <v>191</v>
      </c>
      <c r="B70" s="414" t="s">
        <v>294</v>
      </c>
      <c r="C70" s="415">
        <f>C71+C72+C73</f>
        <v>0</v>
      </c>
      <c r="D70" s="415">
        <f>D71+D72+D73</f>
        <v>0</v>
      </c>
      <c r="E70" s="415">
        <f>E71+E72+E73</f>
        <v>20000</v>
      </c>
      <c r="F70" s="415">
        <f>F71+F72+F73</f>
        <v>20000</v>
      </c>
      <c r="G70" s="71"/>
      <c r="H70" s="71" t="s">
        <v>229</v>
      </c>
      <c r="I70" s="100">
        <f>'2. 2016. önkormányzat'!I57+'3. 2016. hivatal'!I70+'4. 2016. műv.ház'!I70+'5. 2016. forrás'!I70+'6. 2016. szociális'!I70</f>
        <v>9018</v>
      </c>
      <c r="J70" s="100">
        <f>'2. 2016. önkormányzat'!J57+'3. 2016. hivatal'!J70+'4. 2016. műv.ház'!J70+'5. 2016. forrás'!J70+'6. 2016. szociális'!J70</f>
        <v>0</v>
      </c>
      <c r="K70" s="100">
        <f>'2. 2016. önkormányzat'!K57+'3. 2016. hivatal'!K70+'4. 2016. műv.ház'!K70+'5. 2016. forrás'!K70+'6. 2016. szociális'!K70</f>
        <v>0</v>
      </c>
      <c r="L70" s="100">
        <f>'2. 2016. önkormányzat'!L57+'3. 2016. hivatal'!L70+'4. 2016. műv.ház'!L70+'5. 2016. forrás'!L70+'6. 2016. szociális'!L70</f>
        <v>9018</v>
      </c>
    </row>
    <row r="71" spans="1:12" ht="29.25" customHeight="1" x14ac:dyDescent="0.25">
      <c r="A71" s="86"/>
      <c r="B71" s="89" t="s">
        <v>295</v>
      </c>
      <c r="C71" s="103"/>
      <c r="D71" s="103"/>
      <c r="E71" s="103"/>
      <c r="F71" s="103"/>
      <c r="G71" s="421" t="s">
        <v>199</v>
      </c>
      <c r="H71" s="414" t="s">
        <v>230</v>
      </c>
      <c r="I71" s="415">
        <f>'2. 2016. önkormányzat'!I58+'3. 2016. hivatal'!I71+'4. 2016. műv.ház'!I71+'5. 2016. forrás'!I71+'6. 2016. szociális'!I71</f>
        <v>0</v>
      </c>
      <c r="J71" s="415">
        <f>'2. 2016. önkormányzat'!J58+'3. 2016. hivatal'!J71+'4. 2016. műv.ház'!J71+'5. 2016. forrás'!J71+'6. 2016. szociális'!J71</f>
        <v>600</v>
      </c>
      <c r="K71" s="415">
        <f>'2. 2016. önkormányzat'!K58+'3. 2016. hivatal'!K71+'4. 2016. műv.ház'!K71+'5. 2016. forrás'!K71+'6. 2016. szociális'!K71</f>
        <v>0</v>
      </c>
      <c r="L71" s="415">
        <f>'2. 2016. önkormányzat'!L58+'3. 2016. hivatal'!L71+'4. 2016. műv.ház'!L71+'5. 2016. forrás'!L71+'6. 2016. szociális'!L71</f>
        <v>600</v>
      </c>
    </row>
    <row r="72" spans="1:12" ht="29.25" customHeight="1" x14ac:dyDescent="0.25">
      <c r="A72" s="86"/>
      <c r="B72" s="84" t="s">
        <v>296</v>
      </c>
      <c r="C72" s="103"/>
      <c r="D72" s="103"/>
      <c r="E72" s="103"/>
      <c r="F72" s="103"/>
      <c r="G72" s="71"/>
      <c r="H72" s="71"/>
      <c r="I72" s="100"/>
      <c r="J72" s="100"/>
      <c r="K72" s="100"/>
      <c r="L72" s="100"/>
    </row>
    <row r="73" spans="1:12" ht="21" customHeight="1" x14ac:dyDescent="0.25">
      <c r="A73" s="86"/>
      <c r="B73" s="89" t="s">
        <v>297</v>
      </c>
      <c r="C73" s="103">
        <f>'2. 2016. önkormányzat'!C60</f>
        <v>0</v>
      </c>
      <c r="D73" s="103">
        <f>'2. 2016. önkormányzat'!D60</f>
        <v>0</v>
      </c>
      <c r="E73" s="103">
        <f>'2. 2016. önkormányzat'!E60</f>
        <v>20000</v>
      </c>
      <c r="F73" s="103">
        <f>'2. 2016. önkormányzat'!F60</f>
        <v>20000</v>
      </c>
      <c r="G73" s="71"/>
      <c r="H73" s="71"/>
      <c r="I73" s="100"/>
      <c r="J73" s="100"/>
      <c r="K73" s="100"/>
      <c r="L73" s="100"/>
    </row>
    <row r="74" spans="1:12" ht="21" customHeight="1" x14ac:dyDescent="0.25">
      <c r="A74" s="86"/>
      <c r="B74" s="322" t="s">
        <v>769</v>
      </c>
      <c r="C74" s="323">
        <f>SUM(C57,C2)</f>
        <v>575849.66779999994</v>
      </c>
      <c r="D74" s="323">
        <f>SUM(D57,D2)</f>
        <v>11562</v>
      </c>
      <c r="E74" s="323">
        <f>SUM(E57,E2)</f>
        <v>48980</v>
      </c>
      <c r="F74" s="323">
        <f>SUM(F57,F2)</f>
        <v>636392.66779999994</v>
      </c>
      <c r="G74" s="324"/>
      <c r="H74" s="322" t="s">
        <v>770</v>
      </c>
      <c r="I74" s="321">
        <f>I57+I2+1</f>
        <v>738077.40778521891</v>
      </c>
      <c r="J74" s="321">
        <f t="shared" ref="J74" si="17">J57+J2+1</f>
        <v>31550</v>
      </c>
      <c r="K74" s="321">
        <f>K57+K2</f>
        <v>80873.875196850393</v>
      </c>
      <c r="L74" s="321">
        <f>L57+L2+1</f>
        <v>850501.2829820693</v>
      </c>
    </row>
    <row r="75" spans="1:12" ht="21" customHeight="1" x14ac:dyDescent="0.25">
      <c r="A75" s="86"/>
      <c r="B75" s="89"/>
      <c r="C75" s="103"/>
      <c r="D75" s="103"/>
      <c r="E75" s="103"/>
      <c r="F75" s="103"/>
      <c r="G75" s="71"/>
      <c r="H75" s="71"/>
      <c r="I75" s="100"/>
      <c r="J75" s="100"/>
      <c r="K75" s="100"/>
      <c r="L75" s="100"/>
    </row>
    <row r="76" spans="1:12" ht="20.25" customHeight="1" x14ac:dyDescent="0.25">
      <c r="A76" s="689"/>
      <c r="B76" s="690" t="s">
        <v>298</v>
      </c>
      <c r="C76" s="691">
        <f>C88+C99</f>
        <v>402766.51</v>
      </c>
      <c r="D76" s="691">
        <f>D88+D99</f>
        <v>26873</v>
      </c>
      <c r="E76" s="691">
        <f>E88+E99</f>
        <v>43079</v>
      </c>
      <c r="F76" s="691">
        <f>F88+F99</f>
        <v>472718.51</v>
      </c>
      <c r="G76" s="689"/>
      <c r="H76" s="690" t="s">
        <v>299</v>
      </c>
      <c r="I76" s="691">
        <f>I86+I98</f>
        <v>240540</v>
      </c>
      <c r="J76" s="691">
        <f t="shared" ref="J76:L76" si="18">J86+J98</f>
        <v>6886</v>
      </c>
      <c r="K76" s="691">
        <f t="shared" ref="K76" si="19">K86+K98</f>
        <v>11185</v>
      </c>
      <c r="L76" s="691">
        <f t="shared" si="18"/>
        <v>258611</v>
      </c>
    </row>
    <row r="77" spans="1:12" ht="21" customHeight="1" x14ac:dyDescent="0.25">
      <c r="A77" s="75"/>
      <c r="B77" s="94" t="s">
        <v>300</v>
      </c>
      <c r="C77" s="103"/>
      <c r="D77" s="103"/>
      <c r="E77" s="103"/>
      <c r="F77" s="103"/>
      <c r="G77" s="75"/>
      <c r="H77" s="94" t="s">
        <v>231</v>
      </c>
      <c r="I77" s="103"/>
      <c r="J77" s="103"/>
      <c r="K77" s="103"/>
      <c r="L77" s="103"/>
    </row>
    <row r="78" spans="1:12" ht="20.25" customHeight="1" x14ac:dyDescent="0.25">
      <c r="A78" s="75"/>
      <c r="B78" s="94" t="s">
        <v>301</v>
      </c>
      <c r="C78" s="103"/>
      <c r="D78" s="103"/>
      <c r="E78" s="103"/>
      <c r="F78" s="103"/>
      <c r="G78" s="75"/>
      <c r="H78" s="94" t="s">
        <v>232</v>
      </c>
      <c r="I78" s="103"/>
      <c r="J78" s="103"/>
      <c r="K78" s="103"/>
      <c r="L78" s="103"/>
    </row>
    <row r="79" spans="1:12" ht="20.25" customHeight="1" x14ac:dyDescent="0.25">
      <c r="A79" s="75"/>
      <c r="B79" s="94" t="s">
        <v>302</v>
      </c>
      <c r="C79" s="103"/>
      <c r="D79" s="103"/>
      <c r="E79" s="103"/>
      <c r="F79" s="103"/>
      <c r="G79" s="75"/>
      <c r="H79" s="94" t="s">
        <v>233</v>
      </c>
      <c r="I79" s="103"/>
      <c r="J79" s="103"/>
      <c r="K79" s="103"/>
      <c r="L79" s="103"/>
    </row>
    <row r="80" spans="1:12" ht="20.25" customHeight="1" x14ac:dyDescent="0.25">
      <c r="A80" s="75"/>
      <c r="B80" s="95" t="s">
        <v>303</v>
      </c>
      <c r="C80" s="103">
        <f>C77+C78+C79</f>
        <v>0</v>
      </c>
      <c r="D80" s="103">
        <f>D77+D78+D79</f>
        <v>0</v>
      </c>
      <c r="E80" s="103">
        <f>E77+E78+E79</f>
        <v>0</v>
      </c>
      <c r="F80" s="103">
        <f>F77+F78+F79</f>
        <v>0</v>
      </c>
      <c r="G80" s="75"/>
      <c r="H80" s="95" t="s">
        <v>243</v>
      </c>
      <c r="I80" s="103">
        <f>I77+I78+I79</f>
        <v>0</v>
      </c>
      <c r="J80" s="103">
        <f t="shared" ref="J80:L80" si="20">J77+J78+J79</f>
        <v>0</v>
      </c>
      <c r="K80" s="103">
        <f t="shared" ref="K80" si="21">K77+K78+K79</f>
        <v>0</v>
      </c>
      <c r="L80" s="103">
        <f t="shared" si="20"/>
        <v>0</v>
      </c>
    </row>
    <row r="81" spans="1:12" ht="20.25" customHeight="1" x14ac:dyDescent="0.25">
      <c r="A81" s="75"/>
      <c r="B81" s="69" t="s">
        <v>304</v>
      </c>
      <c r="C81" s="103"/>
      <c r="D81" s="103"/>
      <c r="E81" s="103"/>
      <c r="F81" s="103"/>
      <c r="G81" s="75"/>
      <c r="H81" s="94" t="s">
        <v>235</v>
      </c>
      <c r="I81" s="103"/>
      <c r="J81" s="103"/>
      <c r="K81" s="103"/>
      <c r="L81" s="103"/>
    </row>
    <row r="82" spans="1:12" ht="20.25" customHeight="1" x14ac:dyDescent="0.25">
      <c r="A82" s="75"/>
      <c r="B82" s="69" t="s">
        <v>305</v>
      </c>
      <c r="C82" s="103"/>
      <c r="D82" s="103"/>
      <c r="E82" s="103"/>
      <c r="F82" s="103"/>
      <c r="G82" s="75"/>
      <c r="H82" s="94" t="s">
        <v>234</v>
      </c>
      <c r="I82" s="103"/>
      <c r="J82" s="103"/>
      <c r="K82" s="103"/>
      <c r="L82" s="103"/>
    </row>
    <row r="83" spans="1:12" ht="20.25" customHeight="1" x14ac:dyDescent="0.25">
      <c r="A83" s="75"/>
      <c r="B83" s="70" t="s">
        <v>306</v>
      </c>
      <c r="C83" s="103">
        <f>C81+C82</f>
        <v>0</v>
      </c>
      <c r="D83" s="103">
        <f>D81+D82</f>
        <v>0</v>
      </c>
      <c r="E83" s="103">
        <f>E81+E82</f>
        <v>0</v>
      </c>
      <c r="F83" s="103">
        <f>F81+F82</f>
        <v>0</v>
      </c>
      <c r="G83" s="75"/>
      <c r="H83" s="95" t="s">
        <v>244</v>
      </c>
      <c r="I83" s="103">
        <f>I81+I82</f>
        <v>0</v>
      </c>
      <c r="J83" s="103">
        <f t="shared" ref="J83:L83" si="22">J81+J82</f>
        <v>0</v>
      </c>
      <c r="K83" s="103">
        <f t="shared" ref="K83" si="23">K81+K82</f>
        <v>0</v>
      </c>
      <c r="L83" s="103">
        <f t="shared" si="22"/>
        <v>0</v>
      </c>
    </row>
    <row r="84" spans="1:12" ht="20.25" customHeight="1" x14ac:dyDescent="0.25">
      <c r="A84" s="75"/>
      <c r="B84" s="70"/>
      <c r="C84" s="103"/>
      <c r="D84" s="103"/>
      <c r="E84" s="103"/>
      <c r="F84" s="103"/>
      <c r="G84" s="75"/>
      <c r="H84" s="95" t="s">
        <v>1104</v>
      </c>
      <c r="I84" s="103"/>
      <c r="J84" s="103">
        <f>'2. 2016. önkormányzat'!J69</f>
        <v>4631</v>
      </c>
      <c r="K84" s="103">
        <f>'2. 2016. önkormányzat'!K69</f>
        <v>0</v>
      </c>
      <c r="L84" s="103">
        <f>'2. 2016. önkormányzat'!L69</f>
        <v>4631</v>
      </c>
    </row>
    <row r="85" spans="1:12" ht="20.25" customHeight="1" x14ac:dyDescent="0.25">
      <c r="A85" s="75"/>
      <c r="B85" s="70" t="s">
        <v>307</v>
      </c>
      <c r="C85" s="109">
        <f>'2. 2016. önkormányzat'!C70+'3. 2016. hivatal'!C82+'4. 2016. műv.ház'!C82+'5. 2016. forrás'!C82+'6. 2016. szociális'!C82</f>
        <v>109156</v>
      </c>
      <c r="D85" s="109">
        <f>'2. 2016. önkormányzat'!D70+'3. 2016. hivatal'!D82+'4. 2016. műv.ház'!D82+'5. 2016. forrás'!D82+'6. 2016. szociális'!D82</f>
        <v>24618</v>
      </c>
      <c r="E85" s="109">
        <f>'2. 2016. önkormányzat'!E70+'3. 2016. hivatal'!E82+'4. 2016. műv.ház'!E82+'5. 2016. forrás'!E82+'6. 2016. szociális'!E82+'19. 2016. bölcsőde'!E82</f>
        <v>-65035</v>
      </c>
      <c r="F85" s="109">
        <f>'2. 2016. önkormányzat'!F70+'3. 2016. hivatal'!F82+'4. 2016. műv.ház'!F82+'5. 2016. forrás'!F82+'6. 2016. szociális'!F82+'19. 2016. bölcsőde'!F82</f>
        <v>68739</v>
      </c>
      <c r="G85" s="75"/>
      <c r="H85" s="95" t="s">
        <v>236</v>
      </c>
      <c r="I85" s="103">
        <f>'2. 2016. önkormányzat'!I70</f>
        <v>230766</v>
      </c>
      <c r="J85" s="103">
        <f>'2. 2016. önkormányzat'!J70</f>
        <v>2255</v>
      </c>
      <c r="K85" s="103">
        <f>'2. 2016. önkormányzat'!K70</f>
        <v>11185</v>
      </c>
      <c r="L85" s="103">
        <f>'2. 2016. önkormányzat'!L70</f>
        <v>244206</v>
      </c>
    </row>
    <row r="86" spans="1:12" ht="20.25" customHeight="1" x14ac:dyDescent="0.25">
      <c r="A86" s="75"/>
      <c r="B86" s="70" t="s">
        <v>308</v>
      </c>
      <c r="C86" s="103">
        <f>'2. 2016. önkormányzat'!C71+'3. 2016. hivatal'!C83+'4. 2016. műv.ház'!C83+'5. 2016. forrás'!C83+'6. 2016. szociális'!C83</f>
        <v>230766</v>
      </c>
      <c r="D86" s="103">
        <f>'2. 2016. önkormányzat'!D71+'3. 2016. hivatal'!D83+'4. 2016. műv.ház'!D83+'5. 2016. forrás'!D83+'6. 2016. szociális'!D83</f>
        <v>2255</v>
      </c>
      <c r="E86" s="109">
        <f>'2. 2016. önkormányzat'!E71+'3. 2016. hivatal'!E83+'4. 2016. műv.ház'!E83+'5. 2016. forrás'!E83+'6. 2016. szociális'!E83+'19. 2016. bölcsőde'!E83</f>
        <v>11185</v>
      </c>
      <c r="F86" s="109">
        <f>'2. 2016. önkormányzat'!F71+'3. 2016. hivatal'!F83+'4. 2016. műv.ház'!F83+'5. 2016. forrás'!F83+'6. 2016. szociális'!F83+'19. 2016. bölcsőde'!F83</f>
        <v>244206</v>
      </c>
      <c r="G86" s="75"/>
      <c r="H86" s="75" t="s">
        <v>245</v>
      </c>
      <c r="I86" s="113">
        <f>I80+I83+I85+I84</f>
        <v>230766</v>
      </c>
      <c r="J86" s="113">
        <f t="shared" ref="J86:L86" si="24">J80+J83+J85+J84</f>
        <v>6886</v>
      </c>
      <c r="K86" s="113">
        <f t="shared" ref="K86" si="25">K80+K83+K85+K84</f>
        <v>11185</v>
      </c>
      <c r="L86" s="113">
        <f t="shared" si="24"/>
        <v>248837</v>
      </c>
    </row>
    <row r="87" spans="1:12" ht="20.25" customHeight="1" x14ac:dyDescent="0.25">
      <c r="A87" s="75"/>
      <c r="B87" s="70" t="s">
        <v>1132</v>
      </c>
      <c r="C87" s="103"/>
      <c r="D87" s="103"/>
      <c r="E87" s="109">
        <f>'2. 2016. önkormányzat'!E72</f>
        <v>150000</v>
      </c>
      <c r="F87" s="109">
        <f>'2. 2016. önkormányzat'!F72</f>
        <v>150000</v>
      </c>
      <c r="G87" s="75"/>
      <c r="H87" s="75"/>
      <c r="I87" s="113"/>
      <c r="J87" s="113"/>
      <c r="K87" s="113"/>
      <c r="L87" s="113"/>
    </row>
    <row r="88" spans="1:12" ht="20.25" customHeight="1" x14ac:dyDescent="0.25">
      <c r="A88" s="75"/>
      <c r="B88" s="80" t="s">
        <v>309</v>
      </c>
      <c r="C88" s="113">
        <f>C80+C83+C85+C86+C87</f>
        <v>339922</v>
      </c>
      <c r="D88" s="113">
        <f t="shared" ref="D88:F88" si="26">D80+D83+D85+D86+D87</f>
        <v>26873</v>
      </c>
      <c r="E88" s="113">
        <f t="shared" si="26"/>
        <v>96150</v>
      </c>
      <c r="F88" s="113">
        <f t="shared" si="26"/>
        <v>462945</v>
      </c>
      <c r="G88" s="75"/>
      <c r="H88" s="95"/>
      <c r="I88" s="103"/>
      <c r="J88" s="103"/>
      <c r="K88" s="103"/>
      <c r="L88" s="103"/>
    </row>
    <row r="89" spans="1:12" x14ac:dyDescent="0.25">
      <c r="A89" s="90"/>
      <c r="B89" s="79"/>
      <c r="C89" s="104"/>
      <c r="D89" s="104"/>
      <c r="E89" s="104"/>
      <c r="F89" s="104"/>
      <c r="G89" s="90"/>
      <c r="H89" s="90"/>
      <c r="I89" s="104"/>
      <c r="J89" s="104"/>
      <c r="K89" s="104"/>
      <c r="L89" s="104"/>
    </row>
    <row r="90" spans="1:12" ht="20.25" customHeight="1" x14ac:dyDescent="0.25">
      <c r="A90" s="75"/>
      <c r="B90" s="94" t="s">
        <v>300</v>
      </c>
      <c r="C90" s="103"/>
      <c r="D90" s="103"/>
      <c r="E90" s="103"/>
      <c r="F90" s="103"/>
      <c r="G90" s="75"/>
      <c r="H90" s="94" t="s">
        <v>231</v>
      </c>
      <c r="I90" s="103">
        <f>'2. 2016. önkormányzat'!I75</f>
        <v>0</v>
      </c>
      <c r="J90" s="103">
        <f>'2. 2016. önkormányzat'!J75</f>
        <v>0</v>
      </c>
      <c r="K90" s="103">
        <f>'2. 2016. önkormányzat'!K75</f>
        <v>0</v>
      </c>
      <c r="L90" s="103">
        <f>'2. 2016. önkormányzat'!L75</f>
        <v>0</v>
      </c>
    </row>
    <row r="91" spans="1:12" ht="20.25" customHeight="1" x14ac:dyDescent="0.25">
      <c r="A91" s="75"/>
      <c r="B91" s="94" t="s">
        <v>301</v>
      </c>
      <c r="C91" s="103"/>
      <c r="D91" s="103"/>
      <c r="E91" s="103"/>
      <c r="F91" s="103"/>
      <c r="G91" s="75"/>
      <c r="H91" s="94" t="s">
        <v>232</v>
      </c>
      <c r="I91" s="103">
        <f>'2. 2016. önkormányzat'!I76</f>
        <v>0</v>
      </c>
      <c r="J91" s="103">
        <f>'2. 2016. önkormányzat'!J76</f>
        <v>0</v>
      </c>
      <c r="K91" s="103">
        <f>'2. 2016. önkormányzat'!K76</f>
        <v>0</v>
      </c>
      <c r="L91" s="103">
        <f>'2. 2016. önkormányzat'!L76</f>
        <v>0</v>
      </c>
    </row>
    <row r="92" spans="1:12" ht="20.25" customHeight="1" x14ac:dyDescent="0.25">
      <c r="A92" s="75"/>
      <c r="B92" s="94" t="s">
        <v>302</v>
      </c>
      <c r="C92" s="103"/>
      <c r="D92" s="103"/>
      <c r="E92" s="103"/>
      <c r="F92" s="103"/>
      <c r="G92" s="75"/>
      <c r="H92" s="94" t="s">
        <v>233</v>
      </c>
      <c r="I92" s="103">
        <f>'2. 2016. önkormányzat'!I77</f>
        <v>0</v>
      </c>
      <c r="J92" s="103">
        <f>'2. 2016. önkormányzat'!J77</f>
        <v>0</v>
      </c>
      <c r="K92" s="103">
        <f>'2. 2016. önkormányzat'!K77</f>
        <v>0</v>
      </c>
      <c r="L92" s="103">
        <f>'2. 2016. önkormányzat'!L77</f>
        <v>0</v>
      </c>
    </row>
    <row r="93" spans="1:12" ht="20.25" customHeight="1" x14ac:dyDescent="0.25">
      <c r="A93" s="75"/>
      <c r="B93" s="95" t="s">
        <v>303</v>
      </c>
      <c r="C93" s="103">
        <f>C90+C91+C92</f>
        <v>0</v>
      </c>
      <c r="D93" s="103">
        <f>D90+D91+D92</f>
        <v>0</v>
      </c>
      <c r="E93" s="103">
        <f>E90+E91+E92</f>
        <v>0</v>
      </c>
      <c r="F93" s="103">
        <f>F90+F91+F92</f>
        <v>0</v>
      </c>
      <c r="G93" s="75"/>
      <c r="H93" s="95" t="s">
        <v>243</v>
      </c>
      <c r="I93" s="103">
        <f>I90+I91+I92</f>
        <v>0</v>
      </c>
      <c r="J93" s="103">
        <f t="shared" ref="J93:L93" si="27">J90+J91+J92</f>
        <v>0</v>
      </c>
      <c r="K93" s="103">
        <f t="shared" ref="K93" si="28">K90+K91+K92</f>
        <v>0</v>
      </c>
      <c r="L93" s="103">
        <f t="shared" si="27"/>
        <v>0</v>
      </c>
    </row>
    <row r="94" spans="1:12" ht="20.25" customHeight="1" x14ac:dyDescent="0.25">
      <c r="A94" s="75"/>
      <c r="B94" s="69" t="s">
        <v>304</v>
      </c>
      <c r="C94" s="103"/>
      <c r="D94" s="103"/>
      <c r="E94" s="103"/>
      <c r="F94" s="103"/>
      <c r="G94" s="75"/>
      <c r="H94" s="94" t="s">
        <v>235</v>
      </c>
      <c r="I94" s="103">
        <f>'2. 2016. önkormányzat'!I79</f>
        <v>0</v>
      </c>
      <c r="J94" s="103">
        <f>'2. 2016. önkormányzat'!J79</f>
        <v>0</v>
      </c>
      <c r="K94" s="103">
        <f>'2. 2016. önkormányzat'!K79</f>
        <v>0</v>
      </c>
      <c r="L94" s="103">
        <f>'2. 2016. önkormányzat'!L79</f>
        <v>0</v>
      </c>
    </row>
    <row r="95" spans="1:12" ht="20.25" customHeight="1" x14ac:dyDescent="0.25">
      <c r="A95" s="75"/>
      <c r="B95" s="69" t="s">
        <v>305</v>
      </c>
      <c r="C95" s="103"/>
      <c r="D95" s="103"/>
      <c r="E95" s="103"/>
      <c r="F95" s="103"/>
      <c r="G95" s="75"/>
      <c r="H95" s="94" t="s">
        <v>234</v>
      </c>
      <c r="I95" s="103">
        <f>'2. 2016. önkormányzat'!I80</f>
        <v>0</v>
      </c>
      <c r="J95" s="103">
        <f>'2. 2016. önkormányzat'!J80</f>
        <v>0</v>
      </c>
      <c r="K95" s="103">
        <f>'2. 2016. önkormányzat'!K80</f>
        <v>0</v>
      </c>
      <c r="L95" s="103">
        <f>'2. 2016. önkormányzat'!L80</f>
        <v>0</v>
      </c>
    </row>
    <row r="96" spans="1:12" ht="20.25" customHeight="1" x14ac:dyDescent="0.25">
      <c r="A96" s="75"/>
      <c r="B96" s="70" t="s">
        <v>306</v>
      </c>
      <c r="C96" s="103">
        <f>C94+C95</f>
        <v>0</v>
      </c>
      <c r="D96" s="103">
        <f>D94+D95</f>
        <v>0</v>
      </c>
      <c r="E96" s="103">
        <f>E94+E95</f>
        <v>0</v>
      </c>
      <c r="F96" s="103">
        <f>F94+F95</f>
        <v>0</v>
      </c>
      <c r="G96" s="75"/>
      <c r="H96" s="95" t="s">
        <v>244</v>
      </c>
      <c r="I96" s="103">
        <f>I94+I95</f>
        <v>0</v>
      </c>
      <c r="J96" s="103">
        <f t="shared" ref="J96:L96" si="29">J94+J95</f>
        <v>0</v>
      </c>
      <c r="K96" s="103">
        <f t="shared" ref="K96" si="30">K94+K95</f>
        <v>0</v>
      </c>
      <c r="L96" s="103">
        <f t="shared" si="29"/>
        <v>0</v>
      </c>
    </row>
    <row r="97" spans="1:16" ht="20.25" customHeight="1" x14ac:dyDescent="0.25">
      <c r="A97" s="75"/>
      <c r="B97" s="70" t="s">
        <v>311</v>
      </c>
      <c r="C97" s="109">
        <f>'2. 2016. önkormányzat'!C82+'3. 2016. hivatal'!C93+'4. 2016. műv.ház'!C93+'5. 2016. forrás'!C93+'6. 2016. szociális'!C93</f>
        <v>53070.51</v>
      </c>
      <c r="D97" s="109">
        <f>'2. 2016. önkormányzat'!D82+'3. 2016. hivatal'!D93+'4. 2016. műv.ház'!D93+'5. 2016. forrás'!D93+'6. 2016. szociális'!D93</f>
        <v>0</v>
      </c>
      <c r="E97" s="109">
        <f>'2. 2016. önkormányzat'!E82+'3. 2016. hivatal'!E93+'4. 2016. műv.ház'!E93+'5. 2016. forrás'!E93+'6. 2016. szociális'!E93</f>
        <v>-53071</v>
      </c>
      <c r="F97" s="109">
        <f>'2. 2016. önkormányzat'!F82+'3. 2016. hivatal'!F93+'4. 2016. műv.ház'!F93+'5. 2016. forrás'!F93+'6. 2016. szociális'!F93</f>
        <v>-0.48999999999796273</v>
      </c>
      <c r="G97" s="75"/>
      <c r="H97" s="95" t="s">
        <v>236</v>
      </c>
      <c r="I97" s="103">
        <f>'2. 2016. önkormányzat'!I82</f>
        <v>9774</v>
      </c>
      <c r="J97" s="103">
        <f>'2. 2016. önkormányzat'!J82</f>
        <v>0</v>
      </c>
      <c r="K97" s="103">
        <f>'2. 2016. önkormányzat'!K82</f>
        <v>0</v>
      </c>
      <c r="L97" s="103">
        <f>'2. 2016. önkormányzat'!L82</f>
        <v>9774</v>
      </c>
    </row>
    <row r="98" spans="1:16" ht="20.25" customHeight="1" x14ac:dyDescent="0.25">
      <c r="A98" s="75"/>
      <c r="B98" s="70" t="s">
        <v>308</v>
      </c>
      <c r="C98" s="103">
        <f>'2. 2016. önkormányzat'!C83+'3. 2016. hivatal'!C94+'4. 2016. műv.ház'!C94+'5. 2016. forrás'!C94+'6. 2016. szociális'!C94</f>
        <v>9774</v>
      </c>
      <c r="D98" s="103">
        <f>'2. 2016. önkormányzat'!D83+'3. 2016. hivatal'!D94+'4. 2016. műv.ház'!D94+'5. 2016. forrás'!D94+'6. 2016. szociális'!D94</f>
        <v>0</v>
      </c>
      <c r="E98" s="103">
        <f>'2. 2016. önkormányzat'!E83+'3. 2016. hivatal'!E94+'4. 2016. műv.ház'!E94+'5. 2016. forrás'!E94+'6. 2016. szociális'!E94</f>
        <v>0</v>
      </c>
      <c r="F98" s="103">
        <f>'2. 2016. önkormányzat'!F83+'3. 2016. hivatal'!F94+'4. 2016. műv.ház'!F94+'5. 2016. forrás'!F94+'6. 2016. szociális'!F94</f>
        <v>9774</v>
      </c>
      <c r="G98" s="75"/>
      <c r="H98" s="75" t="s">
        <v>246</v>
      </c>
      <c r="I98" s="113">
        <f>I93+I96+I97</f>
        <v>9774</v>
      </c>
      <c r="J98" s="113">
        <f t="shared" ref="J98:L98" si="31">J93+J96+J97</f>
        <v>0</v>
      </c>
      <c r="K98" s="113">
        <f t="shared" ref="K98" si="32">K93+K96+K97</f>
        <v>0</v>
      </c>
      <c r="L98" s="113">
        <f t="shared" si="31"/>
        <v>9774</v>
      </c>
    </row>
    <row r="99" spans="1:16" ht="20.25" customHeight="1" x14ac:dyDescent="0.25">
      <c r="A99" s="110"/>
      <c r="B99" s="80" t="s">
        <v>310</v>
      </c>
      <c r="C99" s="113">
        <f>C93+C96+C97+C98</f>
        <v>62844.51</v>
      </c>
      <c r="D99" s="113">
        <f>D93+D96+D97+D98</f>
        <v>0</v>
      </c>
      <c r="E99" s="113">
        <f>E93+E96+E97+E98</f>
        <v>-53071</v>
      </c>
      <c r="F99" s="113">
        <f>F93+F96+F97+F98</f>
        <v>9773.510000000002</v>
      </c>
      <c r="G99" s="110"/>
      <c r="H99" s="95"/>
      <c r="I99" s="103"/>
      <c r="J99" s="103"/>
      <c r="K99" s="103"/>
      <c r="L99" s="103"/>
    </row>
    <row r="100" spans="1:16" ht="20.25" customHeight="1" x14ac:dyDescent="0.25">
      <c r="A100" s="75"/>
      <c r="B100" s="87" t="s">
        <v>666</v>
      </c>
      <c r="C100" s="113">
        <f>-(C86+C98)</f>
        <v>-240540</v>
      </c>
      <c r="D100" s="113">
        <f>-(D86+D98)</f>
        <v>-2255</v>
      </c>
      <c r="E100" s="113">
        <f>-(E86+E98)</f>
        <v>-11185</v>
      </c>
      <c r="F100" s="113">
        <f>-(F86+F98)</f>
        <v>-253980</v>
      </c>
      <c r="G100" s="75"/>
      <c r="H100" s="87" t="s">
        <v>666</v>
      </c>
      <c r="I100" s="113">
        <f>-(I85+I97)</f>
        <v>-240540</v>
      </c>
      <c r="J100" s="113">
        <f t="shared" ref="J100" si="33">-(J85+J97)</f>
        <v>-2255</v>
      </c>
      <c r="K100" s="113">
        <f>-(K85+K97)</f>
        <v>-11185</v>
      </c>
      <c r="L100" s="113">
        <f>-(L85+L97)</f>
        <v>-253980</v>
      </c>
    </row>
    <row r="101" spans="1:16" ht="20.25" customHeight="1" x14ac:dyDescent="0.25">
      <c r="A101" s="738" t="s">
        <v>143</v>
      </c>
      <c r="B101" s="739"/>
      <c r="C101" s="427">
        <f>C2+C57+C76+C100+1</f>
        <v>738077.17779999995</v>
      </c>
      <c r="D101" s="427">
        <f>D2+D57+D76+D100+1</f>
        <v>36181</v>
      </c>
      <c r="E101" s="427">
        <f>E2+E57+E76+E100</f>
        <v>80874</v>
      </c>
      <c r="F101" s="427">
        <f>F2+F57+F76+F100+1</f>
        <v>855132.17779999995</v>
      </c>
      <c r="G101" s="738" t="s">
        <v>144</v>
      </c>
      <c r="H101" s="739"/>
      <c r="I101" s="427">
        <f>I2+I57+I76+I100+1</f>
        <v>738077.40778521891</v>
      </c>
      <c r="J101" s="427">
        <f t="shared" ref="J101" si="34">J2+J57+J76+J100+1</f>
        <v>36181</v>
      </c>
      <c r="K101" s="427">
        <f>K2+K57+K76+K100</f>
        <v>80873.875196850393</v>
      </c>
      <c r="L101" s="427">
        <f>L2+L57+L76+L100+1</f>
        <v>855132.2829820693</v>
      </c>
    </row>
    <row r="102" spans="1:16" x14ac:dyDescent="0.25">
      <c r="I102" s="117">
        <f>C101-I101</f>
        <v>-0.22998521896079183</v>
      </c>
      <c r="J102" s="117">
        <f>D101-J101</f>
        <v>0</v>
      </c>
      <c r="K102" s="117">
        <f>E101-K101</f>
        <v>0.12480314960703254</v>
      </c>
      <c r="L102" s="117">
        <f t="shared" ref="L102" si="35">F101-L101</f>
        <v>-0.10518206935375929</v>
      </c>
    </row>
    <row r="104" spans="1:16" x14ac:dyDescent="0.25">
      <c r="C104" s="117"/>
      <c r="D104" s="117"/>
      <c r="E104" s="117"/>
      <c r="F104" s="117"/>
      <c r="I104" s="117"/>
      <c r="J104" s="117"/>
      <c r="K104" s="117"/>
      <c r="L104" s="117"/>
    </row>
    <row r="105" spans="1:16" x14ac:dyDescent="0.25">
      <c r="C105" s="117">
        <f>'19. 2016. bölcsőde'!C96+'2. 2016. önkormányzat'!C85+'3. 2016. hivatal'!C96+'4. 2016. műv.ház'!C96+'5. 2016. forrás'!C96+'6. 2016. szociális'!C96+C100</f>
        <v>738077.17779999995</v>
      </c>
      <c r="D105" s="117">
        <f>'19. 2016. bölcsőde'!D96+'2. 2016. önkormányzat'!D85+'3. 2016. hivatal'!D96+'4. 2016. műv.ház'!D96+'5. 2016. forrás'!D96+'6. 2016. szociális'!D96+D100</f>
        <v>36181</v>
      </c>
      <c r="E105" s="117">
        <f>'19. 2016. bölcsőde'!E96+'2. 2016. önkormányzat'!E85+'3. 2016. hivatal'!E96+'4. 2016. műv.ház'!E96+'5. 2016. forrás'!E96+'6. 2016. szociális'!E96+E100</f>
        <v>80874</v>
      </c>
      <c r="F105" s="117">
        <f>'19. 2016. bölcsőde'!F96+'2. 2016. önkormányzat'!F85+'3. 2016. hivatal'!F96+'4. 2016. műv.ház'!F96+'5. 2016. forrás'!F96+'6. 2016. szociális'!F96+F100</f>
        <v>855132.17779999995</v>
      </c>
      <c r="G105" s="117"/>
      <c r="H105" s="117"/>
      <c r="I105" s="117">
        <f>'19. 2016. bölcsőde'!I96+'2. 2016. önkormányzat'!I85+'3. 2016. hivatal'!I96+'4. 2016. műv.ház'!I96+'5. 2016. forrás'!I96+'6. 2016. szociális'!I96+I100</f>
        <v>738076.40778521891</v>
      </c>
      <c r="J105" s="117">
        <f>'19. 2016. bölcsőde'!J96+'2. 2016. önkormányzat'!J85+'3. 2016. hivatal'!J96+'4. 2016. műv.ház'!J96+'5. 2016. forrás'!J96+'6. 2016. szociális'!J96+J100</f>
        <v>36181</v>
      </c>
      <c r="K105" s="117">
        <f>'19. 2016. bölcsőde'!K96+'2. 2016. önkormányzat'!K85+'3. 2016. hivatal'!K96+'4. 2016. műv.ház'!K96+'5. 2016. forrás'!K96+'6. 2016. szociális'!K96+K100</f>
        <v>80874.875196850393</v>
      </c>
      <c r="L105" s="117">
        <f>'19. 2016. bölcsőde'!L96+'2. 2016. önkormányzat'!L85+'3. 2016. hivatal'!L96+'4. 2016. műv.ház'!L96+'5. 2016. forrás'!L96+'6. 2016. szociális'!L96+L100</f>
        <v>855132.2829820693</v>
      </c>
      <c r="M105" s="117"/>
      <c r="N105" s="117"/>
      <c r="O105" s="117"/>
      <c r="P105" s="117"/>
    </row>
    <row r="106" spans="1:16" x14ac:dyDescent="0.25">
      <c r="C106" s="117"/>
      <c r="D106" s="117"/>
      <c r="E106" s="117"/>
      <c r="F106" s="117"/>
      <c r="I106" s="117"/>
      <c r="J106" s="117"/>
      <c r="K106" s="117"/>
      <c r="L106" s="117"/>
    </row>
    <row r="107" spans="1:16" x14ac:dyDescent="0.25">
      <c r="C107" s="117"/>
      <c r="D107" s="117"/>
      <c r="E107" s="117"/>
      <c r="F107" s="117"/>
      <c r="K107" s="117"/>
      <c r="L107" s="429">
        <f>740710+44342+183759+19911+113533+6857+L100</f>
        <v>855132</v>
      </c>
    </row>
  </sheetData>
  <mergeCells count="2">
    <mergeCell ref="A101:B101"/>
    <mergeCell ref="G101:H10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&amp;CTaksony Nagyközség Önkormányzat 2016. évi költségvetés 
2. sz. módosítás&amp;R1.sz. melléklet</oddHeader>
    <oddFooter xml:space="preserve">&amp;LKészült: &amp;D
&amp;R/:Kreisz László://:Dr.Micheller Anita:/       </oddFooter>
  </headerFooter>
  <rowBreaks count="1" manualBreakCount="1">
    <brk id="56" max="9" man="1"/>
  </rowBreaks>
  <colBreaks count="1" manualBreakCount="1">
    <brk id="6" max="99" man="1"/>
  </colBreaks>
  <ignoredErrors>
    <ignoredError sqref="I2 C2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M91"/>
  <sheetViews>
    <sheetView view="pageBreakPreview" zoomScale="70" zoomScaleNormal="70" zoomScaleSheetLayoutView="70" workbookViewId="0">
      <selection activeCell="L45" sqref="L45"/>
    </sheetView>
  </sheetViews>
  <sheetFormatPr defaultRowHeight="15" x14ac:dyDescent="0.25"/>
  <cols>
    <col min="1" max="1" width="6.7109375" style="21" customWidth="1"/>
    <col min="2" max="2" width="71.5703125" style="21" customWidth="1"/>
    <col min="3" max="6" width="20.85546875" style="21" customWidth="1"/>
    <col min="7" max="7" width="6.7109375" style="21" customWidth="1"/>
    <col min="8" max="8" width="71.5703125" style="21" customWidth="1"/>
    <col min="9" max="12" width="20.7109375" style="21" customWidth="1"/>
    <col min="13" max="16384" width="9.140625" style="21"/>
  </cols>
  <sheetData>
    <row r="1" spans="1:13" ht="40.5" customHeight="1" x14ac:dyDescent="0.25">
      <c r="A1" s="76"/>
      <c r="B1" s="77" t="s">
        <v>516</v>
      </c>
      <c r="C1" s="76" t="s">
        <v>1101</v>
      </c>
      <c r="D1" s="76" t="s">
        <v>1106</v>
      </c>
      <c r="E1" s="657" t="s">
        <v>1110</v>
      </c>
      <c r="F1" s="76" t="s">
        <v>1102</v>
      </c>
      <c r="G1" s="76"/>
      <c r="H1" s="77" t="s">
        <v>511</v>
      </c>
      <c r="I1" s="76" t="s">
        <v>1101</v>
      </c>
      <c r="J1" s="76" t="s">
        <v>1106</v>
      </c>
      <c r="K1" s="657" t="s">
        <v>1110</v>
      </c>
      <c r="L1" s="76" t="s">
        <v>1102</v>
      </c>
      <c r="M1" s="442"/>
    </row>
    <row r="2" spans="1:13" ht="20.25" customHeight="1" x14ac:dyDescent="0.25">
      <c r="A2" s="418"/>
      <c r="B2" s="419" t="s">
        <v>180</v>
      </c>
      <c r="C2" s="420">
        <f>C3+C18+C25+C36</f>
        <v>444216</v>
      </c>
      <c r="D2" s="420">
        <f t="shared" ref="D2:F2" si="0">D3+D18+D25+D36</f>
        <v>11563</v>
      </c>
      <c r="E2" s="420">
        <f t="shared" ref="E2" si="1">E3+E18+E25+E36</f>
        <v>54011</v>
      </c>
      <c r="F2" s="420">
        <f t="shared" si="0"/>
        <v>509790</v>
      </c>
      <c r="G2" s="418"/>
      <c r="H2" s="419" t="s">
        <v>196</v>
      </c>
      <c r="I2" s="420">
        <f>I3+I7+I18+I25+I36</f>
        <v>222312.58944881888</v>
      </c>
      <c r="J2" s="420">
        <f>J3+J7+J18+J25+J36</f>
        <v>28695</v>
      </c>
      <c r="K2" s="420">
        <f>K3+K7+K18+K25+K36</f>
        <v>62897</v>
      </c>
      <c r="L2" s="420">
        <f>L3+L7+L18+L25+L36</f>
        <v>313904.58944881888</v>
      </c>
      <c r="M2" s="442"/>
    </row>
    <row r="3" spans="1:13" ht="20.25" customHeight="1" x14ac:dyDescent="0.25">
      <c r="A3" s="421" t="s">
        <v>23</v>
      </c>
      <c r="B3" s="414" t="s">
        <v>312</v>
      </c>
      <c r="C3" s="415">
        <f>C4+C12+C13+C14+C15+C16</f>
        <v>121291</v>
      </c>
      <c r="D3" s="415">
        <f>D4+D12+D13+D14+D15+D16</f>
        <v>11563</v>
      </c>
      <c r="E3" s="415">
        <f>E4+E12+E13+E14+E15+E16</f>
        <v>34524</v>
      </c>
      <c r="F3" s="415">
        <f t="shared" ref="F3" si="2">F4+F12+F13+F14+F15+F16</f>
        <v>167378</v>
      </c>
      <c r="G3" s="421" t="s">
        <v>23</v>
      </c>
      <c r="H3" s="414" t="s">
        <v>213</v>
      </c>
      <c r="I3" s="415">
        <f>SUM(I4:I5)</f>
        <v>17791</v>
      </c>
      <c r="J3" s="415">
        <f t="shared" ref="J3:L3" si="3">SUM(J4:J5)</f>
        <v>8200</v>
      </c>
      <c r="K3" s="415">
        <f t="shared" ref="K3" si="4">SUM(K4:K5)</f>
        <v>0</v>
      </c>
      <c r="L3" s="415">
        <f t="shared" si="3"/>
        <v>25991</v>
      </c>
      <c r="M3" s="442"/>
    </row>
    <row r="4" spans="1:13" ht="20.25" customHeight="1" x14ac:dyDescent="0.25">
      <c r="A4" s="70"/>
      <c r="B4" s="111" t="s">
        <v>247</v>
      </c>
      <c r="C4" s="109">
        <f>SUM(C5:C8)</f>
        <v>115941</v>
      </c>
      <c r="D4" s="109">
        <f>SUM(D5:D9)</f>
        <v>659</v>
      </c>
      <c r="E4" s="109">
        <f>SUM(E5:E9)</f>
        <v>2129</v>
      </c>
      <c r="F4" s="109">
        <f>SUM(F5:F9)</f>
        <v>118729</v>
      </c>
      <c r="G4" s="80"/>
      <c r="H4" s="69" t="s">
        <v>507</v>
      </c>
      <c r="I4" s="97">
        <f>'2.a önkormányzat részletes'!I12</f>
        <v>4993</v>
      </c>
      <c r="J4" s="97">
        <f>'2.a önkormányzat részletes'!J12</f>
        <v>8431</v>
      </c>
      <c r="K4" s="97">
        <f>'2.a önkormányzat részletes'!K12</f>
        <v>0</v>
      </c>
      <c r="L4" s="97">
        <f>'2.a önkormányzat részletes'!L12</f>
        <v>13424</v>
      </c>
    </row>
    <row r="5" spans="1:13" ht="24" customHeight="1" x14ac:dyDescent="0.25">
      <c r="A5" s="80"/>
      <c r="B5" s="84" t="s">
        <v>248</v>
      </c>
      <c r="C5" s="109">
        <f>'2.a önkormányzat részletes'!C5</f>
        <v>82055</v>
      </c>
      <c r="D5" s="109">
        <f>'2.a önkormányzat részletes'!D5</f>
        <v>0</v>
      </c>
      <c r="E5" s="109">
        <f>'2.a önkormányzat részletes'!E5</f>
        <v>0</v>
      </c>
      <c r="F5" s="109">
        <f>'2.a önkormányzat részletes'!F5</f>
        <v>82055</v>
      </c>
      <c r="G5" s="80"/>
      <c r="H5" s="69" t="s">
        <v>508</v>
      </c>
      <c r="I5" s="97">
        <f>'2.a önkormányzat részletes'!I16</f>
        <v>12798</v>
      </c>
      <c r="J5" s="97">
        <f>'2.a önkormányzat részletes'!J16</f>
        <v>-231</v>
      </c>
      <c r="K5" s="97">
        <f>'2.a önkormányzat részletes'!K16</f>
        <v>0</v>
      </c>
      <c r="L5" s="97">
        <f>'2.a önkormányzat részletes'!L16</f>
        <v>12567</v>
      </c>
    </row>
    <row r="6" spans="1:13" ht="24" customHeight="1" x14ac:dyDescent="0.25">
      <c r="A6" s="80"/>
      <c r="B6" s="84" t="s">
        <v>249</v>
      </c>
      <c r="C6" s="109">
        <f>'2.a önkormányzat részletes'!C6</f>
        <v>0</v>
      </c>
      <c r="D6" s="109">
        <f>'2.a önkormányzat részletes'!D6</f>
        <v>0</v>
      </c>
      <c r="E6" s="109">
        <f>'2.a önkormányzat részletes'!E6</f>
        <v>0</v>
      </c>
      <c r="F6" s="109">
        <f>'2.a önkormányzat részletes'!F6</f>
        <v>0</v>
      </c>
      <c r="G6" s="80"/>
      <c r="H6" s="69"/>
      <c r="I6" s="97"/>
      <c r="J6" s="97"/>
      <c r="K6" s="97"/>
      <c r="L6" s="97"/>
    </row>
    <row r="7" spans="1:13" ht="22.5" customHeight="1" x14ac:dyDescent="0.25">
      <c r="A7" s="80"/>
      <c r="B7" s="84" t="s">
        <v>250</v>
      </c>
      <c r="C7" s="109">
        <f>'2.a önkormányzat részletes'!C7</f>
        <v>26705</v>
      </c>
      <c r="D7" s="109">
        <f>'2.a önkormányzat részletes'!D7</f>
        <v>0</v>
      </c>
      <c r="E7" s="109">
        <f>'2.a önkormányzat részletes'!E7</f>
        <v>1500</v>
      </c>
      <c r="F7" s="109">
        <f>'2.a önkormányzat részletes'!F7</f>
        <v>28205</v>
      </c>
      <c r="G7" s="421" t="s">
        <v>45</v>
      </c>
      <c r="H7" s="414" t="s">
        <v>214</v>
      </c>
      <c r="I7" s="415">
        <f>'2.a önkormányzat részletes'!I17</f>
        <v>4502.2800000000007</v>
      </c>
      <c r="J7" s="415">
        <f>'2.a önkormányzat részletes'!J17</f>
        <v>1108</v>
      </c>
      <c r="K7" s="415">
        <f>'2.a önkormányzat részletes'!K17</f>
        <v>0</v>
      </c>
      <c r="L7" s="415">
        <f>'2.a önkormányzat részletes'!L17</f>
        <v>5610.2800000000007</v>
      </c>
    </row>
    <row r="8" spans="1:13" ht="22.5" customHeight="1" x14ac:dyDescent="0.25">
      <c r="A8" s="80"/>
      <c r="B8" s="84" t="s">
        <v>251</v>
      </c>
      <c r="C8" s="109">
        <f>'2.a önkormányzat részletes'!C8</f>
        <v>7181</v>
      </c>
      <c r="D8" s="109">
        <f>'2.a önkormányzat részletes'!D8</f>
        <v>0</v>
      </c>
      <c r="E8" s="109">
        <f>'2.a önkormányzat részletes'!E8</f>
        <v>242</v>
      </c>
      <c r="F8" s="109">
        <f>'2.a önkormányzat részletes'!F8</f>
        <v>7423</v>
      </c>
      <c r="G8" s="80"/>
      <c r="H8" s="69"/>
      <c r="I8" s="97"/>
      <c r="J8" s="97"/>
      <c r="K8" s="97"/>
      <c r="L8" s="97"/>
    </row>
    <row r="9" spans="1:13" ht="24.75" customHeight="1" x14ac:dyDescent="0.25">
      <c r="A9" s="80"/>
      <c r="B9" s="84" t="s">
        <v>252</v>
      </c>
      <c r="C9" s="82" t="s">
        <v>253</v>
      </c>
      <c r="D9" s="82">
        <f>'2.a önkormányzat részletes'!D9</f>
        <v>659</v>
      </c>
      <c r="E9" s="82">
        <f>'2.a önkormányzat részletes'!E9</f>
        <v>387</v>
      </c>
      <c r="F9" s="109">
        <f>'2.a önkormányzat részletes'!F9</f>
        <v>1046</v>
      </c>
      <c r="G9" s="80"/>
      <c r="H9" s="69"/>
      <c r="I9" s="97"/>
      <c r="J9" s="97"/>
      <c r="K9" s="97"/>
      <c r="L9" s="97"/>
    </row>
    <row r="10" spans="1:13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5"/>
      <c r="H10" s="69"/>
      <c r="I10" s="98"/>
      <c r="J10" s="98"/>
      <c r="K10" s="98"/>
      <c r="L10" s="98"/>
    </row>
    <row r="11" spans="1:13" ht="20.25" customHeight="1" x14ac:dyDescent="0.25">
      <c r="A11" s="80"/>
      <c r="B11" s="115"/>
      <c r="C11" s="88"/>
      <c r="D11" s="88"/>
      <c r="E11" s="88"/>
      <c r="F11" s="88"/>
      <c r="G11" s="85"/>
      <c r="H11" s="69"/>
      <c r="I11" s="99"/>
      <c r="J11" s="99"/>
      <c r="K11" s="99"/>
      <c r="L11" s="99"/>
    </row>
    <row r="12" spans="1:13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7"/>
      <c r="J12" s="107"/>
      <c r="K12" s="107"/>
      <c r="L12" s="107"/>
    </row>
    <row r="13" spans="1:13" ht="30" x14ac:dyDescent="0.25">
      <c r="A13" s="70"/>
      <c r="B13" s="84" t="s">
        <v>256</v>
      </c>
      <c r="C13" s="109"/>
      <c r="D13" s="109"/>
      <c r="E13" s="109"/>
      <c r="F13" s="109"/>
      <c r="G13" s="85"/>
      <c r="H13" s="69"/>
      <c r="I13" s="99"/>
      <c r="J13" s="99"/>
      <c r="K13" s="99"/>
      <c r="L13" s="99"/>
    </row>
    <row r="14" spans="1:13" ht="29.25" customHeight="1" x14ac:dyDescent="0.25">
      <c r="A14" s="70"/>
      <c r="B14" s="84" t="s">
        <v>257</v>
      </c>
      <c r="C14" s="109"/>
      <c r="D14" s="109"/>
      <c r="E14" s="109"/>
      <c r="F14" s="109"/>
      <c r="G14" s="85"/>
      <c r="H14" s="69"/>
      <c r="I14" s="99"/>
      <c r="J14" s="99"/>
      <c r="K14" s="99"/>
      <c r="L14" s="99"/>
    </row>
    <row r="15" spans="1:13" ht="29.25" customHeight="1" x14ac:dyDescent="0.25">
      <c r="A15" s="70"/>
      <c r="B15" s="84" t="s">
        <v>258</v>
      </c>
      <c r="C15" s="109"/>
      <c r="D15" s="109"/>
      <c r="E15" s="109"/>
      <c r="F15" s="109"/>
      <c r="G15" s="85"/>
      <c r="H15" s="69"/>
      <c r="I15" s="99"/>
      <c r="J15" s="99"/>
      <c r="K15" s="99"/>
      <c r="L15" s="99"/>
    </row>
    <row r="16" spans="1:13" ht="29.25" customHeight="1" x14ac:dyDescent="0.25">
      <c r="A16" s="70"/>
      <c r="B16" s="84" t="s">
        <v>259</v>
      </c>
      <c r="C16" s="109">
        <f>'2.a önkormányzat részletes'!C16</f>
        <v>5350</v>
      </c>
      <c r="D16" s="109">
        <f>'2.a önkormányzat részletes'!D16</f>
        <v>10904</v>
      </c>
      <c r="E16" s="109">
        <f>'2.a önkormányzat részletes'!E16</f>
        <v>32395</v>
      </c>
      <c r="F16" s="109">
        <f>'2.a önkormányzat részletes'!F16</f>
        <v>48649</v>
      </c>
      <c r="G16" s="85"/>
      <c r="H16" s="88"/>
      <c r="I16" s="107"/>
      <c r="J16" s="107"/>
      <c r="K16" s="107"/>
      <c r="L16" s="107"/>
    </row>
    <row r="17" spans="1:12" ht="18.75" customHeight="1" x14ac:dyDescent="0.25">
      <c r="A17" s="70"/>
      <c r="C17" s="109"/>
      <c r="D17" s="109"/>
      <c r="E17" s="109"/>
      <c r="F17" s="109"/>
      <c r="H17" s="88"/>
      <c r="I17" s="99"/>
      <c r="J17" s="99"/>
      <c r="K17" s="99"/>
      <c r="L17" s="99"/>
    </row>
    <row r="18" spans="1:12" ht="20.25" customHeight="1" x14ac:dyDescent="0.25">
      <c r="A18" s="421" t="s">
        <v>45</v>
      </c>
      <c r="B18" s="414" t="s">
        <v>266</v>
      </c>
      <c r="C18" s="415">
        <f>C19+C20+C24</f>
        <v>309500</v>
      </c>
      <c r="D18" s="415">
        <f t="shared" ref="D18:F18" si="5">D19+D20+D24</f>
        <v>0</v>
      </c>
      <c r="E18" s="415">
        <f t="shared" ref="E18" si="6">E19+E20+E24</f>
        <v>0</v>
      </c>
      <c r="F18" s="415">
        <f t="shared" si="5"/>
        <v>309500</v>
      </c>
      <c r="G18" s="421" t="s">
        <v>56</v>
      </c>
      <c r="H18" s="414" t="s">
        <v>215</v>
      </c>
      <c r="I18" s="415">
        <f>SUM(I19:I23)</f>
        <v>157708.40944881889</v>
      </c>
      <c r="J18" s="415">
        <f t="shared" ref="J18:L18" si="7">SUM(J19:J23)</f>
        <v>-674</v>
      </c>
      <c r="K18" s="415">
        <f t="shared" ref="K18" si="8">SUM(K19:K23)</f>
        <v>14625</v>
      </c>
      <c r="L18" s="415">
        <f t="shared" si="7"/>
        <v>171659.40944881889</v>
      </c>
    </row>
    <row r="19" spans="1:12" ht="20.25" customHeight="1" x14ac:dyDescent="0.25">
      <c r="A19" s="86"/>
      <c r="B19" s="88" t="s">
        <v>267</v>
      </c>
      <c r="C19" s="97">
        <f>'2.a önkormányzat részletes'!C22</f>
        <v>75000</v>
      </c>
      <c r="D19" s="97">
        <f>'2.a önkormányzat részletes'!D22</f>
        <v>0</v>
      </c>
      <c r="E19" s="97">
        <f>'2.a önkormányzat részletes'!E22</f>
        <v>0</v>
      </c>
      <c r="F19" s="97">
        <f>'2.a önkormányzat részletes'!F22</f>
        <v>75000</v>
      </c>
      <c r="G19" s="71"/>
      <c r="H19" s="119" t="s">
        <v>238</v>
      </c>
      <c r="I19" s="107">
        <f>'2.a önkormányzat részletes'!I34</f>
        <v>2840</v>
      </c>
      <c r="J19" s="107">
        <f>'2.a önkormányzat részletes'!J34</f>
        <v>0</v>
      </c>
      <c r="K19" s="107">
        <f>'2.a önkormányzat részletes'!K34</f>
        <v>100</v>
      </c>
      <c r="L19" s="107">
        <f>'2.a önkormányzat részletes'!L34</f>
        <v>2940</v>
      </c>
    </row>
    <row r="20" spans="1:12" ht="20.25" customHeight="1" x14ac:dyDescent="0.25">
      <c r="A20" s="86"/>
      <c r="B20" s="88" t="s">
        <v>268</v>
      </c>
      <c r="C20" s="97">
        <f>C21+C22+C23</f>
        <v>232000</v>
      </c>
      <c r="D20" s="97">
        <f t="shared" ref="D20:F20" si="9">D21+D22+D23</f>
        <v>0</v>
      </c>
      <c r="E20" s="97">
        <f t="shared" ref="E20" si="10">E21+E22+E23</f>
        <v>0</v>
      </c>
      <c r="F20" s="97">
        <f t="shared" si="9"/>
        <v>232000</v>
      </c>
      <c r="G20" s="71"/>
      <c r="H20" s="119" t="s">
        <v>239</v>
      </c>
      <c r="I20" s="107">
        <f>'2.a önkormányzat részletes'!I49</f>
        <v>6105</v>
      </c>
      <c r="J20" s="107">
        <f>'2.a önkormányzat részletes'!J49</f>
        <v>0</v>
      </c>
      <c r="K20" s="107">
        <f>'2.a önkormányzat részletes'!K49</f>
        <v>900</v>
      </c>
      <c r="L20" s="107">
        <f>'2.a önkormányzat részletes'!L49</f>
        <v>7005</v>
      </c>
    </row>
    <row r="21" spans="1:12" ht="20.25" customHeight="1" x14ac:dyDescent="0.25">
      <c r="A21" s="86"/>
      <c r="B21" s="88" t="s">
        <v>517</v>
      </c>
      <c r="C21" s="97">
        <f>'2.a önkormányzat részletes'!C29</f>
        <v>210000</v>
      </c>
      <c r="D21" s="97">
        <f>'2.a önkormányzat részletes'!D29</f>
        <v>0</v>
      </c>
      <c r="E21" s="97">
        <f>'2.a önkormányzat részletes'!E29</f>
        <v>0</v>
      </c>
      <c r="F21" s="97">
        <f>'2.a önkormányzat részletes'!F29</f>
        <v>210000</v>
      </c>
      <c r="G21" s="71"/>
      <c r="H21" s="119" t="s">
        <v>240</v>
      </c>
      <c r="I21" s="107">
        <f>'2.a önkormányzat részletes'!I73</f>
        <v>67696</v>
      </c>
      <c r="J21" s="107">
        <f>'2.a önkormányzat részletes'!J73</f>
        <v>-2</v>
      </c>
      <c r="K21" s="107">
        <f>'2.a önkormányzat részletes'!K73</f>
        <v>9500</v>
      </c>
      <c r="L21" s="107">
        <f>'2.a önkormányzat részletes'!L73</f>
        <v>77194</v>
      </c>
    </row>
    <row r="22" spans="1:12" ht="20.25" customHeight="1" x14ac:dyDescent="0.25">
      <c r="A22" s="86"/>
      <c r="B22" s="88" t="s">
        <v>270</v>
      </c>
      <c r="C22" s="97">
        <f>'2.a önkormányzat részletes'!C32</f>
        <v>20000</v>
      </c>
      <c r="D22" s="97">
        <f>'2.a önkormányzat részletes'!D32</f>
        <v>0</v>
      </c>
      <c r="E22" s="97">
        <f>'2.a önkormányzat részletes'!E32</f>
        <v>0</v>
      </c>
      <c r="F22" s="97">
        <f>'2.a önkormányzat részletes'!F32</f>
        <v>20000</v>
      </c>
      <c r="G22" s="71"/>
      <c r="H22" s="119" t="s">
        <v>241</v>
      </c>
      <c r="I22" s="107">
        <f>'2.a önkormányzat részletes'!I76</f>
        <v>6000</v>
      </c>
      <c r="J22" s="107">
        <f>'2.a önkormányzat részletes'!J76</f>
        <v>0</v>
      </c>
      <c r="K22" s="107">
        <f>'2.a önkormányzat részletes'!K76</f>
        <v>0</v>
      </c>
      <c r="L22" s="107">
        <f>'2.a önkormányzat részletes'!L76</f>
        <v>6000</v>
      </c>
    </row>
    <row r="23" spans="1:12" ht="20.25" customHeight="1" x14ac:dyDescent="0.25">
      <c r="A23" s="86"/>
      <c r="B23" s="88" t="s">
        <v>518</v>
      </c>
      <c r="C23" s="97">
        <f>+'2.a önkormányzat részletes'!C39</f>
        <v>2000</v>
      </c>
      <c r="D23" s="97">
        <f>+'2.a önkormányzat részletes'!D39</f>
        <v>0</v>
      </c>
      <c r="E23" s="97">
        <f>+'2.a önkormányzat részletes'!E39</f>
        <v>0</v>
      </c>
      <c r="F23" s="97">
        <f>+'2.a önkormányzat részletes'!F39</f>
        <v>2000</v>
      </c>
      <c r="G23" s="71"/>
      <c r="H23" s="119" t="s">
        <v>242</v>
      </c>
      <c r="I23" s="107">
        <f>'2.a önkormányzat részletes'!I85</f>
        <v>75067.4094488189</v>
      </c>
      <c r="J23" s="107">
        <f>'2.a önkormányzat részletes'!J85</f>
        <v>-672</v>
      </c>
      <c r="K23" s="107">
        <f>'2.a önkormányzat részletes'!K85</f>
        <v>4125</v>
      </c>
      <c r="L23" s="107">
        <f>'2.a önkormányzat részletes'!L85</f>
        <v>78520.4094488189</v>
      </c>
    </row>
    <row r="24" spans="1:12" ht="20.25" customHeight="1" x14ac:dyDescent="0.25">
      <c r="A24" s="86"/>
      <c r="B24" s="88" t="s">
        <v>272</v>
      </c>
      <c r="C24" s="97">
        <f>'2.a önkormányzat részletes'!C42</f>
        <v>2500</v>
      </c>
      <c r="D24" s="97">
        <f>'2.a önkormányzat részletes'!D42</f>
        <v>0</v>
      </c>
      <c r="E24" s="97">
        <f>'2.a önkormányzat részletes'!E42</f>
        <v>0</v>
      </c>
      <c r="F24" s="97">
        <f>'2.a önkormányzat részletes'!F42</f>
        <v>2500</v>
      </c>
      <c r="G24" s="71"/>
      <c r="H24" s="71"/>
      <c r="I24" s="99"/>
      <c r="J24" s="99"/>
      <c r="K24" s="99"/>
      <c r="L24" s="99"/>
    </row>
    <row r="25" spans="1:12" ht="20.25" customHeight="1" x14ac:dyDescent="0.25">
      <c r="A25" s="421" t="s">
        <v>56</v>
      </c>
      <c r="B25" s="414" t="s">
        <v>273</v>
      </c>
      <c r="C25" s="415">
        <f>SUM(C26:C35)</f>
        <v>13425.000000000002</v>
      </c>
      <c r="D25" s="415">
        <f t="shared" ref="D25:F25" si="11">SUM(D26:D35)</f>
        <v>0</v>
      </c>
      <c r="E25" s="415">
        <f t="shared" ref="E25" si="12">SUM(E26:E35)</f>
        <v>7387</v>
      </c>
      <c r="F25" s="415">
        <f t="shared" si="11"/>
        <v>20812</v>
      </c>
      <c r="G25" s="421" t="s">
        <v>64</v>
      </c>
      <c r="H25" s="414" t="s">
        <v>216</v>
      </c>
      <c r="I25" s="415">
        <f>SUM(I26:I31)</f>
        <v>8185</v>
      </c>
      <c r="J25" s="415">
        <f t="shared" ref="J25:L25" si="13">SUM(J26:J31)</f>
        <v>0</v>
      </c>
      <c r="K25" s="415">
        <f t="shared" ref="K25" si="14">SUM(K26:K31)</f>
        <v>0</v>
      </c>
      <c r="L25" s="415">
        <f t="shared" si="13"/>
        <v>8185</v>
      </c>
    </row>
    <row r="26" spans="1:12" ht="20.25" customHeight="1" x14ac:dyDescent="0.25">
      <c r="A26" s="86"/>
      <c r="B26" s="89" t="s">
        <v>274</v>
      </c>
      <c r="C26" s="103"/>
      <c r="D26" s="103"/>
      <c r="E26" s="103"/>
      <c r="F26" s="103"/>
      <c r="G26" s="71"/>
      <c r="H26" s="71" t="s">
        <v>202</v>
      </c>
      <c r="I26" s="108">
        <f>'2.a önkormányzat részletes'!I87</f>
        <v>4000</v>
      </c>
      <c r="J26" s="108">
        <f>'2.a önkormányzat részletes'!J87</f>
        <v>0</v>
      </c>
      <c r="K26" s="108">
        <f>'2.a önkormányzat részletes'!K87</f>
        <v>-3922</v>
      </c>
      <c r="L26" s="108">
        <f>'2.a önkormányzat részletes'!L87</f>
        <v>78</v>
      </c>
    </row>
    <row r="27" spans="1:12" ht="20.25" customHeight="1" x14ac:dyDescent="0.25">
      <c r="A27" s="86"/>
      <c r="B27" s="89" t="s">
        <v>275</v>
      </c>
      <c r="C27" s="103">
        <f>'2.a önkormányzat részletes'!C60</f>
        <v>8271</v>
      </c>
      <c r="D27" s="103">
        <f>'2.a önkormányzat részletes'!D60</f>
        <v>0</v>
      </c>
      <c r="E27" s="103">
        <f>'2.a önkormányzat részletes'!E60</f>
        <v>0</v>
      </c>
      <c r="F27" s="103">
        <f>'2.a önkormányzat részletes'!F60</f>
        <v>8271</v>
      </c>
      <c r="G27" s="71"/>
      <c r="H27" s="88" t="s">
        <v>203</v>
      </c>
      <c r="I27" s="108">
        <f>'2.a önkormányzat részletes'!I88</f>
        <v>0</v>
      </c>
      <c r="J27" s="108">
        <f>'2.a önkormányzat részletes'!J88</f>
        <v>0</v>
      </c>
      <c r="K27" s="108">
        <f>'2.a önkormányzat részletes'!K88</f>
        <v>0</v>
      </c>
      <c r="L27" s="108">
        <f>'2.a önkormányzat részletes'!L88</f>
        <v>0</v>
      </c>
    </row>
    <row r="28" spans="1:12" ht="20.25" customHeight="1" x14ac:dyDescent="0.25">
      <c r="A28" s="86"/>
      <c r="B28" s="89" t="s">
        <v>276</v>
      </c>
      <c r="C28" s="103">
        <f>'2.a önkormányzat részletes'!C66</f>
        <v>3675.5905511811025</v>
      </c>
      <c r="D28" s="103">
        <f>'2.a önkormányzat részletes'!D66</f>
        <v>0</v>
      </c>
      <c r="E28" s="103">
        <f>'2.a önkormányzat részletes'!E66</f>
        <v>0</v>
      </c>
      <c r="F28" s="103">
        <f>'2.a önkormányzat részletes'!F66</f>
        <v>3675.5905511811025</v>
      </c>
      <c r="G28" s="71"/>
      <c r="H28" s="71" t="s">
        <v>204</v>
      </c>
      <c r="I28" s="108">
        <f>'2.a önkormányzat részletes'!I89</f>
        <v>0</v>
      </c>
      <c r="J28" s="108">
        <f>'2.a önkormányzat részletes'!J89</f>
        <v>0</v>
      </c>
      <c r="K28" s="108">
        <f>'2.a önkormányzat részletes'!K89</f>
        <v>0</v>
      </c>
      <c r="L28" s="108">
        <f>'2.a önkormányzat részletes'!L89</f>
        <v>0</v>
      </c>
    </row>
    <row r="29" spans="1:12" ht="20.25" customHeight="1" x14ac:dyDescent="0.25">
      <c r="A29" s="86"/>
      <c r="B29" s="89" t="s">
        <v>277</v>
      </c>
      <c r="C29" s="103">
        <v>0</v>
      </c>
      <c r="D29" s="103">
        <v>0</v>
      </c>
      <c r="E29" s="103">
        <v>0</v>
      </c>
      <c r="F29" s="103">
        <v>0</v>
      </c>
      <c r="G29" s="71"/>
      <c r="H29" s="71" t="s">
        <v>205</v>
      </c>
      <c r="I29" s="108">
        <f>'2.a önkormányzat részletes'!I90</f>
        <v>1500</v>
      </c>
      <c r="J29" s="108">
        <f>'2.a önkormányzat részletes'!J90</f>
        <v>0</v>
      </c>
      <c r="K29" s="108">
        <f>'2.a önkormányzat részletes'!K90</f>
        <v>-1462</v>
      </c>
      <c r="L29" s="108">
        <f>'2.a önkormányzat részletes'!L90</f>
        <v>38</v>
      </c>
    </row>
    <row r="30" spans="1:12" ht="20.25" customHeight="1" x14ac:dyDescent="0.25">
      <c r="A30" s="86"/>
      <c r="B30" s="89" t="s">
        <v>278</v>
      </c>
      <c r="C30" s="103">
        <f>'2.a önkormányzat részletes'!C78</f>
        <v>0</v>
      </c>
      <c r="D30" s="103">
        <f>'2.a önkormányzat részletes'!D78</f>
        <v>0</v>
      </c>
      <c r="E30" s="103">
        <f>'2.a önkormányzat részletes'!E78</f>
        <v>0</v>
      </c>
      <c r="F30" s="103">
        <f>'2.a önkormányzat részletes'!F78</f>
        <v>0</v>
      </c>
      <c r="G30" s="71"/>
      <c r="H30" s="71" t="s">
        <v>206</v>
      </c>
      <c r="I30" s="108">
        <f>'2.a önkormányzat részletes'!I91</f>
        <v>0</v>
      </c>
      <c r="J30" s="108">
        <f>'2.a önkormányzat részletes'!J91</f>
        <v>210</v>
      </c>
      <c r="K30" s="108">
        <f>'2.a önkormányzat részletes'!K91</f>
        <v>210</v>
      </c>
      <c r="L30" s="108">
        <f>'2.a önkormányzat részletes'!L91</f>
        <v>420</v>
      </c>
    </row>
    <row r="31" spans="1:12" ht="20.25" customHeight="1" x14ac:dyDescent="0.25">
      <c r="A31" s="86"/>
      <c r="B31" s="89" t="s">
        <v>279</v>
      </c>
      <c r="C31" s="103">
        <f>'2.a önkormányzat részletes'!C75</f>
        <v>1478.4094488188978</v>
      </c>
      <c r="D31" s="103">
        <f>'2.a önkormányzat részletes'!D75</f>
        <v>0</v>
      </c>
      <c r="E31" s="103">
        <f>'2.a önkormányzat részletes'!E75</f>
        <v>0</v>
      </c>
      <c r="F31" s="103">
        <f>'2.a önkormányzat részletes'!F75</f>
        <v>1478.4094488188978</v>
      </c>
      <c r="G31" s="71"/>
      <c r="H31" s="71" t="s">
        <v>207</v>
      </c>
      <c r="I31" s="108">
        <f>'2.a önkormányzat részletes'!I92</f>
        <v>2685</v>
      </c>
      <c r="J31" s="108">
        <f>'2.a önkormányzat részletes'!J92</f>
        <v>-210</v>
      </c>
      <c r="K31" s="108">
        <f>'2.a önkormányzat részletes'!K92</f>
        <v>5174</v>
      </c>
      <c r="L31" s="108">
        <f>'2.a önkormányzat részletes'!L92</f>
        <v>7649</v>
      </c>
    </row>
    <row r="32" spans="1:12" ht="20.25" customHeight="1" x14ac:dyDescent="0.25">
      <c r="A32" s="86"/>
      <c r="B32" s="89" t="s">
        <v>280</v>
      </c>
      <c r="C32" s="103">
        <f>'2.a önkormányzat részletes'!C88</f>
        <v>0</v>
      </c>
      <c r="D32" s="103">
        <f>'2.a önkormányzat részletes'!D88</f>
        <v>0</v>
      </c>
      <c r="E32" s="103">
        <f>'2.a önkormányzat részletes'!E88</f>
        <v>0</v>
      </c>
      <c r="F32" s="103">
        <f>'2.a önkormányzat részletes'!F88</f>
        <v>0</v>
      </c>
      <c r="G32" s="71"/>
      <c r="H32" s="71"/>
      <c r="I32" s="99"/>
      <c r="J32" s="99"/>
      <c r="K32" s="99"/>
      <c r="L32" s="99"/>
    </row>
    <row r="33" spans="1:12" ht="20.25" customHeight="1" x14ac:dyDescent="0.25">
      <c r="A33" s="86"/>
      <c r="B33" s="89" t="s">
        <v>281</v>
      </c>
      <c r="C33" s="103">
        <f>'2.a önkormányzat részletes'!C89</f>
        <v>0</v>
      </c>
      <c r="D33" s="103">
        <f>'2.a önkormányzat részletes'!D89</f>
        <v>0</v>
      </c>
      <c r="E33" s="103">
        <f>'2.a önkormányzat részletes'!E77</f>
        <v>5736</v>
      </c>
      <c r="F33" s="103">
        <f>'2.a önkormányzat részletes'!F77</f>
        <v>5736</v>
      </c>
      <c r="G33" s="71"/>
      <c r="I33" s="107"/>
      <c r="J33" s="107"/>
      <c r="K33" s="107"/>
      <c r="L33" s="107"/>
    </row>
    <row r="34" spans="1:12" ht="20.25" customHeight="1" x14ac:dyDescent="0.25">
      <c r="A34" s="86"/>
      <c r="B34" s="89" t="s">
        <v>282</v>
      </c>
      <c r="C34" s="103">
        <f>'2.a önkormányzat részletes'!C90</f>
        <v>0</v>
      </c>
      <c r="D34" s="103">
        <f>'2.a önkormányzat részletes'!D90</f>
        <v>0</v>
      </c>
      <c r="E34" s="103">
        <f>'2.a önkormányzat részletes'!E90</f>
        <v>0</v>
      </c>
      <c r="F34" s="103">
        <f>'2.a önkormányzat részletes'!F78</f>
        <v>0</v>
      </c>
      <c r="G34" s="71"/>
      <c r="H34" s="71"/>
      <c r="I34" s="99"/>
      <c r="J34" s="99"/>
      <c r="K34" s="99"/>
      <c r="L34" s="99"/>
    </row>
    <row r="35" spans="1:12" ht="20.25" customHeight="1" x14ac:dyDescent="0.25">
      <c r="A35" s="86"/>
      <c r="B35" s="89" t="s">
        <v>283</v>
      </c>
      <c r="C35" s="103">
        <f>'2.a önkormányzat részletes'!C91</f>
        <v>0</v>
      </c>
      <c r="D35" s="103">
        <f>'2.a önkormányzat részletes'!D91</f>
        <v>0</v>
      </c>
      <c r="E35" s="103">
        <f>'2.a önkormányzat részletes'!E79</f>
        <v>1651</v>
      </c>
      <c r="F35" s="103">
        <f>'2.a önkormányzat részletes'!F79</f>
        <v>1651</v>
      </c>
      <c r="G35" s="71"/>
      <c r="H35" s="71"/>
      <c r="I35" s="99"/>
      <c r="J35" s="99"/>
      <c r="K35" s="99"/>
      <c r="L35" s="99"/>
    </row>
    <row r="36" spans="1:12" ht="20.25" customHeight="1" x14ac:dyDescent="0.25">
      <c r="A36" s="421" t="s">
        <v>64</v>
      </c>
      <c r="B36" s="414" t="s">
        <v>290</v>
      </c>
      <c r="C36" s="415">
        <f>'2.a önkormányzat részletes'!C96</f>
        <v>0</v>
      </c>
      <c r="D36" s="415">
        <f>'2.a önkormányzat részletes'!D96</f>
        <v>0</v>
      </c>
      <c r="E36" s="415">
        <f>'2.a önkormányzat részletes'!E96</f>
        <v>12100</v>
      </c>
      <c r="F36" s="415">
        <f>'2.a önkormányzat részletes'!F96</f>
        <v>12100</v>
      </c>
      <c r="G36" s="421" t="s">
        <v>100</v>
      </c>
      <c r="H36" s="414" t="s">
        <v>237</v>
      </c>
      <c r="I36" s="415">
        <f>SUM(I37:I42)</f>
        <v>34125.9</v>
      </c>
      <c r="J36" s="415">
        <f>SUM(J37:J42)</f>
        <v>20061</v>
      </c>
      <c r="K36" s="415">
        <f>SUM(K37:K42)</f>
        <v>48272</v>
      </c>
      <c r="L36" s="415">
        <f>SUM(L37:L42)</f>
        <v>102458.9</v>
      </c>
    </row>
    <row r="37" spans="1:12" ht="30" x14ac:dyDescent="0.25">
      <c r="A37" s="86"/>
      <c r="B37" s="89" t="s">
        <v>291</v>
      </c>
      <c r="C37" s="103"/>
      <c r="D37" s="103"/>
      <c r="E37" s="103"/>
      <c r="F37" s="103"/>
      <c r="G37" s="71"/>
      <c r="H37" s="71" t="s">
        <v>208</v>
      </c>
      <c r="I37" s="108" t="s">
        <v>253</v>
      </c>
      <c r="J37" s="108">
        <f>'2.a önkormányzat részletes'!J94</f>
        <v>674</v>
      </c>
      <c r="K37" s="108">
        <f>'2.a önkormányzat részletes'!K94</f>
        <v>12100</v>
      </c>
      <c r="L37" s="108">
        <f>'2.a önkormányzat részletes'!L94</f>
        <v>12774</v>
      </c>
    </row>
    <row r="38" spans="1:12" ht="28.5" customHeight="1" x14ac:dyDescent="0.25">
      <c r="A38" s="86"/>
      <c r="B38" s="84" t="s">
        <v>292</v>
      </c>
      <c r="C38" s="103"/>
      <c r="D38" s="103"/>
      <c r="E38" s="103"/>
      <c r="F38" s="103"/>
      <c r="G38" s="71"/>
      <c r="H38" s="71" t="s">
        <v>210</v>
      </c>
      <c r="I38" s="102"/>
      <c r="J38" s="102"/>
      <c r="K38" s="102"/>
      <c r="L38" s="102"/>
    </row>
    <row r="39" spans="1:12" ht="19.5" customHeight="1" x14ac:dyDescent="0.25">
      <c r="A39" s="86"/>
      <c r="B39" s="89" t="s">
        <v>293</v>
      </c>
      <c r="C39" s="103"/>
      <c r="D39" s="103"/>
      <c r="E39" s="103"/>
      <c r="F39" s="103"/>
      <c r="G39" s="71"/>
      <c r="H39" s="71" t="s">
        <v>209</v>
      </c>
      <c r="I39" s="108">
        <f>'2.a önkormányzat részletes'!I96</f>
        <v>21598.9</v>
      </c>
      <c r="J39" s="108">
        <f>'2.a önkormányzat részletes'!J96</f>
        <v>0</v>
      </c>
      <c r="K39" s="108">
        <f>'2.a önkormányzat részletes'!K96</f>
        <v>0</v>
      </c>
      <c r="L39" s="108">
        <f>'2.a önkormányzat részletes'!L96</f>
        <v>21598.9</v>
      </c>
    </row>
    <row r="40" spans="1:12" ht="19.5" customHeight="1" x14ac:dyDescent="0.25">
      <c r="A40" s="86"/>
      <c r="B40" s="84" t="s">
        <v>1121</v>
      </c>
      <c r="C40" s="103"/>
      <c r="D40" s="103"/>
      <c r="E40" s="103">
        <f>'2.a önkormányzat részletes'!E103</f>
        <v>12100</v>
      </c>
      <c r="F40" s="103">
        <f>E40</f>
        <v>12100</v>
      </c>
      <c r="G40" s="71"/>
      <c r="H40" s="71" t="s">
        <v>211</v>
      </c>
      <c r="I40" s="102"/>
      <c r="J40" s="102"/>
      <c r="K40" s="102"/>
      <c r="L40" s="102"/>
    </row>
    <row r="41" spans="1:12" ht="19.5" customHeight="1" x14ac:dyDescent="0.25">
      <c r="A41" s="86"/>
      <c r="B41" s="89"/>
      <c r="C41" s="101"/>
      <c r="D41" s="101"/>
      <c r="E41" s="101"/>
      <c r="F41" s="101"/>
      <c r="G41" s="71"/>
      <c r="H41" s="71" t="s">
        <v>377</v>
      </c>
      <c r="I41" s="108">
        <f>'2.a önkormányzat részletes'!I102</f>
        <v>10336</v>
      </c>
      <c r="J41" s="108">
        <f>'2.a önkormányzat részletes'!J102</f>
        <v>-600</v>
      </c>
      <c r="K41" s="108">
        <f>'2.a önkormányzat részletes'!K102</f>
        <v>29465</v>
      </c>
      <c r="L41" s="108">
        <f>'2.a önkormányzat részletes'!L102</f>
        <v>39201</v>
      </c>
    </row>
    <row r="42" spans="1:12" ht="19.5" customHeight="1" x14ac:dyDescent="0.25">
      <c r="A42" s="86"/>
      <c r="B42" s="89"/>
      <c r="C42" s="101"/>
      <c r="D42" s="101"/>
      <c r="E42" s="101"/>
      <c r="F42" s="101"/>
      <c r="G42" s="71"/>
      <c r="H42" s="71" t="s">
        <v>212</v>
      </c>
      <c r="I42" s="108">
        <f>'2.a önkormányzat részletes'!I108</f>
        <v>2191</v>
      </c>
      <c r="J42" s="108">
        <f>'2.a önkormányzat részletes'!J108</f>
        <v>19987</v>
      </c>
      <c r="K42" s="108">
        <f>'2.a önkormányzat részletes'!K108</f>
        <v>6707</v>
      </c>
      <c r="L42" s="108">
        <f>'2.a önkormányzat részletes'!L108</f>
        <v>28885</v>
      </c>
    </row>
    <row r="43" spans="1:12" ht="20.25" customHeight="1" x14ac:dyDescent="0.25">
      <c r="A43" s="86"/>
      <c r="B43" s="89"/>
      <c r="C43" s="101"/>
      <c r="D43" s="101"/>
      <c r="E43" s="101"/>
      <c r="F43" s="101"/>
      <c r="G43" s="71"/>
      <c r="H43" s="71"/>
      <c r="I43" s="102"/>
      <c r="J43" s="102"/>
      <c r="K43" s="102"/>
      <c r="L43" s="102"/>
    </row>
    <row r="44" spans="1:12" ht="20.25" customHeight="1" x14ac:dyDescent="0.25">
      <c r="A44" s="418"/>
      <c r="B44" s="419" t="s">
        <v>192</v>
      </c>
      <c r="C44" s="420">
        <f>C45+C51+C57</f>
        <v>540</v>
      </c>
      <c r="D44" s="420">
        <f t="shared" ref="D44:F44" si="15">D45+D51+D57</f>
        <v>0</v>
      </c>
      <c r="E44" s="420">
        <f t="shared" ref="E44" si="16">E45+E51+E57</f>
        <v>20000</v>
      </c>
      <c r="F44" s="420">
        <f t="shared" si="15"/>
        <v>20540</v>
      </c>
      <c r="G44" s="418"/>
      <c r="H44" s="419" t="s">
        <v>200</v>
      </c>
      <c r="I44" s="420">
        <f>I45+I53+I58</f>
        <v>143934</v>
      </c>
      <c r="J44" s="420">
        <f t="shared" ref="J44:L44" si="17">J45+J53+J58</f>
        <v>600</v>
      </c>
      <c r="K44" s="420">
        <f t="shared" ref="K44" si="18">K45+K53+K58</f>
        <v>23660</v>
      </c>
      <c r="L44" s="420">
        <f t="shared" si="17"/>
        <v>168194</v>
      </c>
    </row>
    <row r="45" spans="1:12" ht="20.25" customHeight="1" x14ac:dyDescent="0.25">
      <c r="A45" s="421" t="s">
        <v>100</v>
      </c>
      <c r="B45" s="414" t="s">
        <v>260</v>
      </c>
      <c r="C45" s="415">
        <f>SUM(C46:C50)</f>
        <v>0</v>
      </c>
      <c r="D45" s="415">
        <f t="shared" ref="D45:F45" si="19">SUM(D46:D50)</f>
        <v>0</v>
      </c>
      <c r="E45" s="415">
        <f t="shared" ref="E45" si="20">SUM(E46:E50)</f>
        <v>0</v>
      </c>
      <c r="F45" s="415">
        <f t="shared" si="19"/>
        <v>0</v>
      </c>
      <c r="G45" s="421" t="s">
        <v>181</v>
      </c>
      <c r="H45" s="414" t="s">
        <v>217</v>
      </c>
      <c r="I45" s="415">
        <f>SUM(I46:I52)</f>
        <v>87934</v>
      </c>
      <c r="J45" s="415">
        <f t="shared" ref="J45:L45" si="21">SUM(J46:J52)</f>
        <v>0</v>
      </c>
      <c r="K45" s="415">
        <f t="shared" ref="K45" si="22">SUM(K46:K52)</f>
        <v>23660</v>
      </c>
      <c r="L45" s="415">
        <f t="shared" si="21"/>
        <v>111594</v>
      </c>
    </row>
    <row r="46" spans="1:12" ht="20.25" customHeight="1" x14ac:dyDescent="0.25">
      <c r="A46" s="86"/>
      <c r="B46" s="84" t="s">
        <v>261</v>
      </c>
      <c r="C46" s="103"/>
      <c r="D46" s="103"/>
      <c r="E46" s="103"/>
      <c r="F46" s="103"/>
      <c r="G46" s="86"/>
      <c r="H46" s="92" t="s">
        <v>218</v>
      </c>
      <c r="I46" s="97">
        <f>'2.a önkormányzat részletes'!I111</f>
        <v>6850</v>
      </c>
      <c r="J46" s="97">
        <f>'2.a önkormányzat részletes'!J111</f>
        <v>0</v>
      </c>
      <c r="K46" s="97">
        <f>'2.a önkormányzat részletes'!K111</f>
        <v>0</v>
      </c>
      <c r="L46" s="97">
        <f>'2.a önkormányzat részletes'!L111</f>
        <v>6850</v>
      </c>
    </row>
    <row r="47" spans="1:12" ht="29.25" customHeight="1" x14ac:dyDescent="0.25">
      <c r="A47" s="86"/>
      <c r="B47" s="84" t="s">
        <v>262</v>
      </c>
      <c r="C47" s="103"/>
      <c r="D47" s="103"/>
      <c r="E47" s="103"/>
      <c r="F47" s="103"/>
      <c r="G47" s="86"/>
      <c r="H47" s="92" t="s">
        <v>219</v>
      </c>
      <c r="I47" s="97">
        <f>'2.a önkormányzat részletes'!I112</f>
        <v>62650</v>
      </c>
      <c r="J47" s="97">
        <f>'2.a önkormányzat részletes'!J112</f>
        <v>0</v>
      </c>
      <c r="K47" s="97">
        <f>'2.a önkormányzat részletes'!K112</f>
        <v>19290</v>
      </c>
      <c r="L47" s="97">
        <f>'2.a önkormányzat részletes'!L112</f>
        <v>81940</v>
      </c>
    </row>
    <row r="48" spans="1:12" ht="29.25" customHeight="1" x14ac:dyDescent="0.25">
      <c r="A48" s="86"/>
      <c r="B48" s="84" t="s">
        <v>263</v>
      </c>
      <c r="C48" s="103"/>
      <c r="D48" s="103"/>
      <c r="E48" s="103"/>
      <c r="F48" s="103"/>
      <c r="G48" s="71"/>
      <c r="H48" s="71" t="s">
        <v>220</v>
      </c>
      <c r="I48" s="97">
        <f>'2.a önkormányzat részletes'!I118</f>
        <v>0</v>
      </c>
      <c r="J48" s="97">
        <f>'2.a önkormányzat részletes'!J118</f>
        <v>210</v>
      </c>
      <c r="K48" s="97">
        <f>'2.a önkormányzat részletes'!K118</f>
        <v>0</v>
      </c>
      <c r="L48" s="97">
        <f>'2.a önkormányzat részletes'!L118</f>
        <v>210</v>
      </c>
    </row>
    <row r="49" spans="1:12" ht="29.25" customHeight="1" x14ac:dyDescent="0.25">
      <c r="A49" s="86"/>
      <c r="B49" s="84" t="s">
        <v>264</v>
      </c>
      <c r="C49" s="103"/>
      <c r="D49" s="103"/>
      <c r="E49" s="103"/>
      <c r="F49" s="103"/>
      <c r="G49" s="71"/>
      <c r="H49" s="71" t="s">
        <v>221</v>
      </c>
      <c r="I49" s="97">
        <f>'2.a önkormányzat részletes'!I119</f>
        <v>2110</v>
      </c>
      <c r="J49" s="97">
        <f>'2.a önkormányzat részletes'!J119</f>
        <v>-210</v>
      </c>
      <c r="K49" s="97">
        <f>'2.a önkormányzat részletes'!K119</f>
        <v>2000</v>
      </c>
      <c r="L49" s="97">
        <f>'2.a önkormányzat részletes'!L119</f>
        <v>3900</v>
      </c>
    </row>
    <row r="50" spans="1:12" ht="21" customHeight="1" x14ac:dyDescent="0.25">
      <c r="A50" s="86"/>
      <c r="B50" s="84" t="s">
        <v>265</v>
      </c>
      <c r="C50" s="103"/>
      <c r="D50" s="103"/>
      <c r="E50" s="103"/>
      <c r="F50" s="103"/>
      <c r="G50" s="71"/>
      <c r="H50" s="71" t="s">
        <v>222</v>
      </c>
      <c r="I50" s="97">
        <f>'2.a önkormányzat részletes'!I122</f>
        <v>0</v>
      </c>
      <c r="J50" s="97">
        <f>'2.a önkormányzat részletes'!J122</f>
        <v>0</v>
      </c>
      <c r="K50" s="97">
        <f>'2.a önkormányzat részletes'!K122</f>
        <v>0</v>
      </c>
      <c r="L50" s="97">
        <f>'2.a önkormányzat részletes'!L122</f>
        <v>0</v>
      </c>
    </row>
    <row r="51" spans="1:12" ht="20.25" customHeight="1" x14ac:dyDescent="0.25">
      <c r="A51" s="421" t="s">
        <v>181</v>
      </c>
      <c r="B51" s="414" t="s">
        <v>284</v>
      </c>
      <c r="C51" s="415">
        <f>SUM(C52:C56)</f>
        <v>540</v>
      </c>
      <c r="D51" s="415">
        <f t="shared" ref="D51:F51" si="23">SUM(D52:D56)</f>
        <v>0</v>
      </c>
      <c r="E51" s="415">
        <f t="shared" ref="E51" si="24">SUM(E52:E56)</f>
        <v>0</v>
      </c>
      <c r="F51" s="415">
        <f t="shared" si="23"/>
        <v>540</v>
      </c>
      <c r="G51" s="71"/>
      <c r="H51" s="71" t="s">
        <v>223</v>
      </c>
      <c r="I51" s="97">
        <f>'2.a önkormányzat részletes'!I123</f>
        <v>0</v>
      </c>
      <c r="J51" s="97">
        <f>'2.a önkormányzat részletes'!J123</f>
        <v>0</v>
      </c>
      <c r="K51" s="97">
        <f>'2.a önkormányzat részletes'!K123</f>
        <v>0</v>
      </c>
      <c r="L51" s="97">
        <f>'2.a önkormányzat részletes'!L123</f>
        <v>0</v>
      </c>
    </row>
    <row r="52" spans="1:12" ht="20.25" customHeight="1" x14ac:dyDescent="0.25">
      <c r="A52" s="86"/>
      <c r="B52" s="89" t="s">
        <v>285</v>
      </c>
      <c r="C52" s="103"/>
      <c r="D52" s="103"/>
      <c r="E52" s="103"/>
      <c r="F52" s="103"/>
      <c r="G52" s="71"/>
      <c r="H52" s="71" t="s">
        <v>224</v>
      </c>
      <c r="I52" s="97">
        <f>'2.a önkormányzat részletes'!I124</f>
        <v>16324</v>
      </c>
      <c r="J52" s="97">
        <f>'2.a önkormányzat részletes'!J124</f>
        <v>0</v>
      </c>
      <c r="K52" s="97">
        <f>'2.a önkormányzat részletes'!K124</f>
        <v>2370</v>
      </c>
      <c r="L52" s="97">
        <f>'2.a önkormányzat részletes'!L124</f>
        <v>18694</v>
      </c>
    </row>
    <row r="53" spans="1:12" ht="20.25" customHeight="1" x14ac:dyDescent="0.25">
      <c r="A53" s="86"/>
      <c r="B53" s="89" t="s">
        <v>286</v>
      </c>
      <c r="C53" s="103">
        <f>'2.a önkormányzat részletes'!C125</f>
        <v>0</v>
      </c>
      <c r="D53" s="103">
        <f>'2.a önkormányzat részletes'!D125</f>
        <v>0</v>
      </c>
      <c r="E53" s="103">
        <f>'2.a önkormányzat részletes'!E125</f>
        <v>0</v>
      </c>
      <c r="F53" s="103">
        <f>'2.a önkormányzat részletes'!F125</f>
        <v>0</v>
      </c>
      <c r="G53" s="421" t="s">
        <v>191</v>
      </c>
      <c r="H53" s="414" t="s">
        <v>225</v>
      </c>
      <c r="I53" s="415">
        <f>SUM(I54:I57)</f>
        <v>56000</v>
      </c>
      <c r="J53" s="415">
        <f t="shared" ref="J53:L53" si="25">SUM(J54:J57)</f>
        <v>0</v>
      </c>
      <c r="K53" s="415">
        <f t="shared" ref="K53" si="26">SUM(K54:K57)</f>
        <v>0</v>
      </c>
      <c r="L53" s="415">
        <f t="shared" si="25"/>
        <v>56000</v>
      </c>
    </row>
    <row r="54" spans="1:12" ht="20.25" customHeight="1" x14ac:dyDescent="0.25">
      <c r="A54" s="86"/>
      <c r="B54" s="89" t="s">
        <v>287</v>
      </c>
      <c r="C54" s="103"/>
      <c r="D54" s="103"/>
      <c r="E54" s="103"/>
      <c r="F54" s="103"/>
      <c r="G54" s="71"/>
      <c r="H54" s="71" t="s">
        <v>959</v>
      </c>
      <c r="I54" s="100">
        <f>'2.a önkormányzat részletes'!I126</f>
        <v>33400</v>
      </c>
      <c r="J54" s="100">
        <f>'2.a önkormányzat részletes'!J126</f>
        <v>0</v>
      </c>
      <c r="K54" s="100">
        <f>'2.a önkormányzat részletes'!K126</f>
        <v>0</v>
      </c>
      <c r="L54" s="100">
        <f>'2.a önkormányzat részletes'!L126</f>
        <v>33400</v>
      </c>
    </row>
    <row r="55" spans="1:12" ht="20.25" customHeight="1" x14ac:dyDescent="0.25">
      <c r="A55" s="86"/>
      <c r="B55" s="89" t="s">
        <v>288</v>
      </c>
      <c r="C55" s="103">
        <f>'2.a önkormányzat részletes'!C129</f>
        <v>540</v>
      </c>
      <c r="D55" s="103">
        <f>'2.a önkormányzat részletes'!D129</f>
        <v>0</v>
      </c>
      <c r="E55" s="103">
        <f>'2.a önkormányzat részletes'!E129</f>
        <v>0</v>
      </c>
      <c r="F55" s="103">
        <f>'2.a önkormányzat részletes'!F129</f>
        <v>540</v>
      </c>
      <c r="G55" s="71"/>
      <c r="H55" s="71" t="s">
        <v>227</v>
      </c>
      <c r="I55" s="100">
        <f>'2.a önkormányzat részletes'!I129</f>
        <v>0</v>
      </c>
      <c r="J55" s="100">
        <f>'2.a önkormányzat részletes'!J129</f>
        <v>0</v>
      </c>
      <c r="K55" s="100">
        <f>'2.a önkormányzat részletes'!K129</f>
        <v>0</v>
      </c>
      <c r="L55" s="100">
        <f>'2.a önkormányzat részletes'!L129</f>
        <v>0</v>
      </c>
    </row>
    <row r="56" spans="1:12" ht="20.25" customHeight="1" x14ac:dyDescent="0.25">
      <c r="A56" s="86"/>
      <c r="B56" s="89" t="s">
        <v>289</v>
      </c>
      <c r="C56" s="103"/>
      <c r="D56" s="103"/>
      <c r="E56" s="103"/>
      <c r="F56" s="103"/>
      <c r="G56" s="71"/>
      <c r="H56" s="71" t="s">
        <v>228</v>
      </c>
      <c r="I56" s="100">
        <f>'2.a önkormányzat részletes'!I130</f>
        <v>13582</v>
      </c>
      <c r="J56" s="100">
        <f>'2.a önkormányzat részletes'!J130</f>
        <v>0</v>
      </c>
      <c r="K56" s="100">
        <f>'2.a önkormányzat részletes'!K130</f>
        <v>0</v>
      </c>
      <c r="L56" s="100">
        <f>'2.a önkormányzat részletes'!L130</f>
        <v>13582</v>
      </c>
    </row>
    <row r="57" spans="1:12" ht="20.25" customHeight="1" x14ac:dyDescent="0.25">
      <c r="A57" s="421" t="s">
        <v>191</v>
      </c>
      <c r="B57" s="414" t="s">
        <v>294</v>
      </c>
      <c r="C57" s="415">
        <f>C58+C59+C60</f>
        <v>0</v>
      </c>
      <c r="D57" s="415">
        <f t="shared" ref="D57:F57" si="27">D58+D59+D60</f>
        <v>0</v>
      </c>
      <c r="E57" s="415">
        <f t="shared" ref="E57" si="28">E58+E59+E60</f>
        <v>20000</v>
      </c>
      <c r="F57" s="415">
        <f t="shared" si="27"/>
        <v>20000</v>
      </c>
      <c r="G57" s="71"/>
      <c r="H57" s="71" t="s">
        <v>229</v>
      </c>
      <c r="I57" s="100">
        <f>'2.a önkormányzat részletes'!I131</f>
        <v>9018</v>
      </c>
      <c r="J57" s="100">
        <f>'2.a önkormányzat részletes'!J131</f>
        <v>0</v>
      </c>
      <c r="K57" s="100">
        <f>'2.a önkormányzat részletes'!K131</f>
        <v>0</v>
      </c>
      <c r="L57" s="100">
        <f>'2.a önkormányzat részletes'!L131</f>
        <v>9018</v>
      </c>
    </row>
    <row r="58" spans="1:12" ht="29.25" customHeight="1" x14ac:dyDescent="0.25">
      <c r="A58" s="86"/>
      <c r="B58" s="89" t="s">
        <v>295</v>
      </c>
      <c r="C58" s="103"/>
      <c r="D58" s="103"/>
      <c r="E58" s="103"/>
      <c r="F58" s="103"/>
      <c r="G58" s="421" t="s">
        <v>199</v>
      </c>
      <c r="H58" s="414" t="s">
        <v>230</v>
      </c>
      <c r="I58" s="415">
        <f>'2.a önkormányzat részletes'!I132</f>
        <v>0</v>
      </c>
      <c r="J58" s="415">
        <f>'2.a önkormányzat részletes'!J132</f>
        <v>600</v>
      </c>
      <c r="K58" s="415">
        <f>'2.a önkormányzat részletes'!K132</f>
        <v>0</v>
      </c>
      <c r="L58" s="415">
        <f>'2.a önkormányzat részletes'!L132</f>
        <v>600</v>
      </c>
    </row>
    <row r="59" spans="1:12" ht="29.25" customHeight="1" x14ac:dyDescent="0.25">
      <c r="A59" s="86"/>
      <c r="B59" s="84" t="s">
        <v>296</v>
      </c>
      <c r="C59" s="103"/>
      <c r="D59" s="103"/>
      <c r="E59" s="103"/>
      <c r="F59" s="103"/>
      <c r="G59" s="71"/>
      <c r="H59" s="71"/>
      <c r="I59" s="100"/>
      <c r="J59" s="100"/>
      <c r="K59" s="100"/>
      <c r="L59" s="100"/>
    </row>
    <row r="60" spans="1:12" ht="21" customHeight="1" x14ac:dyDescent="0.25">
      <c r="A60" s="86"/>
      <c r="B60" s="89" t="s">
        <v>297</v>
      </c>
      <c r="C60" s="103">
        <f>'2.a önkormányzat részletes'!C134</f>
        <v>0</v>
      </c>
      <c r="D60" s="103">
        <f>'2.a önkormányzat részletes'!D134</f>
        <v>0</v>
      </c>
      <c r="E60" s="103">
        <f>'2.a önkormányzat részletes'!E134</f>
        <v>20000</v>
      </c>
      <c r="F60" s="103">
        <f>'2.a önkormányzat részletes'!F134</f>
        <v>20000</v>
      </c>
      <c r="G60" s="71"/>
      <c r="H60" s="71"/>
      <c r="I60" s="100"/>
      <c r="J60" s="100"/>
      <c r="K60" s="100"/>
      <c r="L60" s="100"/>
    </row>
    <row r="61" spans="1:12" ht="20.25" customHeight="1" x14ac:dyDescent="0.25">
      <c r="A61" s="418"/>
      <c r="B61" s="419" t="s">
        <v>298</v>
      </c>
      <c r="C61" s="420">
        <f>C73+C84</f>
        <v>162030.51</v>
      </c>
      <c r="D61" s="420">
        <f t="shared" ref="D61:F61" si="29">D73+D84</f>
        <v>24618</v>
      </c>
      <c r="E61" s="420">
        <f t="shared" ref="E61" si="30">E73+E84</f>
        <v>23731</v>
      </c>
      <c r="F61" s="420">
        <f t="shared" si="29"/>
        <v>210379.51</v>
      </c>
      <c r="G61" s="418"/>
      <c r="H61" s="419" t="s">
        <v>299</v>
      </c>
      <c r="I61" s="420">
        <f>I71+I83</f>
        <v>240540</v>
      </c>
      <c r="J61" s="420">
        <f>J71+J83</f>
        <v>6886</v>
      </c>
      <c r="K61" s="420">
        <f>K71+K83</f>
        <v>11185</v>
      </c>
      <c r="L61" s="420">
        <f t="shared" ref="L61" si="31">L71+L83</f>
        <v>258611</v>
      </c>
    </row>
    <row r="62" spans="1:12" ht="21" customHeight="1" x14ac:dyDescent="0.25">
      <c r="A62" s="75"/>
      <c r="B62" s="94" t="s">
        <v>300</v>
      </c>
      <c r="C62" s="103"/>
      <c r="D62" s="103"/>
      <c r="E62" s="103"/>
      <c r="F62" s="103"/>
      <c r="G62" s="75"/>
      <c r="H62" s="94" t="s">
        <v>231</v>
      </c>
      <c r="I62" s="103"/>
      <c r="J62" s="103"/>
      <c r="K62" s="103"/>
      <c r="L62" s="103"/>
    </row>
    <row r="63" spans="1:12" ht="20.25" customHeight="1" x14ac:dyDescent="0.25">
      <c r="A63" s="75"/>
      <c r="B63" s="94" t="s">
        <v>301</v>
      </c>
      <c r="C63" s="103"/>
      <c r="D63" s="103"/>
      <c r="E63" s="103"/>
      <c r="F63" s="103"/>
      <c r="G63" s="75"/>
      <c r="H63" s="94" t="s">
        <v>232</v>
      </c>
      <c r="I63" s="103"/>
      <c r="J63" s="103"/>
      <c r="K63" s="103"/>
      <c r="L63" s="103"/>
    </row>
    <row r="64" spans="1:12" ht="20.25" customHeight="1" x14ac:dyDescent="0.25">
      <c r="A64" s="75"/>
      <c r="B64" s="94" t="s">
        <v>302</v>
      </c>
      <c r="C64" s="103"/>
      <c r="D64" s="103"/>
      <c r="E64" s="103"/>
      <c r="F64" s="103"/>
      <c r="G64" s="75"/>
      <c r="H64" s="94" t="s">
        <v>233</v>
      </c>
      <c r="I64" s="103"/>
      <c r="J64" s="103"/>
      <c r="K64" s="103"/>
      <c r="L64" s="103"/>
    </row>
    <row r="65" spans="1:13" ht="20.25" customHeight="1" x14ac:dyDescent="0.25">
      <c r="A65" s="75"/>
      <c r="B65" s="95" t="s">
        <v>303</v>
      </c>
      <c r="C65" s="103">
        <f>C62+C63+C64</f>
        <v>0</v>
      </c>
      <c r="D65" s="103">
        <f t="shared" ref="D65:F65" si="32">D62+D63+D64</f>
        <v>0</v>
      </c>
      <c r="E65" s="103">
        <f t="shared" ref="E65" si="33">E62+E63+E64</f>
        <v>0</v>
      </c>
      <c r="F65" s="103">
        <f t="shared" si="32"/>
        <v>0</v>
      </c>
      <c r="G65" s="75"/>
      <c r="H65" s="95" t="s">
        <v>243</v>
      </c>
      <c r="I65" s="103">
        <f>I62+I63+I64</f>
        <v>0</v>
      </c>
      <c r="J65" s="103">
        <f t="shared" ref="J65:L65" si="34">J62+J63+J64</f>
        <v>0</v>
      </c>
      <c r="K65" s="103">
        <f t="shared" ref="K65" si="35">K62+K63+K64</f>
        <v>0</v>
      </c>
      <c r="L65" s="103">
        <f t="shared" si="34"/>
        <v>0</v>
      </c>
    </row>
    <row r="66" spans="1:13" ht="20.25" customHeight="1" x14ac:dyDescent="0.25">
      <c r="A66" s="75"/>
      <c r="B66" s="69" t="s">
        <v>304</v>
      </c>
      <c r="C66" s="103"/>
      <c r="D66" s="103"/>
      <c r="E66" s="103"/>
      <c r="F66" s="103"/>
      <c r="G66" s="75"/>
      <c r="H66" s="94" t="s">
        <v>235</v>
      </c>
      <c r="I66" s="103"/>
      <c r="J66" s="103"/>
      <c r="K66" s="103"/>
      <c r="L66" s="103"/>
    </row>
    <row r="67" spans="1:13" ht="20.25" customHeight="1" x14ac:dyDescent="0.25">
      <c r="A67" s="75"/>
      <c r="B67" s="69" t="s">
        <v>305</v>
      </c>
      <c r="C67" s="103"/>
      <c r="D67" s="103"/>
      <c r="E67" s="103"/>
      <c r="F67" s="103"/>
      <c r="G67" s="75"/>
      <c r="H67" s="94" t="s">
        <v>234</v>
      </c>
      <c r="I67" s="103"/>
      <c r="J67" s="103"/>
      <c r="K67" s="103"/>
      <c r="L67" s="103"/>
    </row>
    <row r="68" spans="1:13" ht="20.25" customHeight="1" x14ac:dyDescent="0.25">
      <c r="A68" s="75"/>
      <c r="B68" s="70" t="s">
        <v>306</v>
      </c>
      <c r="C68" s="103">
        <f>C66+C67</f>
        <v>0</v>
      </c>
      <c r="D68" s="103">
        <f t="shared" ref="D68:F68" si="36">D66+D67</f>
        <v>0</v>
      </c>
      <c r="E68" s="103">
        <f t="shared" ref="E68" si="37">E66+E67</f>
        <v>0</v>
      </c>
      <c r="F68" s="103">
        <f t="shared" si="36"/>
        <v>0</v>
      </c>
      <c r="G68" s="75"/>
      <c r="H68" s="95" t="s">
        <v>244</v>
      </c>
      <c r="I68" s="103">
        <f>I66+I67</f>
        <v>0</v>
      </c>
      <c r="J68" s="103">
        <f t="shared" ref="J68:L68" si="38">J66+J67</f>
        <v>0</v>
      </c>
      <c r="K68" s="103">
        <f t="shared" ref="K68" si="39">K66+K67</f>
        <v>0</v>
      </c>
      <c r="L68" s="103">
        <f t="shared" si="38"/>
        <v>0</v>
      </c>
    </row>
    <row r="69" spans="1:13" ht="20.25" customHeight="1" x14ac:dyDescent="0.25">
      <c r="A69" s="75"/>
      <c r="B69" s="70"/>
      <c r="C69" s="103"/>
      <c r="D69" s="103"/>
      <c r="E69" s="103"/>
      <c r="F69" s="103"/>
      <c r="G69" s="75"/>
      <c r="H69" s="95" t="s">
        <v>1104</v>
      </c>
      <c r="I69" s="103"/>
      <c r="J69" s="103">
        <f>'2.a önkormányzat részletes'!J143</f>
        <v>4631</v>
      </c>
      <c r="K69" s="103">
        <f>'2.a önkormányzat részletes'!K143</f>
        <v>0</v>
      </c>
      <c r="L69" s="103">
        <f>'2.a önkormányzat részletes'!L143</f>
        <v>4631</v>
      </c>
    </row>
    <row r="70" spans="1:13" ht="20.25" customHeight="1" x14ac:dyDescent="0.25">
      <c r="A70" s="75"/>
      <c r="B70" s="70" t="s">
        <v>307</v>
      </c>
      <c r="C70" s="103">
        <f>'2.a önkormányzat részletes'!C144</f>
        <v>108960</v>
      </c>
      <c r="D70" s="103">
        <f>'2.a önkormányzat részletes'!D144</f>
        <v>24618</v>
      </c>
      <c r="E70" s="103">
        <f>'2.a önkormányzat részletes'!E144</f>
        <v>-73198</v>
      </c>
      <c r="F70" s="103">
        <f>'2.a önkormányzat részletes'!F144</f>
        <v>60380</v>
      </c>
      <c r="G70" s="75"/>
      <c r="H70" s="95" t="s">
        <v>236</v>
      </c>
      <c r="I70" s="103">
        <f>'2.a önkormányzat részletes'!I144</f>
        <v>230766</v>
      </c>
      <c r="J70" s="103">
        <f>'2.a önkormányzat részletes'!J144</f>
        <v>2255</v>
      </c>
      <c r="K70" s="103">
        <f>'2.a önkormányzat részletes'!K144</f>
        <v>11185</v>
      </c>
      <c r="L70" s="103">
        <f>'2.a önkormányzat részletes'!L144</f>
        <v>244206</v>
      </c>
      <c r="M70" s="117">
        <f>I70+J70-L70</f>
        <v>-11185</v>
      </c>
    </row>
    <row r="71" spans="1:13" ht="20.25" customHeight="1" x14ac:dyDescent="0.25">
      <c r="A71" s="75"/>
      <c r="B71" s="70" t="s">
        <v>308</v>
      </c>
      <c r="C71" s="103"/>
      <c r="D71" s="103"/>
      <c r="E71" s="103"/>
      <c r="F71" s="103"/>
      <c r="G71" s="75"/>
      <c r="H71" s="75" t="s">
        <v>245</v>
      </c>
      <c r="I71" s="113">
        <f>I65+I68+I70+I69</f>
        <v>230766</v>
      </c>
      <c r="J71" s="113">
        <f t="shared" ref="J71:L71" si="40">J65+J68+J70+J69</f>
        <v>6886</v>
      </c>
      <c r="K71" s="113">
        <f t="shared" ref="K71" si="41">K65+K68+K70+K69</f>
        <v>11185</v>
      </c>
      <c r="L71" s="113">
        <f t="shared" si="40"/>
        <v>248837</v>
      </c>
    </row>
    <row r="72" spans="1:13" ht="20.25" customHeight="1" x14ac:dyDescent="0.25">
      <c r="A72" s="75"/>
      <c r="B72" s="70" t="s">
        <v>1132</v>
      </c>
      <c r="C72" s="103"/>
      <c r="D72" s="103"/>
      <c r="E72" s="103">
        <f>'2.a önkormányzat részletes'!E146</f>
        <v>150000</v>
      </c>
      <c r="F72" s="103">
        <f>'2.a önkormányzat részletes'!F146</f>
        <v>150000</v>
      </c>
      <c r="G72" s="75"/>
      <c r="H72" s="75"/>
      <c r="I72" s="113"/>
      <c r="J72" s="113"/>
      <c r="K72" s="113"/>
      <c r="L72" s="113"/>
    </row>
    <row r="73" spans="1:13" ht="20.25" customHeight="1" x14ac:dyDescent="0.25">
      <c r="A73" s="75"/>
      <c r="B73" s="80" t="s">
        <v>309</v>
      </c>
      <c r="C73" s="113">
        <f>C65+C68+C70+C71+C72</f>
        <v>108960</v>
      </c>
      <c r="D73" s="113">
        <f t="shared" ref="D73:F73" si="42">D65+D68+D70+D71+D72</f>
        <v>24618</v>
      </c>
      <c r="E73" s="113">
        <f t="shared" si="42"/>
        <v>76802</v>
      </c>
      <c r="F73" s="113">
        <f t="shared" si="42"/>
        <v>210380</v>
      </c>
      <c r="G73" s="75"/>
      <c r="H73" s="95"/>
      <c r="I73" s="103"/>
      <c r="J73" s="103"/>
      <c r="K73" s="103"/>
      <c r="L73" s="103"/>
    </row>
    <row r="74" spans="1:13" ht="20.25" customHeight="1" x14ac:dyDescent="0.25">
      <c r="A74" s="90"/>
      <c r="B74" s="79"/>
      <c r="C74" s="104"/>
      <c r="D74" s="104"/>
      <c r="E74" s="104"/>
      <c r="F74" s="104"/>
      <c r="G74" s="90"/>
      <c r="H74" s="90"/>
      <c r="I74" s="104"/>
      <c r="J74" s="104"/>
      <c r="K74" s="104"/>
      <c r="L74" s="104"/>
    </row>
    <row r="75" spans="1:13" ht="20.25" customHeight="1" x14ac:dyDescent="0.25">
      <c r="A75" s="75"/>
      <c r="B75" s="94" t="s">
        <v>300</v>
      </c>
      <c r="C75" s="103"/>
      <c r="D75" s="103"/>
      <c r="E75" s="103"/>
      <c r="F75" s="103"/>
      <c r="G75" s="75"/>
      <c r="H75" s="94" t="s">
        <v>231</v>
      </c>
      <c r="I75" s="103">
        <f>'2.a önkormányzat részletes'!I149</f>
        <v>0</v>
      </c>
      <c r="J75" s="103">
        <f>'2.a önkormányzat részletes'!J149</f>
        <v>0</v>
      </c>
      <c r="K75" s="103">
        <f>'2.a önkormányzat részletes'!K149</f>
        <v>0</v>
      </c>
      <c r="L75" s="103">
        <f>'2.a önkormányzat részletes'!L149</f>
        <v>0</v>
      </c>
    </row>
    <row r="76" spans="1:13" ht="20.25" customHeight="1" x14ac:dyDescent="0.25">
      <c r="A76" s="75"/>
      <c r="B76" s="94" t="s">
        <v>301</v>
      </c>
      <c r="C76" s="103"/>
      <c r="D76" s="103"/>
      <c r="E76" s="103"/>
      <c r="F76" s="103"/>
      <c r="G76" s="75"/>
      <c r="H76" s="94" t="s">
        <v>232</v>
      </c>
      <c r="I76" s="103"/>
      <c r="J76" s="103"/>
      <c r="K76" s="103"/>
      <c r="L76" s="103"/>
    </row>
    <row r="77" spans="1:13" ht="20.25" customHeight="1" x14ac:dyDescent="0.25">
      <c r="A77" s="75"/>
      <c r="B77" s="94" t="s">
        <v>302</v>
      </c>
      <c r="C77" s="103"/>
      <c r="D77" s="103"/>
      <c r="E77" s="103"/>
      <c r="F77" s="103"/>
      <c r="G77" s="75"/>
      <c r="H77" s="94" t="s">
        <v>233</v>
      </c>
      <c r="I77" s="103"/>
      <c r="J77" s="103"/>
      <c r="K77" s="103"/>
      <c r="L77" s="103"/>
    </row>
    <row r="78" spans="1:13" ht="20.25" customHeight="1" x14ac:dyDescent="0.25">
      <c r="A78" s="75"/>
      <c r="B78" s="95" t="s">
        <v>303</v>
      </c>
      <c r="C78" s="103">
        <f>C75+C76+C77</f>
        <v>0</v>
      </c>
      <c r="D78" s="103">
        <f t="shared" ref="D78:F78" si="43">D75+D76+D77</f>
        <v>0</v>
      </c>
      <c r="E78" s="103">
        <f t="shared" ref="E78" si="44">E75+E76+E77</f>
        <v>0</v>
      </c>
      <c r="F78" s="103">
        <f t="shared" si="43"/>
        <v>0</v>
      </c>
      <c r="G78" s="75"/>
      <c r="H78" s="95" t="s">
        <v>243</v>
      </c>
      <c r="I78" s="103">
        <f>I75+I76+I77</f>
        <v>0</v>
      </c>
      <c r="J78" s="103">
        <f t="shared" ref="J78:L78" si="45">J75+J76+J77</f>
        <v>0</v>
      </c>
      <c r="K78" s="103">
        <f t="shared" ref="K78" si="46">K75+K76+K77</f>
        <v>0</v>
      </c>
      <c r="L78" s="103">
        <f t="shared" si="45"/>
        <v>0</v>
      </c>
    </row>
    <row r="79" spans="1:13" ht="20.25" customHeight="1" x14ac:dyDescent="0.25">
      <c r="A79" s="75"/>
      <c r="B79" s="69" t="s">
        <v>304</v>
      </c>
      <c r="C79" s="103"/>
      <c r="D79" s="103"/>
      <c r="E79" s="103"/>
      <c r="F79" s="103"/>
      <c r="G79" s="75"/>
      <c r="H79" s="94" t="s">
        <v>235</v>
      </c>
      <c r="I79" s="103"/>
      <c r="J79" s="103"/>
      <c r="K79" s="103"/>
      <c r="L79" s="103"/>
    </row>
    <row r="80" spans="1:13" ht="20.25" customHeight="1" x14ac:dyDescent="0.25">
      <c r="A80" s="75"/>
      <c r="B80" s="69" t="s">
        <v>305</v>
      </c>
      <c r="C80" s="103"/>
      <c r="D80" s="103"/>
      <c r="E80" s="103"/>
      <c r="F80" s="103"/>
      <c r="G80" s="75"/>
      <c r="H80" s="94" t="s">
        <v>234</v>
      </c>
      <c r="I80" s="103"/>
      <c r="J80" s="103"/>
      <c r="K80" s="103"/>
      <c r="L80" s="103"/>
    </row>
    <row r="81" spans="1:12" ht="20.25" customHeight="1" x14ac:dyDescent="0.25">
      <c r="A81" s="75"/>
      <c r="B81" s="70" t="s">
        <v>306</v>
      </c>
      <c r="C81" s="103">
        <f>C79+C80</f>
        <v>0</v>
      </c>
      <c r="D81" s="103">
        <f t="shared" ref="D81:F81" si="47">D79+D80</f>
        <v>0</v>
      </c>
      <c r="E81" s="103">
        <f t="shared" ref="E81" si="48">E79+E80</f>
        <v>0</v>
      </c>
      <c r="F81" s="103">
        <f t="shared" si="47"/>
        <v>0</v>
      </c>
      <c r="G81" s="75"/>
      <c r="H81" s="95" t="s">
        <v>244</v>
      </c>
      <c r="I81" s="103">
        <f>I79+I80</f>
        <v>0</v>
      </c>
      <c r="J81" s="103">
        <f t="shared" ref="J81:L81" si="49">J79+J80</f>
        <v>0</v>
      </c>
      <c r="K81" s="103">
        <f t="shared" ref="K81" si="50">K79+K80</f>
        <v>0</v>
      </c>
      <c r="L81" s="103">
        <f t="shared" si="49"/>
        <v>0</v>
      </c>
    </row>
    <row r="82" spans="1:12" ht="20.25" customHeight="1" x14ac:dyDescent="0.25">
      <c r="A82" s="75"/>
      <c r="B82" s="70" t="s">
        <v>311</v>
      </c>
      <c r="C82" s="103">
        <f>'2.a önkormányzat részletes'!C156</f>
        <v>53070.51</v>
      </c>
      <c r="D82" s="103">
        <f>'2.a önkormányzat részletes'!D156</f>
        <v>0</v>
      </c>
      <c r="E82" s="103">
        <f>'2.a önkormányzat részletes'!E156</f>
        <v>-53071</v>
      </c>
      <c r="F82" s="103">
        <f>'2.a önkormányzat részletes'!F156</f>
        <v>-0.48999999999796273</v>
      </c>
      <c r="G82" s="75"/>
      <c r="H82" s="95" t="s">
        <v>236</v>
      </c>
      <c r="I82" s="103">
        <f>'2.a önkormányzat részletes'!I156</f>
        <v>9774</v>
      </c>
      <c r="J82" s="103">
        <f>'2.a önkormányzat részletes'!J156</f>
        <v>0</v>
      </c>
      <c r="K82" s="103">
        <f>'2.a önkormányzat részletes'!K156</f>
        <v>0</v>
      </c>
      <c r="L82" s="103">
        <f>'2.a önkormányzat részletes'!L156</f>
        <v>9774</v>
      </c>
    </row>
    <row r="83" spans="1:12" ht="20.25" customHeight="1" x14ac:dyDescent="0.25">
      <c r="A83" s="75"/>
      <c r="B83" s="70" t="s">
        <v>308</v>
      </c>
      <c r="C83" s="103">
        <f>'2.a önkormányzat részletes'!C157</f>
        <v>0</v>
      </c>
      <c r="D83" s="103">
        <f>'2.a önkormányzat részletes'!D157</f>
        <v>0</v>
      </c>
      <c r="E83" s="103">
        <f>'2.a önkormányzat részletes'!E157</f>
        <v>0</v>
      </c>
      <c r="F83" s="103">
        <f>'2.a önkormányzat részletes'!F157</f>
        <v>0</v>
      </c>
      <c r="G83" s="75"/>
      <c r="H83" s="75" t="s">
        <v>246</v>
      </c>
      <c r="I83" s="113">
        <f>I78+I81+I82</f>
        <v>9774</v>
      </c>
      <c r="J83" s="113">
        <f t="shared" ref="J83:L83" si="51">J78+J81+J82</f>
        <v>0</v>
      </c>
      <c r="K83" s="113">
        <f t="shared" ref="K83" si="52">K78+K81+K82</f>
        <v>0</v>
      </c>
      <c r="L83" s="113">
        <f t="shared" si="51"/>
        <v>9774</v>
      </c>
    </row>
    <row r="84" spans="1:12" ht="20.25" customHeight="1" x14ac:dyDescent="0.25">
      <c r="A84" s="110"/>
      <c r="B84" s="80" t="s">
        <v>310</v>
      </c>
      <c r="C84" s="113">
        <f>C78+C81+C82+C83</f>
        <v>53070.51</v>
      </c>
      <c r="D84" s="113">
        <f t="shared" ref="D84:F84" si="53">D78+D81+D82+D83</f>
        <v>0</v>
      </c>
      <c r="E84" s="113">
        <f t="shared" ref="E84" si="54">E78+E81+E82+E83</f>
        <v>-53071</v>
      </c>
      <c r="F84" s="113">
        <f t="shared" si="53"/>
        <v>-0.48999999999796273</v>
      </c>
      <c r="G84" s="110"/>
      <c r="H84" s="95"/>
      <c r="I84" s="103"/>
      <c r="J84" s="103"/>
      <c r="K84" s="103"/>
      <c r="L84" s="103"/>
    </row>
    <row r="85" spans="1:12" ht="20.25" customHeight="1" x14ac:dyDescent="0.25">
      <c r="A85" s="738" t="s">
        <v>143</v>
      </c>
      <c r="B85" s="739"/>
      <c r="C85" s="427">
        <f>C2+C44+C61</f>
        <v>606786.51</v>
      </c>
      <c r="D85" s="427">
        <f t="shared" ref="D85:F85" si="55">D2+D44+D61</f>
        <v>36181</v>
      </c>
      <c r="E85" s="427">
        <f t="shared" ref="E85" si="56">E2+E44+E61</f>
        <v>97742</v>
      </c>
      <c r="F85" s="427">
        <f t="shared" si="55"/>
        <v>740709.51</v>
      </c>
      <c r="G85" s="738" t="s">
        <v>144</v>
      </c>
      <c r="H85" s="739"/>
      <c r="I85" s="427">
        <f>I2+I44+I61</f>
        <v>606786.58944881894</v>
      </c>
      <c r="J85" s="427">
        <f>J2+J44+J61</f>
        <v>36181</v>
      </c>
      <c r="K85" s="427">
        <f>K2+K44+K61</f>
        <v>97742</v>
      </c>
      <c r="L85" s="427">
        <f>L2+L44+L61</f>
        <v>740709.58944881894</v>
      </c>
    </row>
    <row r="87" spans="1:12" x14ac:dyDescent="0.25">
      <c r="I87" s="117">
        <f>C85-I85</f>
        <v>-7.9448818927630782E-2</v>
      </c>
      <c r="J87" s="117">
        <f>D85-J85</f>
        <v>0</v>
      </c>
      <c r="K87" s="117">
        <f>E85-K85</f>
        <v>0</v>
      </c>
      <c r="L87" s="117">
        <f t="shared" ref="L87" si="57">F85-L85</f>
        <v>-7.9448818927630782E-2</v>
      </c>
    </row>
    <row r="88" spans="1:12" x14ac:dyDescent="0.25">
      <c r="I88" s="117">
        <f>I85-'2.a önkormányzat részletes'!I159</f>
        <v>0</v>
      </c>
      <c r="J88" s="117">
        <f>J85-'2.a önkormányzat részletes'!J159</f>
        <v>0</v>
      </c>
      <c r="K88" s="117">
        <f>K85-'2.a önkormányzat részletes'!K159</f>
        <v>0</v>
      </c>
      <c r="L88" s="117">
        <f>L85-'2.a önkormányzat részletes'!L159</f>
        <v>0</v>
      </c>
    </row>
    <row r="91" spans="1:12" x14ac:dyDescent="0.25">
      <c r="C91" s="117"/>
      <c r="D91" s="117"/>
      <c r="E91" s="117"/>
      <c r="F91" s="117"/>
    </row>
  </sheetData>
  <mergeCells count="2">
    <mergeCell ref="A85:B85"/>
    <mergeCell ref="G85:H8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&amp;CTaksony Nagyközség Önkormányzat 2016. évi költségvetés 
2. sz. módosítás&amp;R2.sz. melléklet</oddHeader>
    <oddFooter xml:space="preserve">&amp;LKészült: &amp;D
&amp;R/:Kreisz László://:Dr.Micheller Anita:/       </oddFooter>
  </headerFooter>
  <rowBreaks count="1" manualBreakCount="1">
    <brk id="43" max="9" man="1"/>
  </rowBreaks>
  <colBreaks count="1" manualBreakCount="1">
    <brk id="6" max="8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U170"/>
  <sheetViews>
    <sheetView view="pageBreakPreview" zoomScale="70" zoomScaleNormal="80" zoomScaleSheetLayoutView="70" workbookViewId="0">
      <selection activeCell="L116" sqref="L116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20.85546875" style="21" customWidth="1"/>
    <col min="4" max="4" width="18.140625" style="21" customWidth="1"/>
    <col min="5" max="5" width="16.42578125" style="21" customWidth="1"/>
    <col min="6" max="6" width="20.85546875" style="21" customWidth="1"/>
    <col min="7" max="7" width="6.7109375" style="21" customWidth="1"/>
    <col min="8" max="8" width="69.5703125" style="21" customWidth="1"/>
    <col min="9" max="9" width="19.140625" style="591" customWidth="1"/>
    <col min="10" max="10" width="18.42578125" style="591" customWidth="1"/>
    <col min="11" max="11" width="16.5703125" style="591" customWidth="1"/>
    <col min="12" max="12" width="20.7109375" style="591" customWidth="1"/>
    <col min="13" max="13" width="29.5703125" style="594" customWidth="1"/>
    <col min="14" max="14" width="14" style="340" bestFit="1" customWidth="1"/>
    <col min="15" max="15" width="13.7109375" style="340" bestFit="1" customWidth="1"/>
    <col min="16" max="47" width="9.140625" style="340"/>
    <col min="48" max="16384" width="9.140625" style="21"/>
  </cols>
  <sheetData>
    <row r="1" spans="1:12" ht="40.5" customHeight="1" x14ac:dyDescent="0.25">
      <c r="A1" s="76"/>
      <c r="B1" s="77" t="s">
        <v>516</v>
      </c>
      <c r="C1" s="76" t="s">
        <v>1101</v>
      </c>
      <c r="D1" s="76" t="s">
        <v>1106</v>
      </c>
      <c r="E1" s="657" t="s">
        <v>1110</v>
      </c>
      <c r="F1" s="76" t="s">
        <v>1102</v>
      </c>
      <c r="G1" s="76"/>
      <c r="H1" s="77" t="s">
        <v>511</v>
      </c>
      <c r="I1" s="76" t="s">
        <v>1101</v>
      </c>
      <c r="J1" s="76" t="s">
        <v>1106</v>
      </c>
      <c r="K1" s="657" t="s">
        <v>1110</v>
      </c>
      <c r="L1" s="76" t="s">
        <v>1102</v>
      </c>
    </row>
    <row r="2" spans="1:12" ht="20.25" customHeight="1" x14ac:dyDescent="0.25">
      <c r="A2" s="689"/>
      <c r="B2" s="690" t="s">
        <v>180</v>
      </c>
      <c r="C2" s="691">
        <f>C3+C21+C58+C96</f>
        <v>444216</v>
      </c>
      <c r="D2" s="691">
        <f>D3+D21+D58+D96</f>
        <v>11563</v>
      </c>
      <c r="E2" s="691">
        <f>E3+E21+E58+E96</f>
        <v>54011</v>
      </c>
      <c r="F2" s="691">
        <f t="shared" ref="F2" si="0">F3+F21+F58+F96</f>
        <v>509790</v>
      </c>
      <c r="G2" s="689"/>
      <c r="H2" s="690" t="s">
        <v>196</v>
      </c>
      <c r="I2" s="694">
        <f>I3+I17+I21+I86+I93</f>
        <v>222312.58944881888</v>
      </c>
      <c r="J2" s="694">
        <f>J3+J17+J21+J86+J93</f>
        <v>28695</v>
      </c>
      <c r="K2" s="694">
        <f>K3+K17+K21+K86+K93</f>
        <v>62897</v>
      </c>
      <c r="L2" s="695">
        <f t="shared" ref="L2" si="1">L3+L17+L21+L86+L93</f>
        <v>313904.58944881888</v>
      </c>
    </row>
    <row r="3" spans="1:12" ht="20.25" customHeight="1" x14ac:dyDescent="0.25">
      <c r="A3" s="421" t="s">
        <v>23</v>
      </c>
      <c r="B3" s="414" t="s">
        <v>405</v>
      </c>
      <c r="C3" s="415">
        <f>C4+C12+C13+C14+C15+C16</f>
        <v>121291</v>
      </c>
      <c r="D3" s="415">
        <f>D4+D12+D13+D14+D15+D16</f>
        <v>11563</v>
      </c>
      <c r="E3" s="415">
        <f>E16+E4</f>
        <v>34524</v>
      </c>
      <c r="F3" s="415">
        <f>F4+F12+F13+F14+F15+F16</f>
        <v>167378</v>
      </c>
      <c r="G3" s="421" t="s">
        <v>23</v>
      </c>
      <c r="H3" s="414" t="s">
        <v>313</v>
      </c>
      <c r="I3" s="605">
        <f>I12+I16</f>
        <v>17791</v>
      </c>
      <c r="J3" s="605">
        <f t="shared" ref="J3:L3" si="2">J12+J16</f>
        <v>8200</v>
      </c>
      <c r="K3" s="605">
        <f t="shared" ref="K3" si="3">K12+K16</f>
        <v>0</v>
      </c>
      <c r="L3" s="580">
        <f t="shared" si="2"/>
        <v>25991</v>
      </c>
    </row>
    <row r="4" spans="1:12" ht="20.25" customHeight="1" x14ac:dyDescent="0.25">
      <c r="A4" s="70"/>
      <c r="B4" s="111" t="s">
        <v>406</v>
      </c>
      <c r="C4" s="109">
        <f>SUM(C5:C8)</f>
        <v>115941</v>
      </c>
      <c r="D4" s="109">
        <f>SUM(D5:D10)</f>
        <v>659</v>
      </c>
      <c r="E4" s="109">
        <f>SUM(E5:E9)</f>
        <v>2129</v>
      </c>
      <c r="F4" s="109">
        <f>C4+D4+E4</f>
        <v>118729</v>
      </c>
      <c r="G4" s="80"/>
      <c r="H4" s="69" t="s">
        <v>928</v>
      </c>
      <c r="I4" s="606">
        <v>4532</v>
      </c>
      <c r="J4" s="606">
        <v>8200</v>
      </c>
      <c r="K4" s="606"/>
      <c r="L4" s="581">
        <f>I4+J4+K4</f>
        <v>12732</v>
      </c>
    </row>
    <row r="5" spans="1:12" ht="24" customHeight="1" x14ac:dyDescent="0.25">
      <c r="A5" s="80"/>
      <c r="B5" s="84" t="s">
        <v>407</v>
      </c>
      <c r="C5" s="109">
        <v>82055</v>
      </c>
      <c r="D5" s="109"/>
      <c r="E5" s="109"/>
      <c r="F5" s="109">
        <f t="shared" ref="F5:F11" si="4">C5+D5+E5</f>
        <v>82055</v>
      </c>
      <c r="G5" s="80"/>
      <c r="H5" s="69" t="s">
        <v>314</v>
      </c>
      <c r="I5" s="606"/>
      <c r="J5" s="606"/>
      <c r="K5" s="606"/>
      <c r="L5" s="581">
        <f t="shared" ref="L5:L15" si="5">I5+J5</f>
        <v>0</v>
      </c>
    </row>
    <row r="6" spans="1:12" ht="24" customHeight="1" x14ac:dyDescent="0.25">
      <c r="A6" s="80"/>
      <c r="B6" s="84" t="s">
        <v>408</v>
      </c>
      <c r="C6" s="109"/>
      <c r="D6" s="109"/>
      <c r="E6" s="109"/>
      <c r="F6" s="109">
        <f t="shared" si="4"/>
        <v>0</v>
      </c>
      <c r="G6" s="80"/>
      <c r="H6" s="69" t="s">
        <v>315</v>
      </c>
      <c r="I6" s="606"/>
      <c r="J6" s="606"/>
      <c r="K6" s="606"/>
      <c r="L6" s="581">
        <f t="shared" si="5"/>
        <v>0</v>
      </c>
    </row>
    <row r="7" spans="1:12" ht="30" x14ac:dyDescent="0.25">
      <c r="A7" s="80"/>
      <c r="B7" s="84" t="s">
        <v>1044</v>
      </c>
      <c r="C7" s="109">
        <v>26705</v>
      </c>
      <c r="D7" s="109"/>
      <c r="E7" s="109">
        <v>1500</v>
      </c>
      <c r="F7" s="109">
        <f>C7+D7+E7</f>
        <v>28205</v>
      </c>
      <c r="G7" s="80"/>
      <c r="H7" s="69" t="s">
        <v>316</v>
      </c>
      <c r="I7" s="606"/>
      <c r="J7" s="606"/>
      <c r="K7" s="606"/>
      <c r="L7" s="581">
        <f t="shared" si="5"/>
        <v>0</v>
      </c>
    </row>
    <row r="8" spans="1:12" ht="22.5" customHeight="1" x14ac:dyDescent="0.25">
      <c r="A8" s="80"/>
      <c r="B8" s="84" t="s">
        <v>409</v>
      </c>
      <c r="C8" s="109">
        <v>7181</v>
      </c>
      <c r="D8" s="109"/>
      <c r="E8" s="109">
        <v>242</v>
      </c>
      <c r="F8" s="109">
        <f t="shared" si="4"/>
        <v>7423</v>
      </c>
      <c r="G8" s="80"/>
      <c r="H8" s="69" t="s">
        <v>317</v>
      </c>
      <c r="I8" s="606">
        <f>148*2+165</f>
        <v>461</v>
      </c>
      <c r="J8" s="606"/>
      <c r="K8" s="606"/>
      <c r="L8" s="581">
        <f t="shared" si="5"/>
        <v>461</v>
      </c>
    </row>
    <row r="9" spans="1:12" ht="24.75" customHeight="1" x14ac:dyDescent="0.25">
      <c r="A9" s="80"/>
      <c r="B9" s="84" t="s">
        <v>1105</v>
      </c>
      <c r="C9" s="82" t="s">
        <v>253</v>
      </c>
      <c r="D9" s="82">
        <v>659</v>
      </c>
      <c r="E9" s="82">
        <v>387</v>
      </c>
      <c r="F9" s="109">
        <f>D9+E9</f>
        <v>1046</v>
      </c>
      <c r="G9" s="80"/>
      <c r="H9" s="69" t="s">
        <v>318</v>
      </c>
      <c r="I9" s="606"/>
      <c r="J9" s="606">
        <v>11</v>
      </c>
      <c r="K9" s="606"/>
      <c r="L9" s="581">
        <f t="shared" si="5"/>
        <v>11</v>
      </c>
    </row>
    <row r="10" spans="1:12" ht="18" customHeight="1" x14ac:dyDescent="0.25">
      <c r="A10" s="80"/>
      <c r="B10" s="84" t="s">
        <v>1046</v>
      </c>
      <c r="C10" s="82" t="s">
        <v>253</v>
      </c>
      <c r="D10" s="82" t="s">
        <v>253</v>
      </c>
      <c r="E10" s="82" t="s">
        <v>253</v>
      </c>
      <c r="F10" s="109"/>
      <c r="G10" s="85"/>
      <c r="H10" s="69" t="s">
        <v>319</v>
      </c>
      <c r="I10" s="607"/>
      <c r="J10" s="607"/>
      <c r="K10" s="607"/>
      <c r="L10" s="581">
        <f t="shared" si="5"/>
        <v>0</v>
      </c>
    </row>
    <row r="11" spans="1:12" ht="20.25" customHeight="1" x14ac:dyDescent="0.25">
      <c r="A11" s="80"/>
      <c r="B11" s="115"/>
      <c r="C11" s="82"/>
      <c r="D11" s="82"/>
      <c r="E11" s="82"/>
      <c r="F11" s="109">
        <f t="shared" si="4"/>
        <v>0</v>
      </c>
      <c r="G11" s="85"/>
      <c r="H11" s="69" t="s">
        <v>320</v>
      </c>
      <c r="I11" s="592"/>
      <c r="J11" s="592">
        <v>220</v>
      </c>
      <c r="K11" s="592"/>
      <c r="L11" s="581">
        <f t="shared" si="5"/>
        <v>220</v>
      </c>
    </row>
    <row r="12" spans="1:12" ht="20.25" customHeight="1" x14ac:dyDescent="0.25">
      <c r="A12" s="80"/>
      <c r="B12" s="84" t="s">
        <v>412</v>
      </c>
      <c r="C12" s="82"/>
      <c r="D12" s="82"/>
      <c r="E12" s="82"/>
      <c r="F12" s="109"/>
      <c r="G12" s="85"/>
      <c r="H12" s="70" t="s">
        <v>321</v>
      </c>
      <c r="I12" s="592">
        <f>I4+I5+I6+I7+I8+I9+I10+I11</f>
        <v>4993</v>
      </c>
      <c r="J12" s="592">
        <f>J4+J5+J6+J7+J8+J9+J10+J11</f>
        <v>8431</v>
      </c>
      <c r="K12" s="592">
        <f>K4+K5+K6+K7+K8+K9+K10+K11</f>
        <v>0</v>
      </c>
      <c r="L12" s="581">
        <f t="shared" si="5"/>
        <v>13424</v>
      </c>
    </row>
    <row r="13" spans="1:12" ht="30" x14ac:dyDescent="0.25">
      <c r="A13" s="70"/>
      <c r="B13" s="84" t="s">
        <v>413</v>
      </c>
      <c r="C13" s="109"/>
      <c r="D13" s="109"/>
      <c r="E13" s="82"/>
      <c r="F13" s="109"/>
      <c r="G13" s="85"/>
      <c r="H13" s="69" t="s">
        <v>1097</v>
      </c>
      <c r="I13" s="592">
        <f>5384+3612/2+15*7*12+10*10*12+67*12+47*12</f>
        <v>11018</v>
      </c>
      <c r="J13" s="592"/>
      <c r="K13" s="592"/>
      <c r="L13" s="581">
        <f t="shared" si="5"/>
        <v>11018</v>
      </c>
    </row>
    <row r="14" spans="1:12" ht="29.25" customHeight="1" x14ac:dyDescent="0.25">
      <c r="A14" s="70"/>
      <c r="B14" s="84" t="s">
        <v>414</v>
      </c>
      <c r="C14" s="109"/>
      <c r="D14" s="109"/>
      <c r="E14" s="109"/>
      <c r="F14" s="109"/>
      <c r="G14" s="85"/>
      <c r="H14" s="69" t="s">
        <v>323</v>
      </c>
      <c r="I14" s="592"/>
      <c r="J14" s="592">
        <v>900</v>
      </c>
      <c r="K14" s="592"/>
      <c r="L14" s="581">
        <f t="shared" si="5"/>
        <v>900</v>
      </c>
    </row>
    <row r="15" spans="1:12" ht="29.25" customHeight="1" x14ac:dyDescent="0.25">
      <c r="A15" s="70"/>
      <c r="B15" s="84" t="s">
        <v>415</v>
      </c>
      <c r="C15" s="109"/>
      <c r="D15" s="109"/>
      <c r="E15" s="109"/>
      <c r="F15" s="109"/>
      <c r="G15" s="85"/>
      <c r="H15" s="69" t="s">
        <v>1065</v>
      </c>
      <c r="I15" s="592">
        <f>60*12+30*12+50*6+400</f>
        <v>1780</v>
      </c>
      <c r="J15" s="592">
        <v>-1131</v>
      </c>
      <c r="K15" s="592"/>
      <c r="L15" s="581">
        <f t="shared" si="5"/>
        <v>649</v>
      </c>
    </row>
    <row r="16" spans="1:12" ht="21" customHeight="1" x14ac:dyDescent="0.25">
      <c r="A16" s="70"/>
      <c r="B16" s="84" t="s">
        <v>416</v>
      </c>
      <c r="C16" s="109">
        <f>4451+63+66*12+44*1</f>
        <v>5350</v>
      </c>
      <c r="D16" s="109">
        <v>10904</v>
      </c>
      <c r="E16" s="109">
        <f>26870+5525</f>
        <v>32395</v>
      </c>
      <c r="F16" s="109">
        <f>C16+D16+E16</f>
        <v>48649</v>
      </c>
      <c r="G16" s="85"/>
      <c r="H16" s="70" t="s">
        <v>325</v>
      </c>
      <c r="I16" s="592">
        <f>I13+I14+I15</f>
        <v>12798</v>
      </c>
      <c r="J16" s="592">
        <f t="shared" ref="J16:L16" si="6">J13+J14+J15</f>
        <v>-231</v>
      </c>
      <c r="K16" s="592">
        <f t="shared" ref="K16" si="7">K13+K14+K15</f>
        <v>0</v>
      </c>
      <c r="L16" s="315">
        <f t="shared" si="6"/>
        <v>12567</v>
      </c>
    </row>
    <row r="17" spans="1:12" x14ac:dyDescent="0.25">
      <c r="A17" s="70"/>
      <c r="B17" s="84" t="s">
        <v>906</v>
      </c>
      <c r="C17" s="109"/>
      <c r="D17" s="109"/>
      <c r="E17" s="109"/>
      <c r="F17" s="109"/>
      <c r="G17" s="421" t="s">
        <v>45</v>
      </c>
      <c r="H17" s="414" t="s">
        <v>326</v>
      </c>
      <c r="I17" s="605">
        <f>SUM(I18:I20)</f>
        <v>4502.2800000000007</v>
      </c>
      <c r="J17" s="605">
        <f t="shared" ref="J17:L17" si="8">SUM(J18:J20)</f>
        <v>1108</v>
      </c>
      <c r="K17" s="605">
        <f t="shared" ref="K17" si="9">SUM(K18:K20)</f>
        <v>0</v>
      </c>
      <c r="L17" s="580">
        <f t="shared" si="8"/>
        <v>5610.2800000000007</v>
      </c>
    </row>
    <row r="18" spans="1:12" ht="18.75" customHeight="1" x14ac:dyDescent="0.25">
      <c r="A18" s="70"/>
      <c r="B18" s="84"/>
      <c r="C18" s="109"/>
      <c r="D18" s="109"/>
      <c r="E18" s="109"/>
      <c r="F18" s="109"/>
      <c r="G18" s="80"/>
      <c r="H18" s="94" t="s">
        <v>854</v>
      </c>
      <c r="I18" s="592">
        <f>I16*27%+I4*13.5%</f>
        <v>4067.28</v>
      </c>
      <c r="J18" s="592">
        <v>1108</v>
      </c>
      <c r="K18" s="592"/>
      <c r="L18" s="581">
        <f t="shared" ref="L18:L38" si="10">I18+J18</f>
        <v>5175.2800000000007</v>
      </c>
    </row>
    <row r="19" spans="1:12" ht="18.75" customHeight="1" x14ac:dyDescent="0.25">
      <c r="A19" s="70"/>
      <c r="B19" s="84"/>
      <c r="C19" s="109"/>
      <c r="D19" s="109"/>
      <c r="E19" s="109"/>
      <c r="F19" s="109"/>
      <c r="G19" s="80"/>
      <c r="H19" s="94" t="s">
        <v>855</v>
      </c>
      <c r="I19" s="592">
        <v>254</v>
      </c>
      <c r="J19" s="592"/>
      <c r="K19" s="592"/>
      <c r="L19" s="581">
        <f t="shared" si="10"/>
        <v>254</v>
      </c>
    </row>
    <row r="20" spans="1:12" ht="18.75" customHeight="1" x14ac:dyDescent="0.25">
      <c r="A20" s="70"/>
      <c r="B20" s="84"/>
      <c r="C20" s="109"/>
      <c r="D20" s="109"/>
      <c r="E20" s="109"/>
      <c r="F20" s="109"/>
      <c r="G20" s="80"/>
      <c r="H20" s="94" t="s">
        <v>856</v>
      </c>
      <c r="I20" s="592">
        <v>181</v>
      </c>
      <c r="J20" s="592"/>
      <c r="K20" s="592"/>
      <c r="L20" s="581">
        <f t="shared" si="10"/>
        <v>181</v>
      </c>
    </row>
    <row r="21" spans="1:12" ht="20.25" customHeight="1" x14ac:dyDescent="0.25">
      <c r="A21" s="421" t="s">
        <v>45</v>
      </c>
      <c r="B21" s="414" t="s">
        <v>448</v>
      </c>
      <c r="C21" s="415">
        <f>C22+C28+C42</f>
        <v>309500</v>
      </c>
      <c r="D21" s="415">
        <f t="shared" ref="D21:F21" si="11">D22+D28+D42</f>
        <v>0</v>
      </c>
      <c r="E21" s="415">
        <f t="shared" ref="E21" si="12">E22+E28+E42</f>
        <v>0</v>
      </c>
      <c r="F21" s="415">
        <f t="shared" si="11"/>
        <v>309500</v>
      </c>
      <c r="G21" s="421" t="s">
        <v>56</v>
      </c>
      <c r="H21" s="414" t="s">
        <v>327</v>
      </c>
      <c r="I21" s="605">
        <f>I34+I49+I73+I76+I85</f>
        <v>157708.40944881889</v>
      </c>
      <c r="J21" s="605">
        <f>J34+J49+J73+J76+J85</f>
        <v>-674</v>
      </c>
      <c r="K21" s="605">
        <f>K34+K49+K73+K76+K85</f>
        <v>14625</v>
      </c>
      <c r="L21" s="580">
        <f>L34+L49+L73+L76+L85</f>
        <v>171659.40944881889</v>
      </c>
    </row>
    <row r="22" spans="1:12" ht="20.25" customHeight="1" x14ac:dyDescent="0.25">
      <c r="A22" s="86"/>
      <c r="B22" s="88" t="s">
        <v>470</v>
      </c>
      <c r="C22" s="97">
        <f>SUM(C23:C27)</f>
        <v>75000</v>
      </c>
      <c r="D22" s="97"/>
      <c r="E22" s="97"/>
      <c r="F22" s="109">
        <f t="shared" ref="F22:F46" si="13">C22+D22</f>
        <v>75000</v>
      </c>
      <c r="G22" s="71"/>
      <c r="H22" s="71" t="s">
        <v>328</v>
      </c>
      <c r="I22" s="592">
        <f>SUM(I23:I25)</f>
        <v>50</v>
      </c>
      <c r="J22" s="592">
        <f t="shared" ref="J22:L22" si="14">SUM(J23:J25)</f>
        <v>200</v>
      </c>
      <c r="K22" s="592">
        <f t="shared" si="14"/>
        <v>100</v>
      </c>
      <c r="L22" s="592">
        <f t="shared" si="14"/>
        <v>350</v>
      </c>
    </row>
    <row r="23" spans="1:12" ht="20.25" customHeight="1" x14ac:dyDescent="0.25">
      <c r="A23" s="86"/>
      <c r="B23" s="88" t="s">
        <v>471</v>
      </c>
      <c r="C23" s="97">
        <v>44000</v>
      </c>
      <c r="D23" s="97"/>
      <c r="E23" s="97"/>
      <c r="F23" s="109">
        <f t="shared" si="13"/>
        <v>44000</v>
      </c>
      <c r="G23" s="71"/>
      <c r="H23" s="71" t="s">
        <v>329</v>
      </c>
      <c r="I23" s="592"/>
      <c r="J23" s="592"/>
      <c r="K23" s="592"/>
      <c r="L23" s="581">
        <f t="shared" ref="L23:L25" si="15">I23+J23+K23</f>
        <v>0</v>
      </c>
    </row>
    <row r="24" spans="1:12" ht="20.25" customHeight="1" x14ac:dyDescent="0.25">
      <c r="A24" s="86"/>
      <c r="B24" s="88" t="s">
        <v>472</v>
      </c>
      <c r="C24" s="97"/>
      <c r="D24" s="97"/>
      <c r="E24" s="97"/>
      <c r="F24" s="109">
        <f t="shared" si="13"/>
        <v>0</v>
      </c>
      <c r="G24" s="71"/>
      <c r="H24" s="71" t="s">
        <v>330</v>
      </c>
      <c r="I24" s="592">
        <v>50</v>
      </c>
      <c r="J24" s="592">
        <v>200</v>
      </c>
      <c r="K24" s="592">
        <v>100</v>
      </c>
      <c r="L24" s="581">
        <f t="shared" si="15"/>
        <v>350</v>
      </c>
    </row>
    <row r="25" spans="1:12" ht="20.25" customHeight="1" x14ac:dyDescent="0.25">
      <c r="A25" s="86"/>
      <c r="B25" s="88" t="s">
        <v>473</v>
      </c>
      <c r="C25" s="97">
        <v>17000</v>
      </c>
      <c r="D25" s="97"/>
      <c r="E25" s="97"/>
      <c r="F25" s="109">
        <f t="shared" si="13"/>
        <v>17000</v>
      </c>
      <c r="G25" s="71"/>
      <c r="H25" s="71" t="s">
        <v>331</v>
      </c>
      <c r="I25" s="592"/>
      <c r="J25" s="592"/>
      <c r="K25" s="592"/>
      <c r="L25" s="581">
        <f t="shared" si="15"/>
        <v>0</v>
      </c>
    </row>
    <row r="26" spans="1:12" ht="20.25" customHeight="1" x14ac:dyDescent="0.25">
      <c r="A26" s="86"/>
      <c r="B26" s="88" t="s">
        <v>474</v>
      </c>
      <c r="C26" s="97">
        <v>14000</v>
      </c>
      <c r="D26" s="97"/>
      <c r="E26" s="97"/>
      <c r="F26" s="109">
        <f t="shared" si="13"/>
        <v>14000</v>
      </c>
      <c r="G26" s="71"/>
      <c r="H26" s="71" t="s">
        <v>338</v>
      </c>
      <c r="I26" s="592">
        <f>SUM(I27:I32)</f>
        <v>2790</v>
      </c>
      <c r="J26" s="592">
        <f>SUM(J27:J32)</f>
        <v>-200</v>
      </c>
      <c r="K26" s="592">
        <f>SUM(K27:K32)</f>
        <v>0</v>
      </c>
      <c r="L26" s="581">
        <f t="shared" si="10"/>
        <v>2590</v>
      </c>
    </row>
    <row r="27" spans="1:12" ht="20.25" customHeight="1" x14ac:dyDescent="0.25">
      <c r="A27" s="86"/>
      <c r="B27" s="88" t="s">
        <v>475</v>
      </c>
      <c r="C27" s="97"/>
      <c r="D27" s="97"/>
      <c r="E27" s="97"/>
      <c r="F27" s="109">
        <f t="shared" si="13"/>
        <v>0</v>
      </c>
      <c r="G27" s="71"/>
      <c r="H27" s="71" t="s">
        <v>332</v>
      </c>
      <c r="I27" s="592"/>
      <c r="J27" s="592"/>
      <c r="K27" s="592"/>
      <c r="L27" s="581">
        <f t="shared" si="10"/>
        <v>0</v>
      </c>
    </row>
    <row r="28" spans="1:12" ht="20.25" customHeight="1" x14ac:dyDescent="0.25">
      <c r="A28" s="86"/>
      <c r="B28" s="88" t="s">
        <v>476</v>
      </c>
      <c r="C28" s="97">
        <f>C29+C32+C39</f>
        <v>232000</v>
      </c>
      <c r="D28" s="97"/>
      <c r="E28" s="97"/>
      <c r="F28" s="109">
        <f t="shared" si="13"/>
        <v>232000</v>
      </c>
      <c r="G28" s="71"/>
      <c r="H28" s="71" t="s">
        <v>333</v>
      </c>
      <c r="I28" s="592"/>
      <c r="J28" s="592"/>
      <c r="K28" s="592"/>
      <c r="L28" s="581">
        <f t="shared" si="10"/>
        <v>0</v>
      </c>
    </row>
    <row r="29" spans="1:12" ht="20.25" customHeight="1" x14ac:dyDescent="0.25">
      <c r="A29" s="86"/>
      <c r="B29" s="88" t="s">
        <v>477</v>
      </c>
      <c r="C29" s="97">
        <f>C30+C31</f>
        <v>210000</v>
      </c>
      <c r="D29" s="97"/>
      <c r="E29" s="97"/>
      <c r="F29" s="109">
        <f t="shared" si="13"/>
        <v>210000</v>
      </c>
      <c r="G29" s="71"/>
      <c r="H29" s="71" t="s">
        <v>334</v>
      </c>
      <c r="I29" s="592">
        <v>50</v>
      </c>
      <c r="J29" s="592"/>
      <c r="K29" s="592"/>
      <c r="L29" s="581">
        <f t="shared" si="10"/>
        <v>50</v>
      </c>
    </row>
    <row r="30" spans="1:12" ht="20.25" customHeight="1" x14ac:dyDescent="0.25">
      <c r="A30" s="86"/>
      <c r="B30" s="88" t="s">
        <v>478</v>
      </c>
      <c r="C30" s="97">
        <v>210000</v>
      </c>
      <c r="D30" s="97"/>
      <c r="E30" s="97"/>
      <c r="F30" s="109">
        <f t="shared" si="13"/>
        <v>210000</v>
      </c>
      <c r="G30" s="71"/>
      <c r="H30" s="71" t="s">
        <v>335</v>
      </c>
      <c r="I30" s="592">
        <f>1200+540</f>
        <v>1740</v>
      </c>
      <c r="J30" s="592"/>
      <c r="K30" s="592"/>
      <c r="L30" s="581">
        <f t="shared" si="10"/>
        <v>1740</v>
      </c>
    </row>
    <row r="31" spans="1:12" ht="20.25" customHeight="1" x14ac:dyDescent="0.25">
      <c r="A31" s="86"/>
      <c r="B31" s="88" t="s">
        <v>479</v>
      </c>
      <c r="C31" s="97"/>
      <c r="D31" s="97"/>
      <c r="E31" s="97"/>
      <c r="F31" s="109">
        <f t="shared" si="13"/>
        <v>0</v>
      </c>
      <c r="G31" s="71"/>
      <c r="H31" s="71" t="s">
        <v>929</v>
      </c>
      <c r="I31" s="592"/>
      <c r="J31" s="592"/>
      <c r="K31" s="592"/>
      <c r="L31" s="581">
        <f t="shared" si="10"/>
        <v>0</v>
      </c>
    </row>
    <row r="32" spans="1:12" ht="20.25" customHeight="1" x14ac:dyDescent="0.25">
      <c r="A32" s="86"/>
      <c r="B32" s="88" t="s">
        <v>480</v>
      </c>
      <c r="C32" s="97">
        <f>SUM(C33:C36)</f>
        <v>20000</v>
      </c>
      <c r="D32" s="97"/>
      <c r="E32" s="97"/>
      <c r="F32" s="109">
        <f t="shared" si="13"/>
        <v>20000</v>
      </c>
      <c r="G32" s="71"/>
      <c r="H32" s="71" t="s">
        <v>337</v>
      </c>
      <c r="I32" s="592">
        <f>200+800</f>
        <v>1000</v>
      </c>
      <c r="J32" s="592">
        <v>-200</v>
      </c>
      <c r="K32" s="592"/>
      <c r="L32" s="581">
        <f t="shared" si="10"/>
        <v>800</v>
      </c>
    </row>
    <row r="33" spans="1:13" ht="20.25" customHeight="1" x14ac:dyDescent="0.25">
      <c r="A33" s="86"/>
      <c r="B33" s="88" t="s">
        <v>481</v>
      </c>
      <c r="C33" s="97"/>
      <c r="D33" s="97"/>
      <c r="E33" s="97"/>
      <c r="F33" s="109">
        <f t="shared" si="13"/>
        <v>0</v>
      </c>
      <c r="G33" s="71"/>
      <c r="H33" s="71" t="s">
        <v>339</v>
      </c>
      <c r="I33" s="592"/>
      <c r="J33" s="592"/>
      <c r="K33" s="592"/>
      <c r="L33" s="581">
        <f t="shared" si="10"/>
        <v>0</v>
      </c>
    </row>
    <row r="34" spans="1:13" ht="20.25" customHeight="1" x14ac:dyDescent="0.25">
      <c r="A34" s="86"/>
      <c r="B34" s="88" t="s">
        <v>482</v>
      </c>
      <c r="C34" s="97">
        <v>20000</v>
      </c>
      <c r="D34" s="97"/>
      <c r="E34" s="97"/>
      <c r="F34" s="109">
        <f t="shared" si="13"/>
        <v>20000</v>
      </c>
      <c r="G34" s="71"/>
      <c r="H34" s="72" t="s">
        <v>340</v>
      </c>
      <c r="I34" s="592">
        <f>I22+I26+I33</f>
        <v>2840</v>
      </c>
      <c r="J34" s="592">
        <f t="shared" ref="J34:L34" si="16">J22+J26+J33</f>
        <v>0</v>
      </c>
      <c r="K34" s="592">
        <f t="shared" si="16"/>
        <v>100</v>
      </c>
      <c r="L34" s="592">
        <f t="shared" si="16"/>
        <v>2940</v>
      </c>
    </row>
    <row r="35" spans="1:13" ht="20.25" customHeight="1" x14ac:dyDescent="0.25">
      <c r="A35" s="86"/>
      <c r="B35" s="88" t="s">
        <v>483</v>
      </c>
      <c r="C35" s="97"/>
      <c r="D35" s="97"/>
      <c r="E35" s="97"/>
      <c r="F35" s="109">
        <f t="shared" si="13"/>
        <v>0</v>
      </c>
      <c r="G35" s="71"/>
      <c r="H35" s="71" t="s">
        <v>342</v>
      </c>
      <c r="I35" s="592">
        <f>SUM(I36:I46)</f>
        <v>5253</v>
      </c>
      <c r="J35" s="592">
        <f>SUM(J36:J46)</f>
        <v>0</v>
      </c>
      <c r="K35" s="592">
        <f>SUM(K36:K46)</f>
        <v>0</v>
      </c>
      <c r="L35" s="581">
        <f t="shared" si="10"/>
        <v>5253</v>
      </c>
    </row>
    <row r="36" spans="1:13" ht="20.25" customHeight="1" x14ac:dyDescent="0.25">
      <c r="A36" s="86"/>
      <c r="B36" s="88" t="s">
        <v>484</v>
      </c>
      <c r="C36" s="97"/>
      <c r="D36" s="97"/>
      <c r="E36" s="97"/>
      <c r="F36" s="109">
        <f t="shared" si="13"/>
        <v>0</v>
      </c>
      <c r="G36" s="71"/>
      <c r="H36" s="71" t="s">
        <v>900</v>
      </c>
      <c r="I36" s="592">
        <f>20*12</f>
        <v>240</v>
      </c>
      <c r="J36" s="592"/>
      <c r="K36" s="592"/>
      <c r="L36" s="581">
        <f t="shared" si="10"/>
        <v>240</v>
      </c>
    </row>
    <row r="37" spans="1:13" ht="20.25" customHeight="1" x14ac:dyDescent="0.25">
      <c r="A37" s="86"/>
      <c r="B37" s="88"/>
      <c r="C37" s="97"/>
      <c r="D37" s="97"/>
      <c r="E37" s="97"/>
      <c r="F37" s="109">
        <f t="shared" si="13"/>
        <v>0</v>
      </c>
      <c r="G37" s="71"/>
      <c r="H37" s="71" t="s">
        <v>907</v>
      </c>
      <c r="I37" s="592">
        <f>150*12</f>
        <v>1800</v>
      </c>
      <c r="J37" s="592"/>
      <c r="K37" s="592"/>
      <c r="L37" s="581">
        <f t="shared" si="10"/>
        <v>1800</v>
      </c>
    </row>
    <row r="38" spans="1:13" ht="20.25" customHeight="1" x14ac:dyDescent="0.25">
      <c r="A38" s="86"/>
      <c r="B38" s="88"/>
      <c r="C38" s="97"/>
      <c r="D38" s="97"/>
      <c r="E38" s="97"/>
      <c r="F38" s="109">
        <f t="shared" si="13"/>
        <v>0</v>
      </c>
      <c r="G38" s="71"/>
      <c r="H38" s="71" t="s">
        <v>1083</v>
      </c>
      <c r="I38" s="592">
        <f>920+240+116+840+252+128+127+590</f>
        <v>3213</v>
      </c>
      <c r="J38" s="592"/>
      <c r="K38" s="592"/>
      <c r="L38" s="581">
        <f t="shared" si="10"/>
        <v>3213</v>
      </c>
    </row>
    <row r="39" spans="1:13" ht="20.25" customHeight="1" x14ac:dyDescent="0.25">
      <c r="A39" s="86"/>
      <c r="B39" s="88" t="s">
        <v>485</v>
      </c>
      <c r="C39" s="97">
        <f>C40+C41</f>
        <v>2000</v>
      </c>
      <c r="D39" s="97"/>
      <c r="E39" s="97"/>
      <c r="F39" s="109">
        <f t="shared" si="13"/>
        <v>2000</v>
      </c>
      <c r="G39" s="71"/>
      <c r="H39" s="71"/>
      <c r="I39" s="592"/>
      <c r="J39" s="592"/>
      <c r="K39" s="592"/>
      <c r="L39" s="315"/>
    </row>
    <row r="40" spans="1:13" ht="20.25" customHeight="1" x14ac:dyDescent="0.25">
      <c r="A40" s="86"/>
      <c r="B40" s="89" t="s">
        <v>486</v>
      </c>
      <c r="C40" s="103"/>
      <c r="D40" s="103"/>
      <c r="E40" s="103"/>
      <c r="F40" s="109">
        <f t="shared" si="13"/>
        <v>0</v>
      </c>
      <c r="G40" s="71"/>
      <c r="H40" s="71"/>
      <c r="I40" s="592"/>
      <c r="J40" s="592"/>
      <c r="K40" s="592"/>
      <c r="L40" s="315"/>
    </row>
    <row r="41" spans="1:13" ht="20.25" customHeight="1" x14ac:dyDescent="0.25">
      <c r="A41" s="86"/>
      <c r="B41" s="89" t="s">
        <v>487</v>
      </c>
      <c r="C41" s="103">
        <v>2000</v>
      </c>
      <c r="D41" s="103"/>
      <c r="E41" s="103"/>
      <c r="F41" s="109">
        <f t="shared" si="13"/>
        <v>2000</v>
      </c>
      <c r="G41" s="71"/>
      <c r="H41" s="71"/>
      <c r="I41" s="592"/>
      <c r="J41" s="592"/>
      <c r="K41" s="592"/>
      <c r="L41" s="315"/>
    </row>
    <row r="42" spans="1:13" ht="20.25" customHeight="1" x14ac:dyDescent="0.25">
      <c r="A42" s="86"/>
      <c r="B42" s="88" t="s">
        <v>488</v>
      </c>
      <c r="C42" s="103">
        <f>SUM(C43:C46)</f>
        <v>2500</v>
      </c>
      <c r="D42" s="103"/>
      <c r="E42" s="103"/>
      <c r="F42" s="109">
        <f t="shared" si="13"/>
        <v>2500</v>
      </c>
      <c r="G42" s="71"/>
      <c r="H42" s="71"/>
      <c r="I42" s="592"/>
      <c r="J42" s="592"/>
      <c r="K42" s="592"/>
      <c r="L42" s="315"/>
    </row>
    <row r="43" spans="1:13" ht="20.25" customHeight="1" x14ac:dyDescent="0.25">
      <c r="A43" s="86"/>
      <c r="B43" s="88" t="s">
        <v>489</v>
      </c>
      <c r="C43" s="103">
        <v>100</v>
      </c>
      <c r="D43" s="103"/>
      <c r="E43" s="103"/>
      <c r="F43" s="109">
        <f t="shared" si="13"/>
        <v>100</v>
      </c>
      <c r="G43" s="71"/>
      <c r="H43" s="71"/>
      <c r="I43" s="592"/>
      <c r="J43" s="592"/>
      <c r="K43" s="592"/>
      <c r="L43" s="315"/>
    </row>
    <row r="44" spans="1:13" ht="20.25" customHeight="1" x14ac:dyDescent="0.25">
      <c r="A44" s="86"/>
      <c r="B44" s="89" t="s">
        <v>490</v>
      </c>
      <c r="C44" s="103">
        <v>50</v>
      </c>
      <c r="D44" s="103"/>
      <c r="E44" s="103"/>
      <c r="F44" s="109">
        <f t="shared" si="13"/>
        <v>50</v>
      </c>
      <c r="G44" s="71"/>
      <c r="H44" s="71"/>
      <c r="I44" s="592"/>
      <c r="J44" s="592"/>
      <c r="K44" s="592"/>
      <c r="L44" s="315"/>
    </row>
    <row r="45" spans="1:13" ht="20.25" customHeight="1" x14ac:dyDescent="0.25">
      <c r="A45" s="86"/>
      <c r="B45" s="88" t="s">
        <v>491</v>
      </c>
      <c r="C45" s="97">
        <v>350</v>
      </c>
      <c r="D45" s="97"/>
      <c r="E45" s="97"/>
      <c r="F45" s="109">
        <f t="shared" si="13"/>
        <v>350</v>
      </c>
      <c r="G45" s="71"/>
      <c r="H45" s="71"/>
      <c r="I45" s="592"/>
      <c r="J45" s="592"/>
      <c r="K45" s="592"/>
      <c r="L45" s="315"/>
    </row>
    <row r="46" spans="1:13" ht="20.25" customHeight="1" x14ac:dyDescent="0.25">
      <c r="A46" s="86"/>
      <c r="B46" s="89" t="s">
        <v>493</v>
      </c>
      <c r="C46" s="103">
        <v>2000</v>
      </c>
      <c r="D46" s="103"/>
      <c r="E46" s="103"/>
      <c r="F46" s="109">
        <f t="shared" si="13"/>
        <v>2000</v>
      </c>
      <c r="G46" s="71"/>
      <c r="H46" s="71"/>
      <c r="I46" s="592"/>
      <c r="J46" s="592"/>
      <c r="K46" s="592"/>
      <c r="L46" s="315"/>
    </row>
    <row r="47" spans="1:13" ht="20.25" customHeight="1" x14ac:dyDescent="0.25">
      <c r="A47" s="86"/>
      <c r="B47" s="88"/>
      <c r="C47" s="97"/>
      <c r="D47" s="97"/>
      <c r="E47" s="97"/>
      <c r="F47" s="97"/>
      <c r="G47" s="71"/>
      <c r="H47" s="71" t="s">
        <v>771</v>
      </c>
      <c r="I47" s="608">
        <f>SUM(I48:I48)</f>
        <v>852</v>
      </c>
      <c r="J47" s="608">
        <f t="shared" ref="J47" si="17">SUM(J48:J48)</f>
        <v>0</v>
      </c>
      <c r="K47" s="608">
        <v>900</v>
      </c>
      <c r="L47" s="581">
        <f>I47+J47+K47</f>
        <v>1752</v>
      </c>
      <c r="M47" s="595"/>
    </row>
    <row r="48" spans="1:13" ht="20.25" customHeight="1" x14ac:dyDescent="0.25">
      <c r="A48" s="86"/>
      <c r="B48" s="88"/>
      <c r="C48" s="97"/>
      <c r="D48" s="97"/>
      <c r="E48" s="97"/>
      <c r="F48" s="97"/>
      <c r="G48" s="71"/>
      <c r="H48" s="71" t="s">
        <v>1084</v>
      </c>
      <c r="I48" s="592">
        <f>50*12+252</f>
        <v>852</v>
      </c>
      <c r="J48" s="592"/>
      <c r="K48" s="592"/>
      <c r="L48" s="581">
        <f t="shared" ref="L48" si="18">I48+J48</f>
        <v>852</v>
      </c>
      <c r="M48" s="595"/>
    </row>
    <row r="49" spans="1:12" ht="19.5" customHeight="1" x14ac:dyDescent="0.25">
      <c r="A49" s="86"/>
      <c r="B49" s="88"/>
      <c r="C49" s="97"/>
      <c r="D49" s="97"/>
      <c r="E49" s="97"/>
      <c r="F49" s="97"/>
      <c r="G49" s="71"/>
      <c r="H49" s="72" t="s">
        <v>341</v>
      </c>
      <c r="I49" s="592">
        <f>I47+I35</f>
        <v>6105</v>
      </c>
      <c r="J49" s="592">
        <f t="shared" ref="J49:L49" si="19">J47+J35</f>
        <v>0</v>
      </c>
      <c r="K49" s="592">
        <f>K47+K35</f>
        <v>900</v>
      </c>
      <c r="L49" s="592">
        <f t="shared" si="19"/>
        <v>7005</v>
      </c>
    </row>
    <row r="50" spans="1:12" ht="20.25" customHeight="1" x14ac:dyDescent="0.25">
      <c r="A50" s="86"/>
      <c r="B50" s="89"/>
      <c r="C50" s="103"/>
      <c r="D50" s="103"/>
      <c r="E50" s="103"/>
      <c r="F50" s="103"/>
      <c r="G50" s="71"/>
      <c r="H50" s="71" t="s">
        <v>345</v>
      </c>
      <c r="I50" s="592">
        <f>SUM(I51:I53)</f>
        <v>19650</v>
      </c>
      <c r="J50" s="592">
        <f>SUM(J51:J53)</f>
        <v>0</v>
      </c>
      <c r="K50" s="592">
        <f>SUM(K51:K53)</f>
        <v>-1000</v>
      </c>
      <c r="L50" s="581">
        <f>I50+J50+K50</f>
        <v>18650</v>
      </c>
    </row>
    <row r="51" spans="1:12" ht="20.25" customHeight="1" x14ac:dyDescent="0.25">
      <c r="A51" s="86"/>
      <c r="B51" s="89"/>
      <c r="C51" s="103"/>
      <c r="D51" s="103"/>
      <c r="E51" s="103"/>
      <c r="F51" s="103"/>
      <c r="G51" s="71"/>
      <c r="H51" s="441" t="s">
        <v>1085</v>
      </c>
      <c r="I51" s="592">
        <f>10000+2000-500+2000</f>
        <v>13500</v>
      </c>
      <c r="J51" s="592"/>
      <c r="K51" s="592">
        <v>-400</v>
      </c>
      <c r="L51" s="581">
        <f t="shared" ref="L51:L66" si="20">I51+J51+K51</f>
        <v>13100</v>
      </c>
    </row>
    <row r="52" spans="1:12" ht="20.25" customHeight="1" x14ac:dyDescent="0.25">
      <c r="A52" s="86"/>
      <c r="B52" s="88"/>
      <c r="C52" s="103"/>
      <c r="D52" s="103"/>
      <c r="E52" s="103"/>
      <c r="F52" s="103"/>
      <c r="G52" s="71"/>
      <c r="H52" s="441" t="s">
        <v>348</v>
      </c>
      <c r="I52" s="592">
        <f>3600-500</f>
        <v>3100</v>
      </c>
      <c r="J52" s="592"/>
      <c r="K52" s="592">
        <v>-500</v>
      </c>
      <c r="L52" s="581">
        <f t="shared" si="20"/>
        <v>2600</v>
      </c>
    </row>
    <row r="53" spans="1:12" ht="20.25" customHeight="1" x14ac:dyDescent="0.25">
      <c r="A53" s="86"/>
      <c r="B53" s="88"/>
      <c r="C53" s="103"/>
      <c r="D53" s="103"/>
      <c r="E53" s="103"/>
      <c r="F53" s="103"/>
      <c r="G53" s="71"/>
      <c r="H53" s="441" t="s">
        <v>347</v>
      </c>
      <c r="I53" s="592">
        <f>3150-100</f>
        <v>3050</v>
      </c>
      <c r="J53" s="592"/>
      <c r="K53" s="592">
        <v>-100</v>
      </c>
      <c r="L53" s="581">
        <f t="shared" si="20"/>
        <v>2950</v>
      </c>
    </row>
    <row r="54" spans="1:12" ht="20.25" customHeight="1" x14ac:dyDescent="0.25">
      <c r="A54" s="86"/>
      <c r="B54" s="89"/>
      <c r="C54" s="103"/>
      <c r="D54" s="103"/>
      <c r="E54" s="103"/>
      <c r="F54" s="103"/>
      <c r="G54" s="71"/>
      <c r="H54" s="71" t="s">
        <v>349</v>
      </c>
      <c r="I54" s="592">
        <v>0</v>
      </c>
      <c r="J54" s="592"/>
      <c r="K54" s="592"/>
      <c r="L54" s="581">
        <f t="shared" si="20"/>
        <v>0</v>
      </c>
    </row>
    <row r="55" spans="1:12" ht="20.25" customHeight="1" x14ac:dyDescent="0.25">
      <c r="A55" s="86"/>
      <c r="B55" s="88"/>
      <c r="C55" s="97"/>
      <c r="D55" s="97"/>
      <c r="E55" s="97"/>
      <c r="F55" s="97"/>
      <c r="G55" s="71"/>
      <c r="H55" s="441" t="s">
        <v>350</v>
      </c>
      <c r="I55" s="592">
        <v>0</v>
      </c>
      <c r="J55" s="592"/>
      <c r="K55" s="592"/>
      <c r="L55" s="581">
        <f t="shared" si="20"/>
        <v>0</v>
      </c>
    </row>
    <row r="56" spans="1:12" ht="20.25" customHeight="1" x14ac:dyDescent="0.25">
      <c r="A56" s="86"/>
      <c r="B56" s="89"/>
      <c r="C56" s="103"/>
      <c r="D56" s="103"/>
      <c r="E56" s="103"/>
      <c r="F56" s="103"/>
      <c r="G56" s="71"/>
      <c r="H56" s="71" t="s">
        <v>899</v>
      </c>
      <c r="I56" s="592">
        <v>600</v>
      </c>
      <c r="J56" s="592">
        <v>200</v>
      </c>
      <c r="K56" s="592">
        <v>200</v>
      </c>
      <c r="L56" s="581">
        <f t="shared" si="20"/>
        <v>1000</v>
      </c>
    </row>
    <row r="57" spans="1:12" ht="20.25" customHeight="1" x14ac:dyDescent="0.25">
      <c r="A57" s="86"/>
      <c r="B57" s="89"/>
      <c r="C57" s="103"/>
      <c r="D57" s="103"/>
      <c r="E57" s="103"/>
      <c r="F57" s="103"/>
      <c r="G57" s="71"/>
      <c r="H57" s="71" t="s">
        <v>930</v>
      </c>
      <c r="I57" s="592">
        <f>500+500+100</f>
        <v>1100</v>
      </c>
      <c r="J57" s="592"/>
      <c r="K57" s="592">
        <v>1000</v>
      </c>
      <c r="L57" s="581">
        <f t="shared" si="20"/>
        <v>2100</v>
      </c>
    </row>
    <row r="58" spans="1:12" x14ac:dyDescent="0.25">
      <c r="A58" s="421" t="s">
        <v>56</v>
      </c>
      <c r="B58" s="414" t="s">
        <v>447</v>
      </c>
      <c r="C58" s="415">
        <f>C59+C60+C66+C75</f>
        <v>13425.000000000002</v>
      </c>
      <c r="D58" s="415">
        <f t="shared" ref="D58" si="21">D59+D60+D66+D75</f>
        <v>0</v>
      </c>
      <c r="E58" s="415">
        <f>E59+E60+E66+E75+E76+E77+E78+E79</f>
        <v>7387</v>
      </c>
      <c r="F58" s="415">
        <f>F59+F60+F66+F75+F76+F77+F78+F79</f>
        <v>20812</v>
      </c>
      <c r="G58" s="71"/>
      <c r="H58" s="486" t="s">
        <v>353</v>
      </c>
      <c r="I58" s="592">
        <f>280*12+229*13+350+1000+1800+400+1000+3482</f>
        <v>14369</v>
      </c>
      <c r="J58" s="592"/>
      <c r="K58" s="592">
        <v>1300</v>
      </c>
      <c r="L58" s="581">
        <f t="shared" si="20"/>
        <v>15669</v>
      </c>
    </row>
    <row r="59" spans="1:12" ht="20.25" customHeight="1" x14ac:dyDescent="0.25">
      <c r="A59" s="86"/>
      <c r="B59" s="89" t="s">
        <v>1047</v>
      </c>
      <c r="C59" s="103"/>
      <c r="D59" s="103"/>
      <c r="E59" s="103"/>
      <c r="F59" s="103"/>
      <c r="G59" s="71"/>
      <c r="H59" s="71" t="s">
        <v>354</v>
      </c>
      <c r="I59" s="592">
        <f>SUM(I60:I72)</f>
        <v>31977</v>
      </c>
      <c r="J59" s="592">
        <f>SUM(J60:J72)</f>
        <v>-202</v>
      </c>
      <c r="K59" s="592">
        <f>SUM(K60:K72)</f>
        <v>8000</v>
      </c>
      <c r="L59" s="581">
        <f t="shared" si="20"/>
        <v>39775</v>
      </c>
    </row>
    <row r="60" spans="1:12" ht="20.25" customHeight="1" x14ac:dyDescent="0.25">
      <c r="A60" s="86"/>
      <c r="B60" s="89" t="s">
        <v>450</v>
      </c>
      <c r="C60" s="103">
        <f>SUM(C61:C65)</f>
        <v>8271</v>
      </c>
      <c r="D60" s="103"/>
      <c r="E60" s="103"/>
      <c r="F60" s="109">
        <f t="shared" ref="F60:F66" si="22">C60+D60</f>
        <v>8271</v>
      </c>
      <c r="G60" s="71"/>
      <c r="H60" s="71" t="s">
        <v>1089</v>
      </c>
      <c r="I60" s="592">
        <f>33*12+360+796</f>
        <v>1552</v>
      </c>
      <c r="J60" s="592"/>
      <c r="K60" s="592"/>
      <c r="L60" s="581">
        <f t="shared" si="20"/>
        <v>1552</v>
      </c>
    </row>
    <row r="61" spans="1:12" ht="20.25" customHeight="1" x14ac:dyDescent="0.25">
      <c r="A61" s="86"/>
      <c r="B61" s="89" t="s">
        <v>772</v>
      </c>
      <c r="C61" s="103">
        <f>1100+138+374+233*12+40*12+15*12+50*12+52*12+2*12+83+6*12</f>
        <v>6471</v>
      </c>
      <c r="D61" s="103"/>
      <c r="E61" s="103"/>
      <c r="F61" s="109">
        <f t="shared" si="22"/>
        <v>6471</v>
      </c>
      <c r="G61" s="71"/>
      <c r="H61" s="71" t="s">
        <v>1086</v>
      </c>
      <c r="I61" s="592">
        <f>2083*8+2083+3600</f>
        <v>22347</v>
      </c>
      <c r="J61" s="592"/>
      <c r="K61" s="592"/>
      <c r="L61" s="581">
        <f t="shared" si="20"/>
        <v>22347</v>
      </c>
    </row>
    <row r="62" spans="1:12" ht="20.25" customHeight="1" x14ac:dyDescent="0.25">
      <c r="A62" s="86"/>
      <c r="B62" s="89" t="s">
        <v>467</v>
      </c>
      <c r="C62" s="103">
        <v>1500</v>
      </c>
      <c r="D62" s="103"/>
      <c r="E62" s="103"/>
      <c r="F62" s="109">
        <f t="shared" si="22"/>
        <v>1500</v>
      </c>
      <c r="G62" s="71"/>
      <c r="H62" s="71" t="s">
        <v>1087</v>
      </c>
      <c r="I62" s="592">
        <f>106*12+400+1198</f>
        <v>2870</v>
      </c>
      <c r="J62" s="592"/>
      <c r="K62" s="592"/>
      <c r="L62" s="581">
        <f t="shared" si="20"/>
        <v>2870</v>
      </c>
    </row>
    <row r="63" spans="1:12" ht="20.25" customHeight="1" x14ac:dyDescent="0.25">
      <c r="A63" s="86"/>
      <c r="B63" s="21" t="s">
        <v>964</v>
      </c>
      <c r="C63" s="103">
        <f>25*12</f>
        <v>300</v>
      </c>
      <c r="D63" s="103"/>
      <c r="E63" s="103"/>
      <c r="F63" s="109">
        <f t="shared" si="22"/>
        <v>300</v>
      </c>
      <c r="G63" s="71"/>
      <c r="H63" s="71" t="s">
        <v>1088</v>
      </c>
      <c r="I63" s="592">
        <v>1500</v>
      </c>
      <c r="J63" s="592"/>
      <c r="K63" s="592"/>
      <c r="L63" s="581">
        <f t="shared" si="20"/>
        <v>1500</v>
      </c>
    </row>
    <row r="64" spans="1:12" ht="20.25" customHeight="1" x14ac:dyDescent="0.25">
      <c r="A64" s="86"/>
      <c r="B64" s="89" t="s">
        <v>494</v>
      </c>
      <c r="C64" s="103"/>
      <c r="D64" s="103"/>
      <c r="E64" s="103"/>
      <c r="F64" s="109">
        <f t="shared" si="22"/>
        <v>0</v>
      </c>
      <c r="G64" s="71"/>
      <c r="H64" s="71" t="s">
        <v>356</v>
      </c>
      <c r="I64" s="592">
        <f>22*4+17*4+38+14+700</f>
        <v>908</v>
      </c>
      <c r="J64" s="592"/>
      <c r="K64" s="592"/>
      <c r="L64" s="581">
        <f t="shared" si="20"/>
        <v>908</v>
      </c>
    </row>
    <row r="65" spans="1:12" ht="20.25" customHeight="1" x14ac:dyDescent="0.25">
      <c r="A65" s="86"/>
      <c r="B65" s="89" t="s">
        <v>495</v>
      </c>
      <c r="C65" s="103"/>
      <c r="D65" s="103"/>
      <c r="E65" s="103"/>
      <c r="F65" s="109">
        <f t="shared" si="22"/>
        <v>0</v>
      </c>
      <c r="G65" s="71"/>
      <c r="H65" s="71" t="s">
        <v>1093</v>
      </c>
      <c r="I65" s="592">
        <v>1800</v>
      </c>
      <c r="J65" s="592"/>
      <c r="K65" s="592"/>
      <c r="L65" s="581">
        <f t="shared" si="20"/>
        <v>1800</v>
      </c>
    </row>
    <row r="66" spans="1:12" ht="20.25" customHeight="1" x14ac:dyDescent="0.25">
      <c r="A66" s="86"/>
      <c r="B66" s="89" t="s">
        <v>941</v>
      </c>
      <c r="C66" s="103">
        <f>(973+1698+50*12)/127%+1100</f>
        <v>3675.5905511811025</v>
      </c>
      <c r="D66" s="103"/>
      <c r="E66" s="103"/>
      <c r="F66" s="109">
        <f t="shared" si="22"/>
        <v>3675.5905511811025</v>
      </c>
      <c r="G66" s="71"/>
      <c r="H66" s="71" t="s">
        <v>1090</v>
      </c>
      <c r="I66" s="592">
        <v>1000</v>
      </c>
      <c r="J66" s="592">
        <v>-202</v>
      </c>
      <c r="K66" s="592">
        <v>8000</v>
      </c>
      <c r="L66" s="581">
        <f t="shared" si="20"/>
        <v>8798</v>
      </c>
    </row>
    <row r="67" spans="1:12" ht="20.25" customHeight="1" x14ac:dyDescent="0.25">
      <c r="A67" s="86"/>
      <c r="B67" s="89" t="s">
        <v>452</v>
      </c>
      <c r="C67" s="103">
        <v>0</v>
      </c>
      <c r="D67" s="103"/>
      <c r="E67" s="103"/>
      <c r="F67" s="103"/>
      <c r="G67" s="71"/>
      <c r="H67" s="71"/>
      <c r="I67" s="592"/>
      <c r="J67" s="592"/>
      <c r="K67" s="592"/>
      <c r="L67" s="315"/>
    </row>
    <row r="68" spans="1:12" ht="20.25" customHeight="1" x14ac:dyDescent="0.25">
      <c r="A68" s="86"/>
      <c r="B68" s="89" t="s">
        <v>453</v>
      </c>
      <c r="C68" s="103">
        <f>SUM(C69:C74)</f>
        <v>0</v>
      </c>
      <c r="D68" s="103"/>
      <c r="E68" s="103"/>
      <c r="F68" s="103"/>
      <c r="G68" s="71"/>
      <c r="H68" s="71"/>
      <c r="I68" s="592"/>
      <c r="J68" s="592"/>
      <c r="K68" s="592"/>
      <c r="L68" s="315"/>
    </row>
    <row r="69" spans="1:12" ht="20.25" customHeight="1" x14ac:dyDescent="0.25">
      <c r="A69" s="86"/>
      <c r="B69" s="89" t="s">
        <v>497</v>
      </c>
      <c r="C69" s="103"/>
      <c r="D69" s="103"/>
      <c r="E69" s="103"/>
      <c r="F69" s="103"/>
      <c r="G69" s="71"/>
      <c r="H69" s="71"/>
      <c r="I69" s="592"/>
      <c r="J69" s="592"/>
      <c r="K69" s="592"/>
      <c r="L69" s="315"/>
    </row>
    <row r="70" spans="1:12" ht="20.25" customHeight="1" x14ac:dyDescent="0.25">
      <c r="A70" s="86"/>
      <c r="B70" s="89" t="s">
        <v>498</v>
      </c>
      <c r="C70" s="103"/>
      <c r="D70" s="103"/>
      <c r="E70" s="103"/>
      <c r="F70" s="103"/>
      <c r="G70" s="71"/>
      <c r="H70" s="71"/>
      <c r="I70" s="592"/>
      <c r="J70" s="592"/>
      <c r="K70" s="592"/>
      <c r="L70" s="315"/>
    </row>
    <row r="71" spans="1:12" ht="20.25" customHeight="1" x14ac:dyDescent="0.25">
      <c r="A71" s="86"/>
      <c r="B71" s="88" t="s">
        <v>496</v>
      </c>
      <c r="C71" s="103"/>
      <c r="D71" s="103"/>
      <c r="E71" s="103"/>
      <c r="F71" s="103"/>
      <c r="G71" s="71"/>
      <c r="H71" s="71"/>
      <c r="I71" s="592"/>
      <c r="J71" s="592"/>
      <c r="K71" s="592"/>
      <c r="L71" s="315"/>
    </row>
    <row r="72" spans="1:12" ht="20.25" customHeight="1" x14ac:dyDescent="0.25">
      <c r="A72" s="86"/>
      <c r="B72" s="88" t="s">
        <v>454</v>
      </c>
      <c r="C72" s="103"/>
      <c r="D72" s="103"/>
      <c r="E72" s="103"/>
      <c r="F72" s="103"/>
      <c r="G72" s="71"/>
      <c r="H72" s="71"/>
      <c r="I72" s="592"/>
      <c r="J72" s="592"/>
      <c r="K72" s="592"/>
      <c r="L72" s="315"/>
    </row>
    <row r="73" spans="1:12" ht="20.25" customHeight="1" x14ac:dyDescent="0.25">
      <c r="A73" s="86"/>
      <c r="B73" s="21" t="s">
        <v>499</v>
      </c>
      <c r="C73" s="103"/>
      <c r="D73" s="103"/>
      <c r="E73" s="103"/>
      <c r="F73" s="103"/>
      <c r="G73" s="71"/>
      <c r="H73" s="72" t="s">
        <v>344</v>
      </c>
      <c r="I73" s="592">
        <f>I50+I54+I55+I56+I57+I58+I59</f>
        <v>67696</v>
      </c>
      <c r="J73" s="592">
        <f t="shared" ref="J73" si="23">J50+J54+J55+J56+J57+J58+J59</f>
        <v>-2</v>
      </c>
      <c r="K73" s="592">
        <f t="shared" ref="K73" si="24">K50+K54+K55+K56+K57+K58+K59</f>
        <v>9500</v>
      </c>
      <c r="L73" s="315">
        <f>L50+L54+L55+L56+L57+L58+L59</f>
        <v>77194</v>
      </c>
    </row>
    <row r="74" spans="1:12" ht="20.25" customHeight="1" x14ac:dyDescent="0.25">
      <c r="A74" s="86"/>
      <c r="C74" s="103"/>
      <c r="D74" s="103"/>
      <c r="E74" s="103"/>
      <c r="F74" s="103"/>
      <c r="G74" s="71"/>
      <c r="H74" s="71" t="s">
        <v>357</v>
      </c>
      <c r="I74" s="592">
        <v>600</v>
      </c>
      <c r="J74" s="592"/>
      <c r="K74" s="592"/>
      <c r="L74" s="581">
        <f t="shared" ref="L74:L76" si="25">I74+J74</f>
        <v>600</v>
      </c>
    </row>
    <row r="75" spans="1:12" ht="34.5" customHeight="1" x14ac:dyDescent="0.25">
      <c r="A75" s="86"/>
      <c r="B75" s="89" t="s">
        <v>455</v>
      </c>
      <c r="C75" s="109">
        <f>(C62+C63+C66)*27%</f>
        <v>1478.4094488188978</v>
      </c>
      <c r="D75" s="109"/>
      <c r="E75" s="109"/>
      <c r="F75" s="109">
        <f t="shared" ref="F75" si="26">C75+D75</f>
        <v>1478.4094488188978</v>
      </c>
      <c r="G75" s="71"/>
      <c r="H75" s="116" t="s">
        <v>944</v>
      </c>
      <c r="I75" s="592">
        <f>3900+1500</f>
        <v>5400</v>
      </c>
      <c r="J75" s="592"/>
      <c r="K75" s="592"/>
      <c r="L75" s="581">
        <f t="shared" si="25"/>
        <v>5400</v>
      </c>
    </row>
    <row r="76" spans="1:12" ht="20.25" customHeight="1" x14ac:dyDescent="0.25">
      <c r="A76" s="86"/>
      <c r="B76" s="89" t="s">
        <v>456</v>
      </c>
      <c r="C76" s="316">
        <v>0</v>
      </c>
      <c r="D76" s="316"/>
      <c r="E76" s="316"/>
      <c r="F76" s="316"/>
      <c r="G76" s="71"/>
      <c r="H76" s="72" t="s">
        <v>359</v>
      </c>
      <c r="I76" s="592">
        <f>I74+I75</f>
        <v>6000</v>
      </c>
      <c r="J76" s="592"/>
      <c r="K76" s="592"/>
      <c r="L76" s="581">
        <f t="shared" si="25"/>
        <v>6000</v>
      </c>
    </row>
    <row r="77" spans="1:12" ht="20.25" customHeight="1" x14ac:dyDescent="0.25">
      <c r="A77" s="86"/>
      <c r="B77" s="89" t="s">
        <v>1048</v>
      </c>
      <c r="C77" s="88"/>
      <c r="D77" s="88"/>
      <c r="E77" s="103">
        <v>5736</v>
      </c>
      <c r="F77" s="103">
        <f>E77</f>
        <v>5736</v>
      </c>
      <c r="G77" s="71"/>
      <c r="H77" s="71" t="s">
        <v>361</v>
      </c>
      <c r="I77" s="592">
        <v>21420</v>
      </c>
      <c r="J77" s="592"/>
      <c r="K77" s="592">
        <v>3484</v>
      </c>
      <c r="L77" s="581">
        <f>I77+J77+K77</f>
        <v>24904</v>
      </c>
    </row>
    <row r="78" spans="1:12" ht="20.25" customHeight="1" x14ac:dyDescent="0.25">
      <c r="A78" s="86"/>
      <c r="B78" s="89" t="s">
        <v>458</v>
      </c>
      <c r="C78" s="88"/>
      <c r="D78" s="88"/>
      <c r="E78" s="88"/>
      <c r="F78" s="88"/>
      <c r="G78" s="71"/>
      <c r="H78" s="71" t="s">
        <v>362</v>
      </c>
      <c r="I78" s="592">
        <f>C75</f>
        <v>1478.4094488188978</v>
      </c>
      <c r="J78" s="592">
        <v>-641</v>
      </c>
      <c r="K78" s="592">
        <v>641</v>
      </c>
      <c r="L78" s="581">
        <f t="shared" ref="L78:L92" si="27">I78+J78+K78</f>
        <v>1478.4094488188978</v>
      </c>
    </row>
    <row r="79" spans="1:12" ht="19.5" customHeight="1" x14ac:dyDescent="0.25">
      <c r="A79" s="86"/>
      <c r="B79" s="89" t="s">
        <v>459</v>
      </c>
      <c r="C79" s="88">
        <f>SUM(C80:C82)</f>
        <v>0</v>
      </c>
      <c r="D79" s="88">
        <f t="shared" ref="D79:F79" si="28">SUM(D80:D82)</f>
        <v>0</v>
      </c>
      <c r="E79" s="88">
        <f t="shared" si="28"/>
        <v>1651</v>
      </c>
      <c r="F79" s="88">
        <f t="shared" si="28"/>
        <v>1651</v>
      </c>
      <c r="G79" s="71"/>
      <c r="H79" s="71" t="s">
        <v>363</v>
      </c>
      <c r="I79" s="592"/>
      <c r="J79" s="592">
        <v>2</v>
      </c>
      <c r="K79" s="592"/>
      <c r="L79" s="581">
        <f t="shared" si="27"/>
        <v>2</v>
      </c>
    </row>
    <row r="80" spans="1:12" ht="19.5" customHeight="1" x14ac:dyDescent="0.25">
      <c r="A80" s="86"/>
      <c r="B80" s="88" t="s">
        <v>460</v>
      </c>
      <c r="C80" s="88"/>
      <c r="D80" s="88"/>
      <c r="E80" s="88"/>
      <c r="F80" s="88"/>
      <c r="G80" s="71"/>
      <c r="H80" s="71" t="s">
        <v>364</v>
      </c>
      <c r="I80" s="592"/>
      <c r="J80" s="592"/>
      <c r="K80" s="592"/>
      <c r="L80" s="581">
        <f t="shared" si="27"/>
        <v>0</v>
      </c>
    </row>
    <row r="81" spans="1:17" ht="21.75" customHeight="1" x14ac:dyDescent="0.25">
      <c r="A81" s="86"/>
      <c r="B81" s="88" t="s">
        <v>1133</v>
      </c>
      <c r="C81" s="88"/>
      <c r="D81" s="88"/>
      <c r="E81" s="88">
        <v>1651</v>
      </c>
      <c r="F81" s="103">
        <f>E81</f>
        <v>1651</v>
      </c>
      <c r="G81" s="71"/>
      <c r="H81" s="116" t="s">
        <v>365</v>
      </c>
      <c r="I81" s="592">
        <f>SUM(I82:I84)</f>
        <v>52169</v>
      </c>
      <c r="J81" s="592">
        <f>SUM(J82:J84)</f>
        <v>-33</v>
      </c>
      <c r="K81" s="592">
        <f>SUM(K82:K84)</f>
        <v>0</v>
      </c>
      <c r="L81" s="581">
        <f t="shared" si="27"/>
        <v>52136</v>
      </c>
    </row>
    <row r="82" spans="1:17" ht="21.75" customHeight="1" x14ac:dyDescent="0.25">
      <c r="A82" s="86"/>
      <c r="B82" s="88" t="s">
        <v>462</v>
      </c>
      <c r="C82" s="103"/>
      <c r="D82" s="103"/>
      <c r="E82" s="103"/>
      <c r="F82" s="103"/>
      <c r="G82" s="71"/>
      <c r="H82" s="71" t="s">
        <v>1091</v>
      </c>
      <c r="I82" s="592">
        <f>150+83+206+240</f>
        <v>679</v>
      </c>
      <c r="J82" s="592">
        <v>-33</v>
      </c>
      <c r="K82" s="592"/>
      <c r="L82" s="581">
        <f t="shared" si="27"/>
        <v>646</v>
      </c>
    </row>
    <row r="83" spans="1:17" ht="21.75" customHeight="1" x14ac:dyDescent="0.25">
      <c r="A83" s="86"/>
      <c r="B83" s="88"/>
      <c r="C83" s="103"/>
      <c r="D83" s="103"/>
      <c r="E83" s="103"/>
      <c r="F83" s="103"/>
      <c r="G83" s="71"/>
      <c r="H83" s="71" t="s">
        <v>932</v>
      </c>
      <c r="I83" s="592">
        <v>1500</v>
      </c>
      <c r="J83" s="592"/>
      <c r="K83" s="592"/>
      <c r="L83" s="581">
        <f t="shared" si="27"/>
        <v>1500</v>
      </c>
    </row>
    <row r="84" spans="1:17" ht="21.75" customHeight="1" x14ac:dyDescent="0.25">
      <c r="A84" s="86"/>
      <c r="B84" s="88"/>
      <c r="C84" s="103"/>
      <c r="D84" s="103"/>
      <c r="E84" s="103"/>
      <c r="F84" s="103"/>
      <c r="G84" s="71"/>
      <c r="H84" s="71" t="s">
        <v>931</v>
      </c>
      <c r="I84" s="592">
        <v>49990</v>
      </c>
      <c r="J84" s="592"/>
      <c r="K84" s="592"/>
      <c r="L84" s="581">
        <f t="shared" si="27"/>
        <v>49990</v>
      </c>
    </row>
    <row r="85" spans="1:17" ht="19.5" customHeight="1" x14ac:dyDescent="0.25">
      <c r="A85" s="86"/>
      <c r="B85" s="88"/>
      <c r="C85" s="103"/>
      <c r="D85" s="103"/>
      <c r="E85" s="103"/>
      <c r="F85" s="103"/>
      <c r="G85" s="71"/>
      <c r="H85" s="72" t="s">
        <v>360</v>
      </c>
      <c r="I85" s="609">
        <f>I77+I78+I79+I80+I81</f>
        <v>75067.4094488189</v>
      </c>
      <c r="J85" s="609">
        <f>J77+J78+J79+J80+J81</f>
        <v>-672</v>
      </c>
      <c r="K85" s="609">
        <f>K77+K78+K79+K80+K81</f>
        <v>4125</v>
      </c>
      <c r="L85" s="581">
        <f t="shared" si="27"/>
        <v>78520.4094488189</v>
      </c>
    </row>
    <row r="86" spans="1:17" ht="19.5" customHeight="1" x14ac:dyDescent="0.25">
      <c r="A86" s="86"/>
      <c r="C86" s="103"/>
      <c r="D86" s="103"/>
      <c r="E86" s="103"/>
      <c r="F86" s="103"/>
      <c r="G86" s="421" t="s">
        <v>64</v>
      </c>
      <c r="H86" s="414" t="s">
        <v>366</v>
      </c>
      <c r="I86" s="605">
        <f>SUM(I87:I92)</f>
        <v>8185</v>
      </c>
      <c r="J86" s="605">
        <f t="shared" ref="J86:L86" si="29">SUM(J87:J92)</f>
        <v>0</v>
      </c>
      <c r="K86" s="605">
        <f t="shared" ref="K86" si="30">SUM(K87:K92)</f>
        <v>0</v>
      </c>
      <c r="L86" s="580">
        <f t="shared" si="29"/>
        <v>8185</v>
      </c>
    </row>
    <row r="87" spans="1:17" ht="19.5" customHeight="1" x14ac:dyDescent="0.2">
      <c r="A87" s="86"/>
      <c r="B87" s="89"/>
      <c r="C87" s="109"/>
      <c r="D87" s="109"/>
      <c r="E87" s="109"/>
      <c r="F87" s="109"/>
      <c r="G87" s="71"/>
      <c r="H87" s="441" t="s">
        <v>367</v>
      </c>
      <c r="I87" s="592">
        <f>1500+100+1600+800</f>
        <v>4000</v>
      </c>
      <c r="J87" s="592"/>
      <c r="K87" s="592">
        <v>-3922</v>
      </c>
      <c r="L87" s="581">
        <f t="shared" si="27"/>
        <v>78</v>
      </c>
      <c r="M87" s="596"/>
      <c r="N87" s="597"/>
      <c r="O87" s="598"/>
      <c r="P87" s="598"/>
      <c r="Q87" s="596"/>
    </row>
    <row r="88" spans="1:17" ht="19.5" customHeight="1" x14ac:dyDescent="0.2">
      <c r="A88" s="88"/>
      <c r="B88" s="89"/>
      <c r="C88" s="316"/>
      <c r="D88" s="316"/>
      <c r="E88" s="316"/>
      <c r="F88" s="316"/>
      <c r="G88" s="71"/>
      <c r="H88" s="444" t="s">
        <v>368</v>
      </c>
      <c r="I88" s="592"/>
      <c r="J88" s="592"/>
      <c r="K88" s="592"/>
      <c r="L88" s="581">
        <f t="shared" si="27"/>
        <v>0</v>
      </c>
      <c r="M88" s="596"/>
      <c r="N88" s="599"/>
      <c r="O88" s="598"/>
      <c r="P88" s="598"/>
      <c r="Q88" s="596"/>
    </row>
    <row r="89" spans="1:17" ht="19.5" customHeight="1" x14ac:dyDescent="0.2">
      <c r="A89" s="88"/>
      <c r="B89" s="89"/>
      <c r="C89" s="88"/>
      <c r="D89" s="88"/>
      <c r="E89" s="88"/>
      <c r="F89" s="88"/>
      <c r="G89" s="71"/>
      <c r="H89" s="441" t="s">
        <v>369</v>
      </c>
      <c r="I89" s="592"/>
      <c r="J89" s="592"/>
      <c r="K89" s="592"/>
      <c r="L89" s="581">
        <f t="shared" si="27"/>
        <v>0</v>
      </c>
      <c r="M89" s="596"/>
      <c r="N89" s="599"/>
      <c r="O89" s="598"/>
      <c r="P89" s="598"/>
      <c r="Q89" s="596"/>
    </row>
    <row r="90" spans="1:17" ht="19.5" customHeight="1" x14ac:dyDescent="0.2">
      <c r="A90" s="88"/>
      <c r="B90" s="89"/>
      <c r="C90" s="88"/>
      <c r="D90" s="88"/>
      <c r="E90" s="88"/>
      <c r="F90" s="88"/>
      <c r="G90" s="71"/>
      <c r="H90" s="441" t="s">
        <v>370</v>
      </c>
      <c r="I90" s="592">
        <v>1500</v>
      </c>
      <c r="J90" s="592"/>
      <c r="K90" s="592">
        <v>-1462</v>
      </c>
      <c r="L90" s="581">
        <f t="shared" si="27"/>
        <v>38</v>
      </c>
      <c r="M90" s="596"/>
      <c r="N90" s="599"/>
      <c r="O90" s="598"/>
      <c r="P90" s="598"/>
      <c r="Q90" s="596"/>
    </row>
    <row r="91" spans="1:17" ht="19.5" customHeight="1" x14ac:dyDescent="0.2">
      <c r="A91" s="88"/>
      <c r="B91" s="89"/>
      <c r="C91" s="88"/>
      <c r="D91" s="88"/>
      <c r="E91" s="88"/>
      <c r="F91" s="88"/>
      <c r="G91" s="71"/>
      <c r="H91" s="441" t="s">
        <v>371</v>
      </c>
      <c r="I91" s="592"/>
      <c r="J91" s="592">
        <v>210</v>
      </c>
      <c r="K91" s="592">
        <v>210</v>
      </c>
      <c r="L91" s="581">
        <f t="shared" si="27"/>
        <v>420</v>
      </c>
      <c r="M91" s="596"/>
      <c r="N91" s="599"/>
      <c r="O91" s="598"/>
      <c r="P91" s="598"/>
      <c r="Q91" s="596"/>
    </row>
    <row r="92" spans="1:17" ht="19.5" customHeight="1" x14ac:dyDescent="0.2">
      <c r="A92" s="88"/>
      <c r="B92" s="88"/>
      <c r="C92" s="88"/>
      <c r="D92" s="88"/>
      <c r="E92" s="88"/>
      <c r="F92" s="88"/>
      <c r="G92" s="71"/>
      <c r="H92" s="441" t="s">
        <v>372</v>
      </c>
      <c r="I92" s="592">
        <f>360+300+625+50+550+100+150+550</f>
        <v>2685</v>
      </c>
      <c r="J92" s="592">
        <v>-210</v>
      </c>
      <c r="K92" s="592">
        <v>5174</v>
      </c>
      <c r="L92" s="581">
        <f t="shared" si="27"/>
        <v>7649</v>
      </c>
      <c r="M92" s="596"/>
      <c r="N92" s="599"/>
      <c r="O92" s="598"/>
      <c r="P92" s="598"/>
      <c r="Q92" s="596"/>
    </row>
    <row r="93" spans="1:17" ht="19.5" customHeight="1" x14ac:dyDescent="0.2">
      <c r="A93" s="88"/>
      <c r="B93" s="88"/>
      <c r="C93" s="88"/>
      <c r="D93" s="88"/>
      <c r="E93" s="88"/>
      <c r="F93" s="88"/>
      <c r="G93" s="421" t="s">
        <v>100</v>
      </c>
      <c r="H93" s="414" t="s">
        <v>502</v>
      </c>
      <c r="I93" s="605">
        <f>I95+I96+I101+I102+I108</f>
        <v>34125.9</v>
      </c>
      <c r="J93" s="605">
        <f>J95+J96+J101+J102+J108+J94</f>
        <v>20061</v>
      </c>
      <c r="K93" s="605">
        <f>K95+K96+K101+K102+K108+K94</f>
        <v>48272</v>
      </c>
      <c r="L93" s="580">
        <f>L95+L96+L101+L102+L108+L94</f>
        <v>102458.9</v>
      </c>
      <c r="M93" s="596"/>
      <c r="N93" s="599"/>
      <c r="O93" s="598"/>
      <c r="P93" s="598"/>
      <c r="Q93" s="596"/>
    </row>
    <row r="94" spans="1:17" ht="21.75" customHeight="1" x14ac:dyDescent="0.2">
      <c r="A94" s="86"/>
      <c r="B94" s="88"/>
      <c r="C94" s="103"/>
      <c r="D94" s="103"/>
      <c r="E94" s="103"/>
      <c r="F94" s="103"/>
      <c r="G94" s="71"/>
      <c r="H94" s="71" t="s">
        <v>373</v>
      </c>
      <c r="I94" s="609" t="s">
        <v>253</v>
      </c>
      <c r="J94" s="609">
        <f>641+33</f>
        <v>674</v>
      </c>
      <c r="K94" s="609">
        <v>12100</v>
      </c>
      <c r="L94" s="581">
        <f>J94+K94</f>
        <v>12774</v>
      </c>
      <c r="M94" s="596"/>
      <c r="N94" s="600"/>
      <c r="O94" s="598"/>
      <c r="P94" s="598"/>
      <c r="Q94" s="596"/>
    </row>
    <row r="95" spans="1:17" ht="21.75" customHeight="1" x14ac:dyDescent="0.2">
      <c r="A95" s="86"/>
      <c r="B95" s="87"/>
      <c r="C95" s="113"/>
      <c r="D95" s="113"/>
      <c r="E95" s="113"/>
      <c r="F95" s="113"/>
      <c r="G95" s="71"/>
      <c r="H95" s="71" t="s">
        <v>374</v>
      </c>
      <c r="I95" s="610"/>
      <c r="J95" s="610"/>
      <c r="K95" s="610"/>
      <c r="L95" s="581">
        <f t="shared" ref="L95:L106" si="31">I95+J95+K95</f>
        <v>0</v>
      </c>
      <c r="M95" s="596"/>
      <c r="N95" s="600"/>
      <c r="O95" s="598"/>
      <c r="P95" s="598"/>
      <c r="Q95" s="596"/>
    </row>
    <row r="96" spans="1:17" ht="20.25" customHeight="1" x14ac:dyDescent="0.2">
      <c r="A96" s="421" t="s">
        <v>64</v>
      </c>
      <c r="B96" s="414" t="s">
        <v>463</v>
      </c>
      <c r="C96" s="415">
        <f>C101+C102+C108</f>
        <v>0</v>
      </c>
      <c r="D96" s="415">
        <f t="shared" ref="D96" si="32">D101+D102+D108</f>
        <v>0</v>
      </c>
      <c r="E96" s="415">
        <f>E101+E102+E108+E103</f>
        <v>12100</v>
      </c>
      <c r="F96" s="415">
        <f>F101+F102+F108+F103</f>
        <v>12100</v>
      </c>
      <c r="G96" s="71"/>
      <c r="H96" s="71" t="s">
        <v>375</v>
      </c>
      <c r="I96" s="609">
        <f>SUM(I97:I100)</f>
        <v>21598.9</v>
      </c>
      <c r="J96" s="609"/>
      <c r="K96" s="609"/>
      <c r="L96" s="581">
        <f t="shared" si="31"/>
        <v>21598.9</v>
      </c>
      <c r="M96" s="601"/>
      <c r="N96" s="600"/>
      <c r="O96" s="598"/>
      <c r="P96" s="598"/>
      <c r="Q96" s="596"/>
    </row>
    <row r="97" spans="1:14" ht="20.25" customHeight="1" x14ac:dyDescent="0.2">
      <c r="A97" s="86"/>
      <c r="B97" s="87"/>
      <c r="C97" s="113"/>
      <c r="D97" s="113"/>
      <c r="E97" s="113"/>
      <c r="F97" s="113"/>
      <c r="G97" s="71"/>
      <c r="H97" s="71" t="s">
        <v>933</v>
      </c>
      <c r="I97" s="609">
        <v>189</v>
      </c>
      <c r="J97" s="609"/>
      <c r="K97" s="609"/>
      <c r="L97" s="581">
        <f t="shared" si="31"/>
        <v>189</v>
      </c>
      <c r="M97" s="602"/>
      <c r="N97" s="603"/>
    </row>
    <row r="98" spans="1:14" ht="20.25" customHeight="1" x14ac:dyDescent="0.25">
      <c r="A98" s="86"/>
      <c r="B98" s="87"/>
      <c r="C98" s="113"/>
      <c r="D98" s="113"/>
      <c r="E98" s="113"/>
      <c r="F98" s="113"/>
      <c r="G98" s="71"/>
      <c r="H98" s="71" t="s">
        <v>1092</v>
      </c>
      <c r="I98" s="609">
        <f>11899+7121</f>
        <v>19020</v>
      </c>
      <c r="J98" s="609"/>
      <c r="K98" s="609"/>
      <c r="L98" s="581">
        <f t="shared" si="31"/>
        <v>19020</v>
      </c>
    </row>
    <row r="99" spans="1:14" ht="20.25" customHeight="1" x14ac:dyDescent="0.25">
      <c r="A99" s="86"/>
      <c r="B99" s="87"/>
      <c r="C99" s="113"/>
      <c r="D99" s="113"/>
      <c r="E99" s="113"/>
      <c r="F99" s="113"/>
      <c r="G99" s="71"/>
      <c r="H99" s="71" t="s">
        <v>942</v>
      </c>
      <c r="I99" s="609">
        <f>6299*100/1000</f>
        <v>629.9</v>
      </c>
      <c r="J99" s="609"/>
      <c r="K99" s="609"/>
      <c r="L99" s="581">
        <f t="shared" si="31"/>
        <v>629.9</v>
      </c>
    </row>
    <row r="100" spans="1:14" ht="20.25" customHeight="1" x14ac:dyDescent="0.25">
      <c r="A100" s="86"/>
      <c r="B100" s="87"/>
      <c r="C100" s="113"/>
      <c r="D100" s="113"/>
      <c r="E100" s="113"/>
      <c r="F100" s="113"/>
      <c r="G100" s="71"/>
      <c r="H100" s="71" t="s">
        <v>934</v>
      </c>
      <c r="I100" s="609">
        <f>440*4</f>
        <v>1760</v>
      </c>
      <c r="J100" s="609"/>
      <c r="K100" s="609"/>
      <c r="L100" s="581">
        <f t="shared" si="31"/>
        <v>1760</v>
      </c>
    </row>
    <row r="101" spans="1:14" ht="30" x14ac:dyDescent="0.25">
      <c r="A101" s="86"/>
      <c r="B101" s="89" t="s">
        <v>464</v>
      </c>
      <c r="C101" s="103"/>
      <c r="D101" s="103"/>
      <c r="E101" s="103"/>
      <c r="F101" s="103"/>
      <c r="G101" s="71"/>
      <c r="H101" s="71" t="s">
        <v>376</v>
      </c>
      <c r="I101" s="610"/>
      <c r="J101" s="610"/>
      <c r="K101" s="610"/>
      <c r="L101" s="581">
        <f t="shared" si="31"/>
        <v>0</v>
      </c>
    </row>
    <row r="102" spans="1:14" ht="30" x14ac:dyDescent="0.25">
      <c r="A102" s="86"/>
      <c r="B102" s="84" t="s">
        <v>1049</v>
      </c>
      <c r="C102" s="103"/>
      <c r="D102" s="103"/>
      <c r="E102" s="103"/>
      <c r="F102" s="103"/>
      <c r="G102" s="71"/>
      <c r="H102" s="71" t="s">
        <v>1043</v>
      </c>
      <c r="I102" s="609">
        <f>SUM(I103:I107)</f>
        <v>10336</v>
      </c>
      <c r="J102" s="609">
        <f>SUM(J103:J107)</f>
        <v>-600</v>
      </c>
      <c r="K102" s="609">
        <f>SUM(K103:K107)</f>
        <v>29465</v>
      </c>
      <c r="L102" s="581">
        <f>I102+J102+K102</f>
        <v>39201</v>
      </c>
    </row>
    <row r="103" spans="1:14" ht="24.75" customHeight="1" x14ac:dyDescent="0.25">
      <c r="A103" s="86"/>
      <c r="B103" s="84" t="s">
        <v>1119</v>
      </c>
      <c r="C103" s="103"/>
      <c r="D103" s="103"/>
      <c r="E103" s="103">
        <v>12100</v>
      </c>
      <c r="F103" s="103">
        <f>E103</f>
        <v>12100</v>
      </c>
      <c r="G103" s="71"/>
      <c r="H103" s="71" t="s">
        <v>935</v>
      </c>
      <c r="I103" s="609">
        <f>250*12</f>
        <v>3000</v>
      </c>
      <c r="J103" s="609"/>
      <c r="K103" s="609"/>
      <c r="L103" s="581">
        <f t="shared" si="31"/>
        <v>3000</v>
      </c>
    </row>
    <row r="104" spans="1:14" x14ac:dyDescent="0.25">
      <c r="A104" s="86"/>
      <c r="B104" s="84"/>
      <c r="C104" s="103"/>
      <c r="D104" s="103"/>
      <c r="E104" s="103"/>
      <c r="F104" s="103"/>
      <c r="G104" s="71"/>
      <c r="H104" s="71" t="s">
        <v>936</v>
      </c>
      <c r="I104" s="609">
        <v>300</v>
      </c>
      <c r="J104" s="609"/>
      <c r="K104" s="609"/>
      <c r="L104" s="581">
        <f t="shared" si="31"/>
        <v>300</v>
      </c>
    </row>
    <row r="105" spans="1:14" x14ac:dyDescent="0.25">
      <c r="A105" s="86"/>
      <c r="B105" s="84"/>
      <c r="C105" s="103"/>
      <c r="D105" s="103"/>
      <c r="E105" s="103"/>
      <c r="F105" s="103"/>
      <c r="G105" s="71"/>
      <c r="H105" s="71" t="s">
        <v>937</v>
      </c>
      <c r="I105" s="609">
        <v>528</v>
      </c>
      <c r="J105" s="609"/>
      <c r="K105" s="609"/>
      <c r="L105" s="581">
        <f t="shared" si="31"/>
        <v>528</v>
      </c>
    </row>
    <row r="106" spans="1:14" x14ac:dyDescent="0.25">
      <c r="A106" s="86"/>
      <c r="B106" s="84"/>
      <c r="C106" s="103"/>
      <c r="D106" s="103"/>
      <c r="E106" s="103"/>
      <c r="F106" s="103"/>
      <c r="G106" s="71"/>
      <c r="H106" s="71" t="s">
        <v>938</v>
      </c>
      <c r="I106" s="609">
        <f>4000+2000</f>
        <v>6000</v>
      </c>
      <c r="J106" s="609">
        <v>-600</v>
      </c>
      <c r="K106" s="609">
        <f>26870+2595</f>
        <v>29465</v>
      </c>
      <c r="L106" s="581">
        <f t="shared" si="31"/>
        <v>34865</v>
      </c>
    </row>
    <row r="107" spans="1:14" x14ac:dyDescent="0.25">
      <c r="A107" s="86"/>
      <c r="B107" s="84"/>
      <c r="C107" s="103"/>
      <c r="D107" s="103"/>
      <c r="E107" s="103"/>
      <c r="F107" s="103"/>
      <c r="G107" s="71"/>
      <c r="H107" s="71" t="s">
        <v>1040</v>
      </c>
      <c r="I107" s="609">
        <f>40+127+341</f>
        <v>508</v>
      </c>
      <c r="J107" s="609"/>
      <c r="K107" s="609"/>
      <c r="L107" s="581">
        <f t="shared" ref="L107" si="33">I107+J107</f>
        <v>508</v>
      </c>
    </row>
    <row r="108" spans="1:14" ht="20.25" customHeight="1" x14ac:dyDescent="0.25">
      <c r="A108" s="86"/>
      <c r="B108" s="89"/>
      <c r="C108" s="101"/>
      <c r="D108" s="101"/>
      <c r="E108" s="101"/>
      <c r="F108" s="101"/>
      <c r="G108" s="71"/>
      <c r="H108" s="71" t="s">
        <v>1094</v>
      </c>
      <c r="I108" s="592">
        <f>2000+191</f>
        <v>2191</v>
      </c>
      <c r="J108" s="592">
        <v>19987</v>
      </c>
      <c r="K108" s="592">
        <v>6707</v>
      </c>
      <c r="L108" s="581">
        <f>I108+J108+K108</f>
        <v>28885</v>
      </c>
    </row>
    <row r="109" spans="1:14" ht="20.25" customHeight="1" x14ac:dyDescent="0.25">
      <c r="A109" s="689"/>
      <c r="B109" s="690" t="s">
        <v>192</v>
      </c>
      <c r="C109" s="691">
        <f>C110+C123+C131</f>
        <v>540</v>
      </c>
      <c r="D109" s="691">
        <f t="shared" ref="D109:F109" si="34">D110+D123+D131</f>
        <v>0</v>
      </c>
      <c r="E109" s="691">
        <f t="shared" ref="E109" si="35">E110+E123+E131</f>
        <v>20000</v>
      </c>
      <c r="F109" s="691">
        <f t="shared" si="34"/>
        <v>20540</v>
      </c>
      <c r="G109" s="689"/>
      <c r="H109" s="690" t="s">
        <v>200</v>
      </c>
      <c r="I109" s="694">
        <f>I110+I125+I132</f>
        <v>143934</v>
      </c>
      <c r="J109" s="694">
        <f t="shared" ref="J109:K109" si="36">J110+J125+J132</f>
        <v>600</v>
      </c>
      <c r="K109" s="694">
        <f t="shared" si="36"/>
        <v>23660</v>
      </c>
      <c r="L109" s="695">
        <f>L110+L125+L132</f>
        <v>168194</v>
      </c>
    </row>
    <row r="110" spans="1:14" ht="20.25" customHeight="1" x14ac:dyDescent="0.25">
      <c r="A110" s="421" t="s">
        <v>100</v>
      </c>
      <c r="B110" s="414" t="s">
        <v>417</v>
      </c>
      <c r="C110" s="415">
        <f>SUM(C111:C122)</f>
        <v>0</v>
      </c>
      <c r="D110" s="415">
        <f t="shared" ref="D110:F110" si="37">SUM(D111:D122)</f>
        <v>0</v>
      </c>
      <c r="E110" s="415">
        <f t="shared" ref="E110" si="38">SUM(E111:E122)</f>
        <v>0</v>
      </c>
      <c r="F110" s="415">
        <f t="shared" si="37"/>
        <v>0</v>
      </c>
      <c r="G110" s="421" t="s">
        <v>181</v>
      </c>
      <c r="H110" s="414" t="s">
        <v>380</v>
      </c>
      <c r="I110" s="605">
        <f>I111+I112+I118+I119+I122+I123+I124</f>
        <v>87934</v>
      </c>
      <c r="J110" s="605">
        <f t="shared" ref="J110:K110" si="39">J111+J112+J118+J119+J122+J123+J124</f>
        <v>0</v>
      </c>
      <c r="K110" s="605">
        <f t="shared" si="39"/>
        <v>23660</v>
      </c>
      <c r="L110" s="580">
        <f>L111+L112+L118+L119+L122+L123+L124</f>
        <v>111594</v>
      </c>
    </row>
    <row r="111" spans="1:14" ht="20.25" customHeight="1" x14ac:dyDescent="0.25">
      <c r="A111" s="86"/>
      <c r="B111" s="84" t="s">
        <v>418</v>
      </c>
      <c r="C111" s="103"/>
      <c r="D111" s="103"/>
      <c r="E111" s="103"/>
      <c r="F111" s="103"/>
      <c r="G111" s="86"/>
      <c r="H111" s="448" t="s">
        <v>945</v>
      </c>
      <c r="I111" s="592">
        <f>6450+400</f>
        <v>6850</v>
      </c>
      <c r="J111" s="592"/>
      <c r="K111" s="592"/>
      <c r="L111" s="581">
        <f t="shared" ref="L111" si="40">I111+J111</f>
        <v>6850</v>
      </c>
    </row>
    <row r="112" spans="1:14" ht="29.25" customHeight="1" x14ac:dyDescent="0.25">
      <c r="A112" s="86"/>
      <c r="B112" s="84" t="s">
        <v>419</v>
      </c>
      <c r="C112" s="103"/>
      <c r="D112" s="103"/>
      <c r="E112" s="103"/>
      <c r="F112" s="103"/>
      <c r="G112" s="86"/>
      <c r="H112" s="92" t="s">
        <v>379</v>
      </c>
      <c r="I112" s="606">
        <f>SUM(I113:I117)</f>
        <v>62650</v>
      </c>
      <c r="J112" s="606">
        <f>SUM(J113:J117)</f>
        <v>0</v>
      </c>
      <c r="K112" s="606">
        <f>SUM(K113:K117)</f>
        <v>19290</v>
      </c>
      <c r="L112" s="581">
        <f>SUM(L113:L117)</f>
        <v>81940</v>
      </c>
      <c r="N112" s="604"/>
    </row>
    <row r="113" spans="1:15" ht="29.25" customHeight="1" x14ac:dyDescent="0.25">
      <c r="A113" s="86"/>
      <c r="B113" s="84" t="s">
        <v>420</v>
      </c>
      <c r="C113" s="103"/>
      <c r="D113" s="103"/>
      <c r="E113" s="103"/>
      <c r="F113" s="103"/>
      <c r="G113" s="86"/>
      <c r="H113" s="92" t="s">
        <v>939</v>
      </c>
      <c r="I113" s="606">
        <f>10000+3150</f>
        <v>13150</v>
      </c>
      <c r="J113" s="606"/>
      <c r="K113" s="606">
        <f>6790+5723</f>
        <v>12513</v>
      </c>
      <c r="L113" s="581">
        <f>I113+J113+K113</f>
        <v>25663</v>
      </c>
    </row>
    <row r="114" spans="1:15" ht="29.25" customHeight="1" x14ac:dyDescent="0.25">
      <c r="A114" s="86"/>
      <c r="B114" s="84" t="s">
        <v>421</v>
      </c>
      <c r="C114" s="103"/>
      <c r="D114" s="103"/>
      <c r="E114" s="103"/>
      <c r="F114" s="103"/>
      <c r="G114" s="86"/>
      <c r="H114" s="92" t="s">
        <v>1095</v>
      </c>
      <c r="I114" s="606">
        <f>35000+3000</f>
        <v>38000</v>
      </c>
      <c r="J114" s="606"/>
      <c r="K114" s="606"/>
      <c r="L114" s="581">
        <f t="shared" ref="L114:L124" si="41">I114+J114+K114</f>
        <v>38000</v>
      </c>
    </row>
    <row r="115" spans="1:15" ht="29.25" customHeight="1" x14ac:dyDescent="0.25">
      <c r="A115" s="86"/>
      <c r="B115" s="84" t="s">
        <v>422</v>
      </c>
      <c r="C115" s="103"/>
      <c r="D115" s="103"/>
      <c r="E115" s="103"/>
      <c r="F115" s="103"/>
      <c r="G115" s="86"/>
      <c r="H115" s="92" t="s">
        <v>1038</v>
      </c>
      <c r="I115" s="606">
        <v>2500</v>
      </c>
      <c r="J115" s="606"/>
      <c r="K115" s="606"/>
      <c r="L115" s="581">
        <f t="shared" si="41"/>
        <v>2500</v>
      </c>
    </row>
    <row r="116" spans="1:15" ht="29.25" customHeight="1" x14ac:dyDescent="0.25">
      <c r="A116" s="86"/>
      <c r="B116" s="84"/>
      <c r="C116" s="103"/>
      <c r="D116" s="103"/>
      <c r="E116" s="103"/>
      <c r="F116" s="103"/>
      <c r="G116" s="86"/>
      <c r="H116" s="92" t="s">
        <v>1153</v>
      </c>
      <c r="I116" s="606"/>
      <c r="J116" s="606"/>
      <c r="K116" s="606">
        <v>6777</v>
      </c>
      <c r="L116" s="581">
        <f t="shared" si="41"/>
        <v>6777</v>
      </c>
    </row>
    <row r="117" spans="1:15" ht="29.25" customHeight="1" x14ac:dyDescent="0.25">
      <c r="A117" s="86"/>
      <c r="B117" s="84"/>
      <c r="C117" s="103"/>
      <c r="D117" s="103"/>
      <c r="E117" s="103"/>
      <c r="F117" s="103"/>
      <c r="G117" s="86"/>
      <c r="H117" s="92" t="s">
        <v>940</v>
      </c>
      <c r="I117" s="606">
        <f>12000-3000</f>
        <v>9000</v>
      </c>
      <c r="J117" s="606"/>
      <c r="K117" s="606"/>
      <c r="L117" s="581">
        <f t="shared" si="41"/>
        <v>9000</v>
      </c>
    </row>
    <row r="118" spans="1:15" ht="29.25" customHeight="1" x14ac:dyDescent="0.25">
      <c r="A118" s="86"/>
      <c r="B118" s="84"/>
      <c r="C118" s="103"/>
      <c r="D118" s="103"/>
      <c r="E118" s="103"/>
      <c r="F118" s="103"/>
      <c r="G118" s="71"/>
      <c r="H118" s="71" t="s">
        <v>381</v>
      </c>
      <c r="I118" s="611"/>
      <c r="J118" s="611">
        <v>210</v>
      </c>
      <c r="K118" s="611"/>
      <c r="L118" s="581">
        <f t="shared" si="41"/>
        <v>210</v>
      </c>
      <c r="N118" s="445"/>
      <c r="O118" s="445"/>
    </row>
    <row r="119" spans="1:15" ht="29.25" customHeight="1" x14ac:dyDescent="0.25">
      <c r="A119" s="86"/>
      <c r="B119" s="84"/>
      <c r="C119" s="103"/>
      <c r="D119" s="103"/>
      <c r="E119" s="103"/>
      <c r="F119" s="103"/>
      <c r="G119" s="71"/>
      <c r="H119" s="71" t="s">
        <v>1096</v>
      </c>
      <c r="I119" s="611">
        <f>SUM(I120:I121)</f>
        <v>2110</v>
      </c>
      <c r="J119" s="611">
        <f>SUM(J120:J121)</f>
        <v>-210</v>
      </c>
      <c r="K119" s="611">
        <f>SUM(K120:K121)</f>
        <v>2000</v>
      </c>
      <c r="L119" s="581">
        <f t="shared" si="41"/>
        <v>3900</v>
      </c>
      <c r="N119" s="445"/>
      <c r="O119" s="445"/>
    </row>
    <row r="120" spans="1:15" ht="29.25" customHeight="1" x14ac:dyDescent="0.25">
      <c r="A120" s="86"/>
      <c r="B120" s="84"/>
      <c r="C120" s="103"/>
      <c r="D120" s="103"/>
      <c r="E120" s="103"/>
      <c r="F120" s="103"/>
      <c r="G120" s="71"/>
      <c r="H120" s="71" t="s">
        <v>958</v>
      </c>
      <c r="I120" s="611"/>
      <c r="J120" s="611"/>
      <c r="K120" s="611">
        <v>2000</v>
      </c>
      <c r="L120" s="581">
        <f t="shared" si="41"/>
        <v>2000</v>
      </c>
      <c r="N120" s="445"/>
      <c r="O120" s="445"/>
    </row>
    <row r="121" spans="1:15" ht="29.25" customHeight="1" x14ac:dyDescent="0.25">
      <c r="A121" s="86"/>
      <c r="B121" s="84"/>
      <c r="C121" s="103"/>
      <c r="D121" s="103"/>
      <c r="E121" s="103"/>
      <c r="F121" s="103"/>
      <c r="G121" s="71"/>
      <c r="H121" s="71" t="s">
        <v>1098</v>
      </c>
      <c r="I121" s="611">
        <f>210+500+600+800</f>
        <v>2110</v>
      </c>
      <c r="J121" s="611">
        <v>-210</v>
      </c>
      <c r="K121" s="611"/>
      <c r="L121" s="581">
        <f t="shared" si="41"/>
        <v>1900</v>
      </c>
      <c r="N121" s="445"/>
      <c r="O121" s="445"/>
    </row>
    <row r="122" spans="1:15" ht="21" customHeight="1" x14ac:dyDescent="0.25">
      <c r="A122" s="86"/>
      <c r="B122" s="84"/>
      <c r="C122" s="103"/>
      <c r="D122" s="103"/>
      <c r="E122" s="103"/>
      <c r="F122" s="103"/>
      <c r="G122" s="71"/>
      <c r="H122" s="71" t="s">
        <v>383</v>
      </c>
      <c r="I122" s="611"/>
      <c r="J122" s="611"/>
      <c r="K122" s="611"/>
      <c r="L122" s="581">
        <f t="shared" si="41"/>
        <v>0</v>
      </c>
    </row>
    <row r="123" spans="1:15" ht="20.25" customHeight="1" x14ac:dyDescent="0.25">
      <c r="A123" s="421" t="s">
        <v>181</v>
      </c>
      <c r="B123" s="414" t="s">
        <v>423</v>
      </c>
      <c r="C123" s="415">
        <f>SUM(C124:C130)</f>
        <v>540</v>
      </c>
      <c r="D123" s="415">
        <f t="shared" ref="D123:F123" si="42">SUM(D124:D130)</f>
        <v>0</v>
      </c>
      <c r="E123" s="415">
        <f t="shared" ref="E123" si="43">SUM(E124:E130)</f>
        <v>0</v>
      </c>
      <c r="F123" s="415">
        <f t="shared" si="42"/>
        <v>540</v>
      </c>
      <c r="G123" s="71"/>
      <c r="H123" s="71" t="s">
        <v>384</v>
      </c>
      <c r="I123" s="611"/>
      <c r="J123" s="611"/>
      <c r="K123" s="611"/>
      <c r="L123" s="581">
        <f t="shared" si="41"/>
        <v>0</v>
      </c>
      <c r="M123" s="446"/>
    </row>
    <row r="124" spans="1:15" ht="20.25" customHeight="1" x14ac:dyDescent="0.25">
      <c r="A124" s="86"/>
      <c r="B124" s="89" t="s">
        <v>424</v>
      </c>
      <c r="C124" s="103"/>
      <c r="D124" s="103"/>
      <c r="E124" s="103"/>
      <c r="F124" s="103"/>
      <c r="G124" s="71"/>
      <c r="H124" s="71" t="s">
        <v>385</v>
      </c>
      <c r="I124" s="611">
        <v>16324</v>
      </c>
      <c r="J124" s="611"/>
      <c r="K124" s="611">
        <v>2370</v>
      </c>
      <c r="L124" s="581">
        <f t="shared" si="41"/>
        <v>18694</v>
      </c>
      <c r="M124" s="446"/>
    </row>
    <row r="125" spans="1:15" ht="20.25" customHeight="1" x14ac:dyDescent="0.25">
      <c r="A125" s="86"/>
      <c r="B125" s="89" t="s">
        <v>425</v>
      </c>
      <c r="C125" s="103"/>
      <c r="D125" s="103"/>
      <c r="E125" s="103"/>
      <c r="F125" s="103"/>
      <c r="G125" s="421" t="s">
        <v>191</v>
      </c>
      <c r="H125" s="414" t="s">
        <v>386</v>
      </c>
      <c r="I125" s="605">
        <f>I126+I129+I130+I131</f>
        <v>56000</v>
      </c>
      <c r="J125" s="605">
        <f t="shared" ref="J125:L125" si="44">J126+J129+J130+J131</f>
        <v>0</v>
      </c>
      <c r="K125" s="605">
        <f t="shared" ref="K125" si="45">K126+K129+K130+K131</f>
        <v>0</v>
      </c>
      <c r="L125" s="580">
        <f t="shared" si="44"/>
        <v>56000</v>
      </c>
      <c r="M125" s="446"/>
    </row>
    <row r="126" spans="1:15" ht="20.25" customHeight="1" x14ac:dyDescent="0.25">
      <c r="A126" s="86"/>
      <c r="B126" s="89" t="s">
        <v>426</v>
      </c>
      <c r="C126" s="103"/>
      <c r="D126" s="103"/>
      <c r="E126" s="103"/>
      <c r="F126" s="103"/>
      <c r="G126" s="71"/>
      <c r="H126" s="71" t="s">
        <v>387</v>
      </c>
      <c r="I126" s="611">
        <f>SUM(I127:I128)</f>
        <v>33400</v>
      </c>
      <c r="J126" s="611"/>
      <c r="K126" s="611"/>
      <c r="L126" s="581">
        <f t="shared" ref="L126:L131" si="46">I126+J126</f>
        <v>33400</v>
      </c>
    </row>
    <row r="127" spans="1:15" ht="20.25" customHeight="1" x14ac:dyDescent="0.25">
      <c r="A127" s="86"/>
      <c r="B127" s="89"/>
      <c r="C127" s="103"/>
      <c r="D127" s="103"/>
      <c r="E127" s="103"/>
      <c r="F127" s="103"/>
      <c r="G127" s="71"/>
      <c r="H127" s="71" t="s">
        <v>957</v>
      </c>
      <c r="I127" s="611">
        <v>19080</v>
      </c>
      <c r="J127" s="611"/>
      <c r="K127" s="611"/>
      <c r="L127" s="581">
        <f t="shared" si="46"/>
        <v>19080</v>
      </c>
    </row>
    <row r="128" spans="1:15" ht="20.25" customHeight="1" x14ac:dyDescent="0.25">
      <c r="A128" s="86"/>
      <c r="B128" s="89"/>
      <c r="C128" s="103"/>
      <c r="D128" s="103"/>
      <c r="E128" s="103"/>
      <c r="F128" s="103"/>
      <c r="G128" s="71"/>
      <c r="H128" s="92" t="s">
        <v>1099</v>
      </c>
      <c r="I128" s="606">
        <f>2013+1300+11007</f>
        <v>14320</v>
      </c>
      <c r="J128" s="606"/>
      <c r="K128" s="606"/>
      <c r="L128" s="581">
        <f t="shared" si="46"/>
        <v>14320</v>
      </c>
    </row>
    <row r="129" spans="1:14" ht="20.25" customHeight="1" x14ac:dyDescent="0.25">
      <c r="A129" s="86"/>
      <c r="B129" s="89" t="s">
        <v>427</v>
      </c>
      <c r="C129" s="103">
        <v>540</v>
      </c>
      <c r="D129" s="103"/>
      <c r="E129" s="103"/>
      <c r="F129" s="103">
        <f>C129+D129</f>
        <v>540</v>
      </c>
      <c r="G129" s="71"/>
      <c r="H129" s="71" t="s">
        <v>388</v>
      </c>
      <c r="I129" s="611"/>
      <c r="J129" s="611"/>
      <c r="K129" s="611"/>
      <c r="L129" s="581">
        <f t="shared" si="46"/>
        <v>0</v>
      </c>
    </row>
    <row r="130" spans="1:14" ht="20.25" customHeight="1" x14ac:dyDescent="0.25">
      <c r="A130" s="86"/>
      <c r="B130" s="89" t="s">
        <v>428</v>
      </c>
      <c r="C130" s="103"/>
      <c r="D130" s="103"/>
      <c r="E130" s="103"/>
      <c r="F130" s="103"/>
      <c r="G130" s="71"/>
      <c r="H130" s="71" t="s">
        <v>902</v>
      </c>
      <c r="I130" s="612">
        <v>13582</v>
      </c>
      <c r="J130" s="612"/>
      <c r="K130" s="612"/>
      <c r="L130" s="581">
        <f t="shared" si="46"/>
        <v>13582</v>
      </c>
    </row>
    <row r="131" spans="1:14" ht="20.25" customHeight="1" x14ac:dyDescent="0.25">
      <c r="A131" s="421" t="s">
        <v>191</v>
      </c>
      <c r="B131" s="414" t="s">
        <v>429</v>
      </c>
      <c r="C131" s="415">
        <f>C132+C133+C134</f>
        <v>0</v>
      </c>
      <c r="D131" s="415">
        <f t="shared" ref="D131:F131" si="47">D132+D133+D134</f>
        <v>0</v>
      </c>
      <c r="E131" s="415">
        <f t="shared" ref="E131" si="48">E132+E133+E134</f>
        <v>20000</v>
      </c>
      <c r="F131" s="415">
        <f t="shared" si="47"/>
        <v>20000</v>
      </c>
      <c r="G131" s="71"/>
      <c r="H131" s="71" t="s">
        <v>390</v>
      </c>
      <c r="I131" s="612">
        <f>(I126)*0.27</f>
        <v>9018</v>
      </c>
      <c r="J131" s="612"/>
      <c r="K131" s="612"/>
      <c r="L131" s="581">
        <f t="shared" si="46"/>
        <v>9018</v>
      </c>
    </row>
    <row r="132" spans="1:14" ht="29.25" customHeight="1" x14ac:dyDescent="0.25">
      <c r="A132" s="86"/>
      <c r="B132" s="89" t="s">
        <v>430</v>
      </c>
      <c r="C132" s="103"/>
      <c r="D132" s="103"/>
      <c r="E132" s="103"/>
      <c r="F132" s="103"/>
      <c r="G132" s="421" t="s">
        <v>199</v>
      </c>
      <c r="H132" s="414" t="s">
        <v>391</v>
      </c>
      <c r="I132" s="605">
        <f>I133+I134</f>
        <v>0</v>
      </c>
      <c r="J132" s="605">
        <f t="shared" ref="J132:L132" si="49">J133+J134</f>
        <v>600</v>
      </c>
      <c r="K132" s="605">
        <f t="shared" ref="K132" si="50">K133+K134</f>
        <v>0</v>
      </c>
      <c r="L132" s="580">
        <f t="shared" si="49"/>
        <v>600</v>
      </c>
    </row>
    <row r="133" spans="1:14" ht="29.25" customHeight="1" x14ac:dyDescent="0.25">
      <c r="A133" s="86"/>
      <c r="B133" s="84" t="s">
        <v>1050</v>
      </c>
      <c r="C133" s="103"/>
      <c r="D133" s="103"/>
      <c r="E133" s="103"/>
      <c r="F133" s="103"/>
      <c r="G133" s="71"/>
      <c r="H133" s="71" t="s">
        <v>393</v>
      </c>
      <c r="I133" s="611"/>
      <c r="J133" s="611"/>
      <c r="K133" s="611"/>
      <c r="L133" s="585"/>
    </row>
    <row r="134" spans="1:14" ht="21" customHeight="1" x14ac:dyDescent="0.25">
      <c r="A134" s="86"/>
      <c r="B134" s="84" t="s">
        <v>1120</v>
      </c>
      <c r="C134" s="103"/>
      <c r="D134" s="103"/>
      <c r="E134" s="103">
        <v>20000</v>
      </c>
      <c r="F134" s="103">
        <f>E134</f>
        <v>20000</v>
      </c>
      <c r="G134" s="71"/>
      <c r="H134" s="71" t="s">
        <v>901</v>
      </c>
      <c r="I134" s="612"/>
      <c r="J134" s="612">
        <v>600</v>
      </c>
      <c r="K134" s="612"/>
      <c r="L134" s="581">
        <f t="shared" ref="L134" si="51">I134+J134</f>
        <v>600</v>
      </c>
    </row>
    <row r="135" spans="1:14" ht="20.25" customHeight="1" x14ac:dyDescent="0.25">
      <c r="A135" s="689"/>
      <c r="B135" s="690" t="s">
        <v>433</v>
      </c>
      <c r="C135" s="691">
        <f>C147+C158</f>
        <v>162030.51</v>
      </c>
      <c r="D135" s="691">
        <f t="shared" ref="D135" si="52">D147+D158</f>
        <v>24618</v>
      </c>
      <c r="E135" s="691">
        <f>E147+E158</f>
        <v>23731</v>
      </c>
      <c r="F135" s="691">
        <f t="shared" ref="F135" si="53">F147+F158</f>
        <v>210379.51</v>
      </c>
      <c r="G135" s="689"/>
      <c r="H135" s="690" t="s">
        <v>397</v>
      </c>
      <c r="I135" s="694">
        <f>I145+I157</f>
        <v>240540</v>
      </c>
      <c r="J135" s="694">
        <f>J145+J157</f>
        <v>6886</v>
      </c>
      <c r="K135" s="694">
        <f>K145+K157</f>
        <v>11185</v>
      </c>
      <c r="L135" s="695">
        <f>L145+L157</f>
        <v>258611</v>
      </c>
    </row>
    <row r="136" spans="1:14" ht="21" customHeight="1" x14ac:dyDescent="0.25">
      <c r="A136" s="75"/>
      <c r="B136" s="94" t="s">
        <v>1052</v>
      </c>
      <c r="C136" s="103"/>
      <c r="D136" s="103"/>
      <c r="E136" s="103"/>
      <c r="F136" s="103"/>
      <c r="G136" s="75"/>
      <c r="H136" s="94" t="s">
        <v>394</v>
      </c>
      <c r="I136" s="608"/>
      <c r="J136" s="608"/>
      <c r="K136" s="608"/>
      <c r="L136" s="586"/>
    </row>
    <row r="137" spans="1:14" ht="20.25" customHeight="1" x14ac:dyDescent="0.25">
      <c r="A137" s="75"/>
      <c r="B137" s="94" t="s">
        <v>435</v>
      </c>
      <c r="C137" s="103"/>
      <c r="D137" s="103"/>
      <c r="E137" s="103"/>
      <c r="F137" s="103"/>
      <c r="G137" s="75"/>
      <c r="H137" s="94" t="s">
        <v>395</v>
      </c>
      <c r="I137" s="608"/>
      <c r="J137" s="608"/>
      <c r="K137" s="608"/>
      <c r="L137" s="586"/>
    </row>
    <row r="138" spans="1:14" ht="20.25" customHeight="1" x14ac:dyDescent="0.25">
      <c r="A138" s="75"/>
      <c r="B138" s="94" t="s">
        <v>1051</v>
      </c>
      <c r="C138" s="103"/>
      <c r="D138" s="103"/>
      <c r="E138" s="103"/>
      <c r="F138" s="103"/>
      <c r="G138" s="75"/>
      <c r="H138" s="94" t="s">
        <v>396</v>
      </c>
      <c r="I138" s="608"/>
      <c r="J138" s="608"/>
      <c r="K138" s="608"/>
      <c r="L138" s="586"/>
    </row>
    <row r="139" spans="1:14" ht="20.25" customHeight="1" x14ac:dyDescent="0.25">
      <c r="A139" s="75"/>
      <c r="B139" s="95" t="s">
        <v>437</v>
      </c>
      <c r="C139" s="103">
        <f>C136+C137+C138</f>
        <v>0</v>
      </c>
      <c r="D139" s="103">
        <f t="shared" ref="D139:F139" si="54">D136+D137+D138</f>
        <v>0</v>
      </c>
      <c r="E139" s="103">
        <f t="shared" ref="E139" si="55">E136+E137+E138</f>
        <v>0</v>
      </c>
      <c r="F139" s="103">
        <f t="shared" si="54"/>
        <v>0</v>
      </c>
      <c r="G139" s="75"/>
      <c r="H139" s="95" t="s">
        <v>398</v>
      </c>
      <c r="I139" s="608">
        <f>I136+I137+I138</f>
        <v>0</v>
      </c>
      <c r="J139" s="608"/>
      <c r="K139" s="608"/>
      <c r="L139" s="586"/>
    </row>
    <row r="140" spans="1:14" ht="20.25" customHeight="1" x14ac:dyDescent="0.25">
      <c r="A140" s="75"/>
      <c r="B140" s="69" t="s">
        <v>438</v>
      </c>
      <c r="C140" s="103"/>
      <c r="D140" s="103"/>
      <c r="E140" s="103"/>
      <c r="F140" s="103"/>
      <c r="G140" s="75"/>
      <c r="H140" s="94" t="s">
        <v>399</v>
      </c>
      <c r="I140" s="608"/>
      <c r="J140" s="608"/>
      <c r="K140" s="608"/>
      <c r="L140" s="586"/>
    </row>
    <row r="141" spans="1:14" ht="20.25" customHeight="1" x14ac:dyDescent="0.25">
      <c r="A141" s="75"/>
      <c r="B141" s="69" t="s">
        <v>439</v>
      </c>
      <c r="C141" s="103"/>
      <c r="D141" s="103"/>
      <c r="E141" s="103"/>
      <c r="F141" s="103"/>
      <c r="G141" s="75"/>
      <c r="H141" s="94" t="s">
        <v>400</v>
      </c>
      <c r="I141" s="608"/>
      <c r="J141" s="608"/>
      <c r="K141" s="608"/>
      <c r="L141" s="586"/>
    </row>
    <row r="142" spans="1:14" ht="20.25" customHeight="1" x14ac:dyDescent="0.25">
      <c r="A142" s="75"/>
      <c r="B142" s="70" t="s">
        <v>440</v>
      </c>
      <c r="C142" s="103">
        <f>C140+C141</f>
        <v>0</v>
      </c>
      <c r="D142" s="103">
        <f t="shared" ref="D142:F142" si="56">D140+D141</f>
        <v>0</v>
      </c>
      <c r="E142" s="103">
        <f t="shared" ref="E142" si="57">E140+E141</f>
        <v>0</v>
      </c>
      <c r="F142" s="103">
        <f t="shared" si="56"/>
        <v>0</v>
      </c>
      <c r="G142" s="75"/>
      <c r="H142" s="95" t="s">
        <v>401</v>
      </c>
      <c r="I142" s="608">
        <f>I140+I141</f>
        <v>0</v>
      </c>
      <c r="J142" s="608"/>
      <c r="K142" s="608"/>
      <c r="L142" s="586"/>
    </row>
    <row r="143" spans="1:14" ht="20.25" customHeight="1" x14ac:dyDescent="0.25">
      <c r="A143" s="75"/>
      <c r="B143" s="70"/>
      <c r="C143" s="103"/>
      <c r="D143" s="103"/>
      <c r="E143" s="103"/>
      <c r="F143" s="103"/>
      <c r="G143" s="75"/>
      <c r="H143" s="94" t="s">
        <v>1103</v>
      </c>
      <c r="I143" s="608"/>
      <c r="J143" s="608">
        <v>4631</v>
      </c>
      <c r="K143" s="608"/>
      <c r="L143" s="586">
        <f>J143</f>
        <v>4631</v>
      </c>
    </row>
    <row r="144" spans="1:14" ht="20.25" customHeight="1" x14ac:dyDescent="0.25">
      <c r="A144" s="75"/>
      <c r="B144" s="70" t="s">
        <v>441</v>
      </c>
      <c r="C144" s="316">
        <v>108960</v>
      </c>
      <c r="D144" s="316">
        <v>24618</v>
      </c>
      <c r="E144" s="316">
        <f>23731-96929</f>
        <v>-73198</v>
      </c>
      <c r="F144" s="103">
        <f>C144+D144+E144</f>
        <v>60380</v>
      </c>
      <c r="G144" s="75"/>
      <c r="H144" s="95" t="s">
        <v>773</v>
      </c>
      <c r="I144" s="612">
        <f>'3. 2016. hivatal'!C83+'4. 2016. műv.ház'!C83+'5. 2016. forrás'!C83+'6. 2016. szociális'!C83</f>
        <v>230766</v>
      </c>
      <c r="J144" s="612">
        <f>1068+975+212</f>
        <v>2255</v>
      </c>
      <c r="K144" s="612">
        <v>11185</v>
      </c>
      <c r="L144" s="316">
        <f>'3. 2016. hivatal'!F83+'4. 2016. műv.ház'!F83+'5. 2016. forrás'!F83+'6. 2016. szociális'!F83+'19. 2016. bölcsőde'!F83</f>
        <v>244206</v>
      </c>
      <c r="M144" s="594">
        <f>'3. 2016. hivatal'!E83+'4. 2016. műv.ház'!E83+'5. 2016. forrás'!E83+'6. 2016. szociális'!E83+'19. 2016. bölcsőde'!E83</f>
        <v>11185</v>
      </c>
      <c r="N144" s="578">
        <f>I144+J144-L144</f>
        <v>-11185</v>
      </c>
    </row>
    <row r="145" spans="1:12" ht="20.25" customHeight="1" x14ac:dyDescent="0.25">
      <c r="A145" s="75"/>
      <c r="B145" s="70" t="s">
        <v>442</v>
      </c>
      <c r="C145" s="103"/>
      <c r="D145" s="103"/>
      <c r="E145" s="103"/>
      <c r="F145" s="103"/>
      <c r="G145" s="75"/>
      <c r="H145" s="75" t="s">
        <v>403</v>
      </c>
      <c r="I145" s="613">
        <f>I139+I142+I143+I144</f>
        <v>230766</v>
      </c>
      <c r="J145" s="613">
        <f t="shared" ref="J145:L145" si="58">J139+J142+J143+J144</f>
        <v>6886</v>
      </c>
      <c r="K145" s="613">
        <f t="shared" ref="K145" si="59">K139+K142+K143+K144</f>
        <v>11185</v>
      </c>
      <c r="L145" s="587">
        <f t="shared" si="58"/>
        <v>248837</v>
      </c>
    </row>
    <row r="146" spans="1:12" ht="20.25" customHeight="1" x14ac:dyDescent="0.25">
      <c r="A146" s="75"/>
      <c r="B146" s="70" t="s">
        <v>1131</v>
      </c>
      <c r="C146" s="103"/>
      <c r="D146" s="103"/>
      <c r="E146" s="103">
        <v>150000</v>
      </c>
      <c r="F146" s="103">
        <f t="shared" ref="F146" si="60">C146+D146+E146</f>
        <v>150000</v>
      </c>
      <c r="G146" s="75"/>
      <c r="H146" s="75"/>
      <c r="I146" s="613"/>
      <c r="J146" s="613"/>
      <c r="K146" s="613"/>
      <c r="L146" s="587"/>
    </row>
    <row r="147" spans="1:12" ht="20.25" customHeight="1" x14ac:dyDescent="0.25">
      <c r="A147" s="75"/>
      <c r="B147" s="80" t="s">
        <v>443</v>
      </c>
      <c r="C147" s="113">
        <f>C139+C142+C144+C145+C146</f>
        <v>108960</v>
      </c>
      <c r="D147" s="113">
        <f t="shared" ref="D147:F147" si="61">D139+D142+D144+D145+D146</f>
        <v>24618</v>
      </c>
      <c r="E147" s="113">
        <f t="shared" si="61"/>
        <v>76802</v>
      </c>
      <c r="F147" s="113">
        <f t="shared" si="61"/>
        <v>210380</v>
      </c>
      <c r="G147" s="75"/>
      <c r="H147" s="95"/>
      <c r="I147" s="608"/>
      <c r="J147" s="608"/>
      <c r="K147" s="608"/>
      <c r="L147" s="586"/>
    </row>
    <row r="148" spans="1:12" ht="20.25" customHeight="1" x14ac:dyDescent="0.25">
      <c r="A148" s="90"/>
      <c r="B148" s="79"/>
      <c r="C148" s="104"/>
      <c r="D148" s="104"/>
      <c r="E148" s="104"/>
      <c r="F148" s="104"/>
      <c r="G148" s="90"/>
      <c r="H148" s="90"/>
      <c r="I148" s="614"/>
      <c r="J148" s="614"/>
      <c r="K148" s="614"/>
      <c r="L148" s="588"/>
    </row>
    <row r="149" spans="1:12" ht="20.25" customHeight="1" x14ac:dyDescent="0.25">
      <c r="A149" s="75"/>
      <c r="B149" s="94" t="s">
        <v>434</v>
      </c>
      <c r="C149" s="103"/>
      <c r="D149" s="103"/>
      <c r="E149" s="103"/>
      <c r="F149" s="103"/>
      <c r="G149" s="75"/>
      <c r="H149" s="94" t="s">
        <v>394</v>
      </c>
      <c r="I149" s="608"/>
      <c r="J149" s="608"/>
      <c r="K149" s="608"/>
      <c r="L149" s="586"/>
    </row>
    <row r="150" spans="1:12" ht="20.25" customHeight="1" x14ac:dyDescent="0.25">
      <c r="A150" s="75"/>
      <c r="B150" s="94" t="s">
        <v>435</v>
      </c>
      <c r="C150" s="103"/>
      <c r="D150" s="103"/>
      <c r="E150" s="103"/>
      <c r="F150" s="103"/>
      <c r="G150" s="75"/>
      <c r="H150" s="94" t="s">
        <v>395</v>
      </c>
      <c r="I150" s="608"/>
      <c r="J150" s="608"/>
      <c r="K150" s="608"/>
      <c r="L150" s="586"/>
    </row>
    <row r="151" spans="1:12" ht="20.25" customHeight="1" x14ac:dyDescent="0.25">
      <c r="A151" s="75"/>
      <c r="B151" s="94" t="s">
        <v>436</v>
      </c>
      <c r="C151" s="103"/>
      <c r="D151" s="103"/>
      <c r="E151" s="103"/>
      <c r="F151" s="103"/>
      <c r="G151" s="75"/>
      <c r="H151" s="94" t="s">
        <v>396</v>
      </c>
      <c r="I151" s="608"/>
      <c r="J151" s="608"/>
      <c r="K151" s="608"/>
      <c r="L151" s="586"/>
    </row>
    <row r="152" spans="1:12" ht="20.25" customHeight="1" x14ac:dyDescent="0.25">
      <c r="A152" s="75"/>
      <c r="B152" s="95" t="s">
        <v>437</v>
      </c>
      <c r="C152" s="103">
        <f>C149+C150+C151</f>
        <v>0</v>
      </c>
      <c r="D152" s="103">
        <f t="shared" ref="D152:F152" si="62">D149+D150+D151</f>
        <v>0</v>
      </c>
      <c r="E152" s="103">
        <f t="shared" ref="E152" si="63">E149+E150+E151</f>
        <v>0</v>
      </c>
      <c r="F152" s="103">
        <f t="shared" si="62"/>
        <v>0</v>
      </c>
      <c r="G152" s="75"/>
      <c r="H152" s="95" t="s">
        <v>398</v>
      </c>
      <c r="I152" s="608">
        <f>I149+I150+I151</f>
        <v>0</v>
      </c>
      <c r="J152" s="608"/>
      <c r="K152" s="608"/>
      <c r="L152" s="586"/>
    </row>
    <row r="153" spans="1:12" ht="20.25" customHeight="1" x14ac:dyDescent="0.25">
      <c r="A153" s="75"/>
      <c r="B153" s="69" t="s">
        <v>438</v>
      </c>
      <c r="C153" s="103"/>
      <c r="D153" s="103"/>
      <c r="E153" s="103"/>
      <c r="F153" s="103"/>
      <c r="G153" s="75"/>
      <c r="H153" s="94" t="s">
        <v>399</v>
      </c>
      <c r="I153" s="608"/>
      <c r="J153" s="608"/>
      <c r="K153" s="608"/>
      <c r="L153" s="586"/>
    </row>
    <row r="154" spans="1:12" ht="20.25" customHeight="1" x14ac:dyDescent="0.25">
      <c r="A154" s="75"/>
      <c r="B154" s="69" t="s">
        <v>439</v>
      </c>
      <c r="C154" s="103"/>
      <c r="D154" s="103"/>
      <c r="E154" s="103"/>
      <c r="F154" s="103"/>
      <c r="G154" s="75"/>
      <c r="H154" s="94" t="s">
        <v>400</v>
      </c>
      <c r="I154" s="608"/>
      <c r="J154" s="608"/>
      <c r="K154" s="608"/>
      <c r="L154" s="586"/>
    </row>
    <row r="155" spans="1:12" ht="20.25" customHeight="1" x14ac:dyDescent="0.25">
      <c r="A155" s="75"/>
      <c r="B155" s="70" t="s">
        <v>440</v>
      </c>
      <c r="C155" s="103">
        <f>C153+C154</f>
        <v>0</v>
      </c>
      <c r="D155" s="103">
        <f t="shared" ref="D155:F155" si="64">D153+D154</f>
        <v>0</v>
      </c>
      <c r="E155" s="103">
        <f t="shared" ref="E155" si="65">E153+E154</f>
        <v>0</v>
      </c>
      <c r="F155" s="103">
        <f t="shared" si="64"/>
        <v>0</v>
      </c>
      <c r="G155" s="75"/>
      <c r="H155" s="95" t="s">
        <v>401</v>
      </c>
      <c r="I155" s="608">
        <f>I153+I154</f>
        <v>0</v>
      </c>
      <c r="J155" s="608"/>
      <c r="K155" s="608"/>
      <c r="L155" s="586"/>
    </row>
    <row r="156" spans="1:12" ht="20.25" customHeight="1" x14ac:dyDescent="0.25">
      <c r="A156" s="75"/>
      <c r="B156" s="70" t="s">
        <v>444</v>
      </c>
      <c r="C156" s="316">
        <f>20597+3635+13582+(6850+3150+2013)*127%</f>
        <v>53070.51</v>
      </c>
      <c r="D156" s="316"/>
      <c r="E156" s="316">
        <v>-53071</v>
      </c>
      <c r="F156" s="103">
        <f>C156+D156+E156</f>
        <v>-0.48999999999796273</v>
      </c>
      <c r="G156" s="75"/>
      <c r="H156" s="95" t="s">
        <v>774</v>
      </c>
      <c r="I156" s="612">
        <f>'3. 2016. hivatal'!C94+'4. 2016. műv.ház'!C94+'5. 2016. forrás'!C94+'6. 2016. szociális'!C94</f>
        <v>9774</v>
      </c>
      <c r="J156" s="612">
        <f>'3. 2016. hivatal'!D94+'4. 2016. műv.ház'!D94+'5. 2016. forrás'!D94+'6. 2016. szociális'!D94</f>
        <v>0</v>
      </c>
      <c r="K156" s="612">
        <f>'3. 2016. hivatal'!E94+'4. 2016. műv.ház'!E94+'5. 2016. forrás'!E94+'6. 2016. szociális'!E94</f>
        <v>0</v>
      </c>
      <c r="L156" s="316">
        <f>'3. 2016. hivatal'!F94+'4. 2016. műv.ház'!F94+'5. 2016. forrás'!F94+'6. 2016. szociális'!F94</f>
        <v>9774</v>
      </c>
    </row>
    <row r="157" spans="1:12" ht="20.25" customHeight="1" x14ac:dyDescent="0.25">
      <c r="A157" s="75"/>
      <c r="B157" s="70" t="s">
        <v>442</v>
      </c>
      <c r="C157" s="103"/>
      <c r="D157" s="103"/>
      <c r="E157" s="103"/>
      <c r="F157" s="103"/>
      <c r="G157" s="75"/>
      <c r="H157" s="75" t="s">
        <v>404</v>
      </c>
      <c r="I157" s="613">
        <f>I152+I155+I156</f>
        <v>9774</v>
      </c>
      <c r="J157" s="613">
        <f t="shared" ref="J157:L157" si="66">J152+J155+J156</f>
        <v>0</v>
      </c>
      <c r="K157" s="613">
        <f t="shared" ref="K157" si="67">K152+K155+K156</f>
        <v>0</v>
      </c>
      <c r="L157" s="587">
        <f t="shared" si="66"/>
        <v>9774</v>
      </c>
    </row>
    <row r="158" spans="1:12" ht="20.25" customHeight="1" x14ac:dyDescent="0.25">
      <c r="A158" s="110"/>
      <c r="B158" s="80" t="s">
        <v>445</v>
      </c>
      <c r="C158" s="113">
        <f>C152+C155+C156+C157</f>
        <v>53070.51</v>
      </c>
      <c r="D158" s="113">
        <f t="shared" ref="D158:F158" si="68">D152+D155+D156+D157</f>
        <v>0</v>
      </c>
      <c r="E158" s="113">
        <f t="shared" ref="E158" si="69">E152+E155+E156+E157</f>
        <v>-53071</v>
      </c>
      <c r="F158" s="113">
        <f t="shared" si="68"/>
        <v>-0.48999999999796273</v>
      </c>
      <c r="G158" s="110"/>
      <c r="H158" s="95"/>
      <c r="I158" s="608"/>
      <c r="J158" s="608"/>
      <c r="K158" s="608"/>
      <c r="L158" s="586"/>
    </row>
    <row r="159" spans="1:12" ht="20.25" customHeight="1" x14ac:dyDescent="0.25">
      <c r="A159" s="740" t="s">
        <v>143</v>
      </c>
      <c r="B159" s="741"/>
      <c r="C159" s="428">
        <f>C2+C109+C135</f>
        <v>606786.51</v>
      </c>
      <c r="D159" s="428">
        <f t="shared" ref="D159" si="70">D2+D109+D135</f>
        <v>36181</v>
      </c>
      <c r="E159" s="428">
        <f>E2+E109+E135</f>
        <v>97742</v>
      </c>
      <c r="F159" s="428">
        <f>F2+F109+F135</f>
        <v>740709.51</v>
      </c>
      <c r="G159" s="740" t="s">
        <v>144</v>
      </c>
      <c r="H159" s="741"/>
      <c r="I159" s="593">
        <f>I2+I109+I135</f>
        <v>606786.58944881894</v>
      </c>
      <c r="J159" s="593">
        <f>J2+J109+J135</f>
        <v>36181</v>
      </c>
      <c r="K159" s="593">
        <f>K2+K109+K135</f>
        <v>97742</v>
      </c>
      <c r="L159" s="428">
        <f>L2+L109+L135</f>
        <v>740709.58944881894</v>
      </c>
    </row>
    <row r="160" spans="1:12" x14ac:dyDescent="0.25">
      <c r="L160" s="620"/>
    </row>
    <row r="161" spans="3:12" x14ac:dyDescent="0.25">
      <c r="I161" s="589"/>
      <c r="J161" s="589"/>
      <c r="K161" s="589"/>
      <c r="L161" s="589"/>
    </row>
    <row r="162" spans="3:12" x14ac:dyDescent="0.25">
      <c r="E162" s="117"/>
      <c r="I162" s="589">
        <f>C159-I159</f>
        <v>-7.9448818927630782E-2</v>
      </c>
      <c r="J162" s="589">
        <f>D159-J159</f>
        <v>0</v>
      </c>
      <c r="K162" s="589">
        <f>E159-K159</f>
        <v>0</v>
      </c>
      <c r="L162" s="589">
        <f>F159-L159</f>
        <v>-7.9448818927630782E-2</v>
      </c>
    </row>
    <row r="163" spans="3:12" x14ac:dyDescent="0.25">
      <c r="I163" s="590"/>
      <c r="J163" s="590"/>
      <c r="K163" s="590"/>
      <c r="L163" s="590"/>
    </row>
    <row r="164" spans="3:12" x14ac:dyDescent="0.25">
      <c r="I164" s="615"/>
      <c r="J164" s="615"/>
      <c r="K164" s="615"/>
      <c r="L164" s="615"/>
    </row>
    <row r="166" spans="3:12" x14ac:dyDescent="0.25">
      <c r="C166" s="117"/>
      <c r="D166" s="117"/>
      <c r="E166" s="117"/>
      <c r="F166" s="117"/>
    </row>
    <row r="168" spans="3:12" x14ac:dyDescent="0.25">
      <c r="I168" s="616"/>
      <c r="J168" s="616"/>
      <c r="K168" s="616"/>
      <c r="L168" s="616"/>
    </row>
    <row r="169" spans="3:12" x14ac:dyDescent="0.25">
      <c r="C169" s="117"/>
      <c r="D169" s="117"/>
      <c r="E169" s="117"/>
      <c r="F169" s="117"/>
      <c r="I169" s="616"/>
      <c r="J169" s="616"/>
      <c r="K169" s="616"/>
      <c r="L169" s="616"/>
    </row>
    <row r="170" spans="3:12" x14ac:dyDescent="0.25">
      <c r="I170" s="616"/>
      <c r="J170" s="616"/>
      <c r="K170" s="616"/>
      <c r="L170" s="616"/>
    </row>
  </sheetData>
  <mergeCells count="2">
    <mergeCell ref="A159:B159"/>
    <mergeCell ref="G159:H15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&amp;CTaksony Nagyközség Önkormányzat 2016. évi költségvetés 
2. sz. módosítás&amp;R2.a.sz. melléklet</oddHeader>
    <oddFooter xml:space="preserve">&amp;LKészült: &amp;D
&amp;C&amp;P&amp;R/:Kreisz László://:Dr.Micheller Anita:/       </oddFooter>
  </headerFooter>
  <rowBreaks count="2" manualBreakCount="2">
    <brk id="57" max="9" man="1"/>
    <brk id="108" max="9" man="1"/>
  </rowBreaks>
  <colBreaks count="1" manualBreakCount="1">
    <brk id="6" max="15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L98"/>
  <sheetViews>
    <sheetView view="pageBreakPreview" zoomScale="70" zoomScaleNormal="70" zoomScaleSheetLayoutView="70" workbookViewId="0">
      <selection activeCell="F97" sqref="F97"/>
    </sheetView>
  </sheetViews>
  <sheetFormatPr defaultRowHeight="15" x14ac:dyDescent="0.25"/>
  <cols>
    <col min="1" max="1" width="6.7109375" style="21" customWidth="1"/>
    <col min="2" max="2" width="71.5703125" style="21" customWidth="1"/>
    <col min="3" max="6" width="20.85546875" style="21" customWidth="1"/>
    <col min="7" max="7" width="6.7109375" style="21" customWidth="1"/>
    <col min="8" max="8" width="64.28515625" style="21" customWidth="1"/>
    <col min="9" max="12" width="20.7109375" style="21" customWidth="1"/>
    <col min="13" max="16384" width="9.140625" style="21"/>
  </cols>
  <sheetData>
    <row r="1" spans="1:12" ht="40.5" customHeight="1" x14ac:dyDescent="0.25">
      <c r="A1" s="76"/>
      <c r="B1" s="77" t="s">
        <v>509</v>
      </c>
      <c r="C1" s="76" t="s">
        <v>1101</v>
      </c>
      <c r="D1" s="76" t="s">
        <v>1106</v>
      </c>
      <c r="E1" s="657" t="s">
        <v>1110</v>
      </c>
      <c r="F1" s="76" t="s">
        <v>1102</v>
      </c>
      <c r="G1" s="76"/>
      <c r="H1" s="77" t="s">
        <v>510</v>
      </c>
      <c r="I1" s="76" t="s">
        <v>1101</v>
      </c>
      <c r="J1" s="76" t="s">
        <v>1106</v>
      </c>
      <c r="K1" s="657" t="s">
        <v>1110</v>
      </c>
      <c r="L1" s="76" t="s">
        <v>1102</v>
      </c>
    </row>
    <row r="2" spans="1:12" ht="20.25" customHeight="1" x14ac:dyDescent="0.25">
      <c r="A2" s="418"/>
      <c r="B2" s="419" t="s">
        <v>180</v>
      </c>
      <c r="C2" s="420">
        <f>C3+C18+C25+C36</f>
        <v>9790.43</v>
      </c>
      <c r="D2" s="420">
        <f t="shared" ref="D2:F2" si="0">D3+D18+D25+D36</f>
        <v>0</v>
      </c>
      <c r="E2" s="420">
        <f t="shared" ref="E2" si="1">E3+E18+E25+E36</f>
        <v>-5525</v>
      </c>
      <c r="F2" s="420">
        <f t="shared" si="0"/>
        <v>4265.43</v>
      </c>
      <c r="G2" s="418"/>
      <c r="H2" s="419" t="s">
        <v>196</v>
      </c>
      <c r="I2" s="420">
        <f>I3+I7+I18+I25+I36</f>
        <v>111695.6086796</v>
      </c>
      <c r="J2" s="420">
        <f t="shared" ref="J2:L2" si="2">J3+J7+J18+J25+J36</f>
        <v>212</v>
      </c>
      <c r="K2" s="420">
        <f t="shared" ref="K2" si="3">K3+K7+K18+K25+K36</f>
        <v>0</v>
      </c>
      <c r="L2" s="420">
        <f t="shared" si="2"/>
        <v>111907.6086796</v>
      </c>
    </row>
    <row r="3" spans="1:12" ht="20.25" customHeight="1" x14ac:dyDescent="0.25">
      <c r="A3" s="421" t="s">
        <v>23</v>
      </c>
      <c r="B3" s="422" t="s">
        <v>312</v>
      </c>
      <c r="C3" s="423">
        <f>C4+C12+C13+C14+C15+C16</f>
        <v>0</v>
      </c>
      <c r="D3" s="423">
        <f t="shared" ref="D3:F3" si="4">D4+D12+D13+D14+D15+D16</f>
        <v>0</v>
      </c>
      <c r="E3" s="423">
        <f t="shared" ref="E3" si="5">E4+E12+E13+E14+E15+E16</f>
        <v>0</v>
      </c>
      <c r="F3" s="423">
        <f t="shared" si="4"/>
        <v>0</v>
      </c>
      <c r="G3" s="421" t="s">
        <v>23</v>
      </c>
      <c r="H3" s="414" t="s">
        <v>213</v>
      </c>
      <c r="I3" s="415">
        <f>SUM(I4:I5)</f>
        <v>73168</v>
      </c>
      <c r="J3" s="415">
        <f t="shared" ref="J3:L3" si="6">SUM(J4:J5)</f>
        <v>167</v>
      </c>
      <c r="K3" s="415">
        <f t="shared" ref="K3" si="7">SUM(K4:K5)</f>
        <v>0</v>
      </c>
      <c r="L3" s="415">
        <f t="shared" si="6"/>
        <v>73335</v>
      </c>
    </row>
    <row r="4" spans="1:12" ht="20.25" customHeight="1" x14ac:dyDescent="0.25">
      <c r="A4" s="70"/>
      <c r="B4" s="111" t="s">
        <v>247</v>
      </c>
      <c r="C4" s="109">
        <f>SUM(C5:C8)</f>
        <v>0</v>
      </c>
      <c r="D4" s="109">
        <f t="shared" ref="D4:F4" si="8">SUM(D5:D8)</f>
        <v>0</v>
      </c>
      <c r="E4" s="109">
        <f t="shared" ref="E4" si="9">SUM(E5:E8)</f>
        <v>0</v>
      </c>
      <c r="F4" s="109">
        <f t="shared" si="8"/>
        <v>0</v>
      </c>
      <c r="G4" s="80"/>
      <c r="H4" s="69" t="s">
        <v>507</v>
      </c>
      <c r="I4" s="97">
        <f>'3.a hivatal részletes'!I12</f>
        <v>70968</v>
      </c>
      <c r="J4" s="97">
        <f>'3.a hivatal részletes'!J12</f>
        <v>167</v>
      </c>
      <c r="K4" s="97">
        <f>'3.a hivatal részletes'!K12</f>
        <v>0</v>
      </c>
      <c r="L4" s="97">
        <f>'3.a hivatal részletes'!L12</f>
        <v>71135</v>
      </c>
    </row>
    <row r="5" spans="1:12" ht="24" customHeight="1" x14ac:dyDescent="0.25">
      <c r="A5" s="80"/>
      <c r="B5" s="84" t="s">
        <v>248</v>
      </c>
      <c r="C5" s="109">
        <f>'3.a hivatal részletes'!C5</f>
        <v>0</v>
      </c>
      <c r="D5" s="109">
        <f>'3.a hivatal részletes'!D5</f>
        <v>0</v>
      </c>
      <c r="E5" s="109">
        <f>'3.a hivatal részletes'!E5</f>
        <v>0</v>
      </c>
      <c r="F5" s="109">
        <f>'3.a hivatal részletes'!F5</f>
        <v>0</v>
      </c>
      <c r="G5" s="80"/>
      <c r="H5" s="69" t="s">
        <v>508</v>
      </c>
      <c r="I5" s="97">
        <f>'3.a hivatal részletes'!I16</f>
        <v>2200</v>
      </c>
      <c r="J5" s="97">
        <f>'3.a hivatal részletes'!J16</f>
        <v>0</v>
      </c>
      <c r="K5" s="97">
        <f>'3.a hivatal részletes'!K16</f>
        <v>0</v>
      </c>
      <c r="L5" s="97">
        <f>'3.a hivatal részletes'!L16</f>
        <v>2200</v>
      </c>
    </row>
    <row r="6" spans="1:12" ht="24" customHeight="1" x14ac:dyDescent="0.25">
      <c r="A6" s="80"/>
      <c r="B6" s="84" t="s">
        <v>249</v>
      </c>
      <c r="C6" s="109"/>
      <c r="D6" s="109"/>
      <c r="E6" s="109"/>
      <c r="F6" s="109"/>
      <c r="G6" s="80"/>
      <c r="H6" s="69"/>
      <c r="I6" s="97"/>
      <c r="J6" s="97"/>
      <c r="K6" s="97"/>
      <c r="L6" s="97"/>
    </row>
    <row r="7" spans="1:12" ht="22.5" customHeight="1" x14ac:dyDescent="0.25">
      <c r="A7" s="80"/>
      <c r="B7" s="84" t="s">
        <v>250</v>
      </c>
      <c r="C7" s="109"/>
      <c r="D7" s="109"/>
      <c r="E7" s="109"/>
      <c r="F7" s="109"/>
      <c r="G7" s="421" t="s">
        <v>45</v>
      </c>
      <c r="H7" s="422" t="s">
        <v>214</v>
      </c>
      <c r="I7" s="423">
        <f>'3.a hivatal részletes'!I17</f>
        <v>20343.158021600004</v>
      </c>
      <c r="J7" s="423">
        <f>'3.a hivatal részletes'!J17</f>
        <v>45</v>
      </c>
      <c r="K7" s="423">
        <f>'3.a hivatal részletes'!K17</f>
        <v>0</v>
      </c>
      <c r="L7" s="423">
        <f>'3.a hivatal részletes'!L17</f>
        <v>20388.158021600004</v>
      </c>
    </row>
    <row r="8" spans="1:12" ht="22.5" customHeight="1" x14ac:dyDescent="0.25">
      <c r="A8" s="80"/>
      <c r="B8" s="84" t="s">
        <v>251</v>
      </c>
      <c r="C8" s="109"/>
      <c r="D8" s="109"/>
      <c r="E8" s="109"/>
      <c r="F8" s="109"/>
      <c r="G8" s="80"/>
      <c r="H8" s="69"/>
      <c r="I8" s="97"/>
      <c r="J8" s="97"/>
      <c r="K8" s="97"/>
      <c r="L8" s="97"/>
    </row>
    <row r="9" spans="1:12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0"/>
      <c r="H9" s="69"/>
      <c r="I9" s="97"/>
      <c r="J9" s="97"/>
      <c r="K9" s="97"/>
      <c r="L9" s="97"/>
    </row>
    <row r="10" spans="1:12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5"/>
      <c r="H10" s="69"/>
      <c r="I10" s="98"/>
      <c r="J10" s="98"/>
      <c r="K10" s="98"/>
      <c r="L10" s="98"/>
    </row>
    <row r="11" spans="1:12" ht="20.25" customHeight="1" x14ac:dyDescent="0.25">
      <c r="A11" s="80"/>
      <c r="B11" s="115"/>
      <c r="C11" s="88"/>
      <c r="D11" s="88"/>
      <c r="E11" s="88"/>
      <c r="F11" s="88"/>
      <c r="G11" s="85"/>
      <c r="H11" s="69"/>
      <c r="I11" s="99"/>
      <c r="J11" s="99"/>
      <c r="K11" s="99"/>
      <c r="L11" s="99"/>
    </row>
    <row r="12" spans="1:12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7"/>
      <c r="J12" s="107"/>
      <c r="K12" s="107"/>
      <c r="L12" s="107"/>
    </row>
    <row r="13" spans="1:12" ht="30" x14ac:dyDescent="0.25">
      <c r="A13" s="70"/>
      <c r="B13" s="84" t="s">
        <v>256</v>
      </c>
      <c r="C13" s="109"/>
      <c r="D13" s="109"/>
      <c r="E13" s="109"/>
      <c r="F13" s="109"/>
      <c r="G13" s="85"/>
      <c r="H13" s="69"/>
      <c r="I13" s="99"/>
      <c r="J13" s="99"/>
      <c r="K13" s="99"/>
      <c r="L13" s="99"/>
    </row>
    <row r="14" spans="1:12" ht="29.25" customHeight="1" x14ac:dyDescent="0.25">
      <c r="A14" s="70"/>
      <c r="B14" s="84" t="s">
        <v>257</v>
      </c>
      <c r="C14" s="109"/>
      <c r="D14" s="109"/>
      <c r="E14" s="109"/>
      <c r="F14" s="109"/>
      <c r="G14" s="85"/>
      <c r="H14" s="69"/>
      <c r="I14" s="99"/>
      <c r="J14" s="99"/>
      <c r="K14" s="99"/>
      <c r="L14" s="99"/>
    </row>
    <row r="15" spans="1:12" ht="29.25" customHeight="1" x14ac:dyDescent="0.25">
      <c r="A15" s="70"/>
      <c r="B15" s="84" t="s">
        <v>258</v>
      </c>
      <c r="C15" s="109"/>
      <c r="D15" s="109"/>
      <c r="E15" s="109"/>
      <c r="F15" s="109"/>
      <c r="G15" s="85"/>
      <c r="H15" s="69"/>
      <c r="I15" s="99"/>
      <c r="J15" s="99"/>
      <c r="K15" s="99"/>
      <c r="L15" s="99"/>
    </row>
    <row r="16" spans="1:12" ht="29.25" customHeight="1" x14ac:dyDescent="0.25">
      <c r="A16" s="70"/>
      <c r="B16" s="84" t="s">
        <v>259</v>
      </c>
      <c r="C16" s="109"/>
      <c r="D16" s="109"/>
      <c r="E16" s="109"/>
      <c r="F16" s="109"/>
      <c r="G16" s="85"/>
      <c r="H16" s="88"/>
      <c r="I16" s="107"/>
      <c r="J16" s="107"/>
      <c r="K16" s="107"/>
      <c r="L16" s="107"/>
    </row>
    <row r="17" spans="1:12" ht="18.75" customHeight="1" x14ac:dyDescent="0.25">
      <c r="A17" s="70"/>
      <c r="C17" s="109"/>
      <c r="D17" s="109"/>
      <c r="E17" s="109"/>
      <c r="F17" s="109"/>
      <c r="H17" s="88"/>
      <c r="I17" s="99"/>
      <c r="J17" s="99"/>
      <c r="K17" s="99"/>
      <c r="L17" s="99"/>
    </row>
    <row r="18" spans="1:12" ht="20.25" customHeight="1" x14ac:dyDescent="0.25">
      <c r="A18" s="421" t="s">
        <v>45</v>
      </c>
      <c r="B18" s="422" t="s">
        <v>266</v>
      </c>
      <c r="C18" s="423">
        <f>C19+C20+C24</f>
        <v>0</v>
      </c>
      <c r="D18" s="423">
        <f t="shared" ref="D18:F18" si="10">D19+D20+D24</f>
        <v>0</v>
      </c>
      <c r="E18" s="423">
        <f t="shared" ref="E18" si="11">E19+E20+E24</f>
        <v>0</v>
      </c>
      <c r="F18" s="423">
        <f t="shared" si="10"/>
        <v>0</v>
      </c>
      <c r="G18" s="421" t="s">
        <v>56</v>
      </c>
      <c r="H18" s="422" t="s">
        <v>215</v>
      </c>
      <c r="I18" s="423">
        <f>SUM(I19:I23)</f>
        <v>18184.450658000002</v>
      </c>
      <c r="J18" s="423">
        <f t="shared" ref="J18:L18" si="12">SUM(J19:J23)</f>
        <v>0</v>
      </c>
      <c r="K18" s="423">
        <f t="shared" ref="K18" si="13">SUM(K19:K23)</f>
        <v>0</v>
      </c>
      <c r="L18" s="423">
        <f t="shared" si="12"/>
        <v>18184.450658000002</v>
      </c>
    </row>
    <row r="19" spans="1:12" ht="20.25" customHeight="1" x14ac:dyDescent="0.25">
      <c r="A19" s="86"/>
      <c r="B19" s="88" t="s">
        <v>267</v>
      </c>
      <c r="C19" s="97"/>
      <c r="D19" s="97"/>
      <c r="E19" s="97"/>
      <c r="F19" s="97"/>
      <c r="G19" s="71"/>
      <c r="H19" s="119" t="s">
        <v>238</v>
      </c>
      <c r="I19" s="107">
        <f>'3.a hivatal részletes'!I34</f>
        <v>1290</v>
      </c>
      <c r="J19" s="107">
        <f>'3.a hivatal részletes'!J34</f>
        <v>0</v>
      </c>
      <c r="K19" s="107">
        <f>'3.a hivatal részletes'!K34</f>
        <v>0</v>
      </c>
      <c r="L19" s="107">
        <f>'3.a hivatal részletes'!L34</f>
        <v>1290</v>
      </c>
    </row>
    <row r="20" spans="1:12" ht="20.25" customHeight="1" x14ac:dyDescent="0.25">
      <c r="A20" s="86"/>
      <c r="B20" s="88" t="s">
        <v>268</v>
      </c>
      <c r="C20" s="97"/>
      <c r="D20" s="97"/>
      <c r="E20" s="97"/>
      <c r="F20" s="97"/>
      <c r="G20" s="71"/>
      <c r="H20" s="119" t="s">
        <v>239</v>
      </c>
      <c r="I20" s="107">
        <f>'3.a hivatal részletes'!I40</f>
        <v>3692</v>
      </c>
      <c r="J20" s="107">
        <f>'3.a hivatal részletes'!J40</f>
        <v>0</v>
      </c>
      <c r="K20" s="107">
        <f>'3.a hivatal részletes'!K40</f>
        <v>0</v>
      </c>
      <c r="L20" s="107">
        <f>'3.a hivatal részletes'!L40</f>
        <v>3692</v>
      </c>
    </row>
    <row r="21" spans="1:12" ht="20.25" customHeight="1" x14ac:dyDescent="0.25">
      <c r="A21" s="86"/>
      <c r="B21" s="88" t="s">
        <v>269</v>
      </c>
      <c r="C21" s="97"/>
      <c r="D21" s="97"/>
      <c r="E21" s="97"/>
      <c r="F21" s="97"/>
      <c r="G21" s="71"/>
      <c r="H21" s="119" t="s">
        <v>240</v>
      </c>
      <c r="I21" s="107">
        <f>'3.a hivatal részletes'!I56</f>
        <v>8334.9454000000005</v>
      </c>
      <c r="J21" s="107">
        <f>'3.a hivatal részletes'!J56</f>
        <v>0</v>
      </c>
      <c r="K21" s="107">
        <f>'3.a hivatal részletes'!K56</f>
        <v>0</v>
      </c>
      <c r="L21" s="107">
        <f>'3.a hivatal részletes'!L56</f>
        <v>8334.9454000000005</v>
      </c>
    </row>
    <row r="22" spans="1:12" ht="20.25" customHeight="1" x14ac:dyDescent="0.25">
      <c r="A22" s="86"/>
      <c r="B22" s="88" t="s">
        <v>270</v>
      </c>
      <c r="C22" s="97"/>
      <c r="D22" s="97"/>
      <c r="E22" s="97"/>
      <c r="F22" s="97"/>
      <c r="G22" s="71"/>
      <c r="H22" s="119" t="s">
        <v>241</v>
      </c>
      <c r="I22" s="107">
        <f>'3.a hivatal részletes'!I59</f>
        <v>400</v>
      </c>
      <c r="J22" s="107">
        <f>'3.a hivatal részletes'!J59</f>
        <v>0</v>
      </c>
      <c r="K22" s="107">
        <f>'3.a hivatal részletes'!K59</f>
        <v>0</v>
      </c>
      <c r="L22" s="107">
        <f>'3.a hivatal részletes'!L59</f>
        <v>400</v>
      </c>
    </row>
    <row r="23" spans="1:12" ht="20.25" customHeight="1" x14ac:dyDescent="0.25">
      <c r="A23" s="86"/>
      <c r="B23" s="88" t="s">
        <v>271</v>
      </c>
      <c r="C23" s="97"/>
      <c r="D23" s="97"/>
      <c r="E23" s="97"/>
      <c r="F23" s="97"/>
      <c r="G23" s="71"/>
      <c r="H23" s="119" t="s">
        <v>242</v>
      </c>
      <c r="I23" s="107">
        <f>'3.a hivatal részletes'!I65</f>
        <v>4467.5052580000001</v>
      </c>
      <c r="J23" s="107">
        <f>'3.a hivatal részletes'!J65</f>
        <v>0</v>
      </c>
      <c r="K23" s="107">
        <f>'3.a hivatal részletes'!K65</f>
        <v>0</v>
      </c>
      <c r="L23" s="107">
        <f>'3.a hivatal részletes'!L65</f>
        <v>4467.5052580000001</v>
      </c>
    </row>
    <row r="24" spans="1:12" ht="20.25" customHeight="1" x14ac:dyDescent="0.25">
      <c r="A24" s="86"/>
      <c r="B24" s="88" t="s">
        <v>272</v>
      </c>
      <c r="C24" s="97"/>
      <c r="D24" s="97"/>
      <c r="E24" s="97"/>
      <c r="F24" s="97"/>
      <c r="G24" s="71"/>
      <c r="H24" s="71"/>
      <c r="I24" s="99"/>
      <c r="J24" s="99"/>
      <c r="K24" s="99"/>
      <c r="L24" s="99"/>
    </row>
    <row r="25" spans="1:12" ht="20.25" customHeight="1" x14ac:dyDescent="0.25">
      <c r="A25" s="421" t="s">
        <v>56</v>
      </c>
      <c r="B25" s="422" t="s">
        <v>273</v>
      </c>
      <c r="C25" s="423">
        <f>SUM(C26:C35)</f>
        <v>1408.43</v>
      </c>
      <c r="D25" s="423">
        <f t="shared" ref="D25:F25" si="14">SUM(D26:D35)</f>
        <v>0</v>
      </c>
      <c r="E25" s="423">
        <f t="shared" ref="E25" si="15">SUM(E26:E35)</f>
        <v>0</v>
      </c>
      <c r="F25" s="423">
        <f t="shared" si="14"/>
        <v>1408.43</v>
      </c>
      <c r="G25" s="421" t="s">
        <v>64</v>
      </c>
      <c r="H25" s="422" t="s">
        <v>216</v>
      </c>
      <c r="I25" s="423">
        <f>'3.a hivatal részletes'!I66</f>
        <v>0</v>
      </c>
      <c r="J25" s="423">
        <f>'3.a hivatal részletes'!J66</f>
        <v>0</v>
      </c>
      <c r="K25" s="423">
        <f>'3.a hivatal részletes'!K66</f>
        <v>0</v>
      </c>
      <c r="L25" s="423">
        <f>'3.a hivatal részletes'!L66</f>
        <v>0</v>
      </c>
    </row>
    <row r="26" spans="1:12" ht="20.25" customHeight="1" x14ac:dyDescent="0.25">
      <c r="A26" s="86"/>
      <c r="B26" s="89" t="s">
        <v>274</v>
      </c>
      <c r="C26" s="103"/>
      <c r="D26" s="103"/>
      <c r="E26" s="103"/>
      <c r="F26" s="103"/>
      <c r="G26" s="71"/>
      <c r="H26" s="71" t="s">
        <v>202</v>
      </c>
      <c r="I26" s="102"/>
      <c r="J26" s="102"/>
      <c r="K26" s="102"/>
      <c r="L26" s="102"/>
    </row>
    <row r="27" spans="1:12" ht="20.25" customHeight="1" x14ac:dyDescent="0.25">
      <c r="A27" s="86"/>
      <c r="B27" s="89" t="s">
        <v>275</v>
      </c>
      <c r="C27" s="103">
        <f>'3.a hivatal részletes'!C25</f>
        <v>1109</v>
      </c>
      <c r="D27" s="103">
        <f>'3.a hivatal részletes'!D25</f>
        <v>0</v>
      </c>
      <c r="E27" s="103">
        <f>'3.a hivatal részletes'!E25</f>
        <v>0</v>
      </c>
      <c r="F27" s="103">
        <f>'3.a hivatal részletes'!F25</f>
        <v>1109</v>
      </c>
      <c r="G27" s="71"/>
      <c r="H27" s="88" t="s">
        <v>203</v>
      </c>
      <c r="I27" s="102"/>
      <c r="J27" s="102"/>
      <c r="K27" s="102"/>
      <c r="L27" s="102"/>
    </row>
    <row r="28" spans="1:12" ht="20.25" customHeight="1" x14ac:dyDescent="0.25">
      <c r="A28" s="86"/>
      <c r="B28" s="89" t="s">
        <v>276</v>
      </c>
      <c r="C28" s="103">
        <f>'3.a hivatal részletes'!C31</f>
        <v>0</v>
      </c>
      <c r="D28" s="103">
        <f>'3.a hivatal részletes'!D31</f>
        <v>0</v>
      </c>
      <c r="E28" s="103">
        <f>'3.a hivatal részletes'!E31</f>
        <v>0</v>
      </c>
      <c r="F28" s="103">
        <f>'3.a hivatal részletes'!F31</f>
        <v>0</v>
      </c>
      <c r="G28" s="71"/>
      <c r="H28" s="71" t="s">
        <v>204</v>
      </c>
      <c r="I28" s="102"/>
      <c r="J28" s="102"/>
      <c r="K28" s="102"/>
      <c r="L28" s="102"/>
    </row>
    <row r="29" spans="1:12" ht="20.25" customHeight="1" x14ac:dyDescent="0.25">
      <c r="A29" s="86"/>
      <c r="B29" s="89" t="s">
        <v>277</v>
      </c>
      <c r="C29" s="103"/>
      <c r="D29" s="103"/>
      <c r="E29" s="103"/>
      <c r="F29" s="103"/>
      <c r="G29" s="71"/>
      <c r="H29" s="71" t="s">
        <v>205</v>
      </c>
      <c r="I29" s="102"/>
      <c r="J29" s="102"/>
      <c r="K29" s="102"/>
      <c r="L29" s="102"/>
    </row>
    <row r="30" spans="1:12" ht="20.25" customHeight="1" x14ac:dyDescent="0.25">
      <c r="A30" s="86"/>
      <c r="B30" s="89" t="s">
        <v>278</v>
      </c>
      <c r="C30" s="103"/>
      <c r="D30" s="103"/>
      <c r="E30" s="103"/>
      <c r="F30" s="103"/>
      <c r="G30" s="71"/>
      <c r="H30" s="71" t="s">
        <v>206</v>
      </c>
      <c r="I30" s="102"/>
      <c r="J30" s="102"/>
      <c r="K30" s="102"/>
      <c r="L30" s="102"/>
    </row>
    <row r="31" spans="1:12" ht="20.25" customHeight="1" x14ac:dyDescent="0.25">
      <c r="A31" s="86"/>
      <c r="B31" s="89" t="s">
        <v>279</v>
      </c>
      <c r="C31" s="103">
        <f>'3.a hivatal részletes'!C42</f>
        <v>299.43</v>
      </c>
      <c r="D31" s="103">
        <f>'3.a hivatal részletes'!D42</f>
        <v>0</v>
      </c>
      <c r="E31" s="103">
        <f>'3.a hivatal részletes'!E42</f>
        <v>0</v>
      </c>
      <c r="F31" s="103">
        <f>'3.a hivatal részletes'!F42</f>
        <v>299.43</v>
      </c>
      <c r="G31" s="71"/>
      <c r="H31" s="71" t="s">
        <v>207</v>
      </c>
      <c r="I31" s="102"/>
      <c r="J31" s="102"/>
      <c r="K31" s="102"/>
      <c r="L31" s="102"/>
    </row>
    <row r="32" spans="1:12" ht="20.25" customHeight="1" x14ac:dyDescent="0.25">
      <c r="A32" s="86"/>
      <c r="B32" s="89" t="s">
        <v>280</v>
      </c>
      <c r="C32" s="103"/>
      <c r="D32" s="103"/>
      <c r="E32" s="103"/>
      <c r="F32" s="103"/>
      <c r="G32" s="71"/>
      <c r="H32" s="71"/>
      <c r="I32" s="99"/>
      <c r="J32" s="99"/>
      <c r="K32" s="99"/>
      <c r="L32" s="99"/>
    </row>
    <row r="33" spans="1:12" ht="20.25" customHeight="1" x14ac:dyDescent="0.25">
      <c r="A33" s="86"/>
      <c r="B33" s="89" t="s">
        <v>281</v>
      </c>
      <c r="C33" s="103"/>
      <c r="D33" s="103"/>
      <c r="E33" s="103"/>
      <c r="F33" s="103"/>
      <c r="G33" s="71"/>
      <c r="I33" s="107"/>
      <c r="J33" s="107"/>
      <c r="K33" s="107"/>
      <c r="L33" s="107"/>
    </row>
    <row r="34" spans="1:12" ht="20.25" customHeight="1" x14ac:dyDescent="0.25">
      <c r="A34" s="86"/>
      <c r="B34" s="89" t="s">
        <v>282</v>
      </c>
      <c r="C34" s="103"/>
      <c r="D34" s="103"/>
      <c r="E34" s="103"/>
      <c r="F34" s="103"/>
      <c r="G34" s="71"/>
      <c r="H34" s="71"/>
      <c r="I34" s="99"/>
      <c r="J34" s="99"/>
      <c r="K34" s="99"/>
      <c r="L34" s="99"/>
    </row>
    <row r="35" spans="1:12" ht="20.25" customHeight="1" x14ac:dyDescent="0.25">
      <c r="A35" s="86"/>
      <c r="B35" s="89" t="s">
        <v>283</v>
      </c>
      <c r="C35" s="103">
        <f>'3.a hivatal részletes'!C46</f>
        <v>0</v>
      </c>
      <c r="D35" s="103">
        <f>'3.a hivatal részletes'!D46</f>
        <v>0</v>
      </c>
      <c r="E35" s="103">
        <f>'3.a hivatal részletes'!E46</f>
        <v>0</v>
      </c>
      <c r="F35" s="103">
        <f>'3.a hivatal részletes'!F46</f>
        <v>0</v>
      </c>
      <c r="G35" s="71"/>
      <c r="H35" s="71"/>
      <c r="I35" s="99"/>
      <c r="J35" s="99"/>
      <c r="K35" s="99"/>
      <c r="L35" s="99"/>
    </row>
    <row r="36" spans="1:12" ht="20.25" customHeight="1" x14ac:dyDescent="0.25">
      <c r="A36" s="421" t="s">
        <v>64</v>
      </c>
      <c r="B36" s="422" t="s">
        <v>290</v>
      </c>
      <c r="C36" s="423">
        <f>C37+C38+C39</f>
        <v>8382</v>
      </c>
      <c r="D36" s="423">
        <f t="shared" ref="D36:F36" si="16">D37+D38+D39</f>
        <v>0</v>
      </c>
      <c r="E36" s="423">
        <f t="shared" ref="E36" si="17">E37+E38+E39</f>
        <v>-5525</v>
      </c>
      <c r="F36" s="423">
        <f t="shared" si="16"/>
        <v>2857</v>
      </c>
      <c r="G36" s="421" t="s">
        <v>100</v>
      </c>
      <c r="H36" s="422" t="s">
        <v>237</v>
      </c>
      <c r="I36" s="423">
        <f>'3.a hivatal részletes'!I73</f>
        <v>0</v>
      </c>
      <c r="J36" s="423">
        <f>'3.a hivatal részletes'!J73</f>
        <v>0</v>
      </c>
      <c r="K36" s="423">
        <f>'3.a hivatal részletes'!K73</f>
        <v>0</v>
      </c>
      <c r="L36" s="423">
        <f>'3.a hivatal részletes'!L73</f>
        <v>0</v>
      </c>
    </row>
    <row r="37" spans="1:12" ht="30" x14ac:dyDescent="0.25">
      <c r="A37" s="86"/>
      <c r="B37" s="89" t="s">
        <v>291</v>
      </c>
      <c r="C37" s="103"/>
      <c r="D37" s="103"/>
      <c r="E37" s="103"/>
      <c r="F37" s="103"/>
      <c r="G37" s="71"/>
      <c r="H37" s="71" t="s">
        <v>208</v>
      </c>
      <c r="I37" s="108" t="s">
        <v>253</v>
      </c>
      <c r="J37" s="108"/>
      <c r="K37" s="108"/>
      <c r="L37" s="108"/>
    </row>
    <row r="38" spans="1:12" ht="28.5" customHeight="1" x14ac:dyDescent="0.25">
      <c r="A38" s="86"/>
      <c r="B38" s="84" t="s">
        <v>292</v>
      </c>
      <c r="C38" s="103"/>
      <c r="D38" s="103"/>
      <c r="E38" s="103"/>
      <c r="F38" s="103"/>
      <c r="G38" s="71"/>
      <c r="H38" s="71" t="s">
        <v>210</v>
      </c>
      <c r="I38" s="102"/>
      <c r="J38" s="102"/>
      <c r="K38" s="102"/>
      <c r="L38" s="102"/>
    </row>
    <row r="39" spans="1:12" ht="19.5" customHeight="1" x14ac:dyDescent="0.25">
      <c r="A39" s="86"/>
      <c r="B39" s="89" t="s">
        <v>293</v>
      </c>
      <c r="C39" s="103">
        <f>'3.a hivatal részletes'!C62</f>
        <v>8382</v>
      </c>
      <c r="D39" s="103">
        <f>'3.a hivatal részletes'!D62</f>
        <v>0</v>
      </c>
      <c r="E39" s="103">
        <f>'3.a hivatal részletes'!E62</f>
        <v>-5525</v>
      </c>
      <c r="F39" s="103">
        <f>'3.a hivatal részletes'!F62</f>
        <v>2857</v>
      </c>
      <c r="G39" s="71"/>
      <c r="H39" s="71" t="s">
        <v>209</v>
      </c>
      <c r="I39" s="102"/>
      <c r="J39" s="102"/>
      <c r="K39" s="102"/>
      <c r="L39" s="102"/>
    </row>
    <row r="40" spans="1:12" ht="19.5" customHeight="1" x14ac:dyDescent="0.25">
      <c r="A40" s="86"/>
      <c r="B40" s="89"/>
      <c r="C40" s="103"/>
      <c r="D40" s="103"/>
      <c r="E40" s="103"/>
      <c r="F40" s="103"/>
      <c r="G40" s="71"/>
      <c r="H40" s="71" t="s">
        <v>211</v>
      </c>
      <c r="I40" s="102"/>
      <c r="J40" s="102"/>
      <c r="K40" s="102"/>
      <c r="L40" s="102"/>
    </row>
    <row r="41" spans="1:12" ht="19.5" customHeight="1" x14ac:dyDescent="0.25">
      <c r="A41" s="86"/>
      <c r="B41" s="89"/>
      <c r="C41" s="101"/>
      <c r="D41" s="101"/>
      <c r="E41" s="101"/>
      <c r="F41" s="101"/>
      <c r="G41" s="71"/>
      <c r="H41" s="71" t="s">
        <v>377</v>
      </c>
      <c r="I41" s="102"/>
      <c r="J41" s="102"/>
      <c r="K41" s="102"/>
      <c r="L41" s="102"/>
    </row>
    <row r="42" spans="1:12" ht="19.5" customHeight="1" x14ac:dyDescent="0.25">
      <c r="A42" s="86"/>
      <c r="B42" s="89"/>
      <c r="C42" s="101"/>
      <c r="D42" s="101"/>
      <c r="E42" s="101"/>
      <c r="F42" s="101"/>
      <c r="G42" s="71"/>
      <c r="H42" s="71" t="s">
        <v>212</v>
      </c>
      <c r="I42" s="102"/>
      <c r="J42" s="102"/>
      <c r="K42" s="102"/>
      <c r="L42" s="102"/>
    </row>
    <row r="43" spans="1:12" ht="19.5" customHeight="1" x14ac:dyDescent="0.25">
      <c r="A43" s="86"/>
      <c r="B43" s="89"/>
      <c r="C43" s="101"/>
      <c r="D43" s="101"/>
      <c r="E43" s="101"/>
      <c r="F43" s="101"/>
      <c r="G43" s="73"/>
      <c r="H43" s="83"/>
      <c r="I43" s="102"/>
      <c r="J43" s="102"/>
      <c r="K43" s="102"/>
      <c r="L43" s="102"/>
    </row>
    <row r="44" spans="1:12" ht="19.5" customHeight="1" x14ac:dyDescent="0.25">
      <c r="A44" s="86"/>
      <c r="B44" s="89"/>
      <c r="C44" s="101"/>
      <c r="D44" s="101"/>
      <c r="E44" s="101"/>
      <c r="F44" s="101"/>
      <c r="G44" s="71"/>
      <c r="H44" s="71"/>
      <c r="I44" s="102"/>
      <c r="J44" s="102"/>
      <c r="K44" s="102"/>
      <c r="L44" s="102"/>
    </row>
    <row r="45" spans="1:12" ht="19.5" customHeight="1" x14ac:dyDescent="0.25">
      <c r="A45" s="86"/>
      <c r="B45" s="89"/>
      <c r="C45" s="101"/>
      <c r="D45" s="101"/>
      <c r="E45" s="101"/>
      <c r="F45" s="101"/>
      <c r="G45" s="71"/>
      <c r="H45" s="88"/>
      <c r="I45" s="102"/>
      <c r="J45" s="102"/>
      <c r="K45" s="102"/>
      <c r="L45" s="102"/>
    </row>
    <row r="46" spans="1:12" ht="19.5" customHeight="1" x14ac:dyDescent="0.25">
      <c r="A46" s="86"/>
      <c r="B46" s="89"/>
      <c r="C46" s="101"/>
      <c r="D46" s="101"/>
      <c r="E46" s="101"/>
      <c r="F46" s="101"/>
      <c r="G46" s="71"/>
      <c r="H46" s="71"/>
      <c r="I46" s="102"/>
      <c r="J46" s="102"/>
      <c r="K46" s="102"/>
      <c r="L46" s="102"/>
    </row>
    <row r="47" spans="1:12" ht="19.5" customHeight="1" x14ac:dyDescent="0.25">
      <c r="A47" s="86"/>
      <c r="B47" s="89"/>
      <c r="C47" s="101"/>
      <c r="D47" s="101"/>
      <c r="E47" s="101"/>
      <c r="F47" s="101"/>
      <c r="G47" s="71"/>
      <c r="H47" s="71"/>
      <c r="I47" s="102"/>
      <c r="J47" s="102"/>
      <c r="K47" s="102"/>
      <c r="L47" s="102"/>
    </row>
    <row r="48" spans="1:12" ht="19.5" customHeight="1" x14ac:dyDescent="0.25">
      <c r="A48" s="86"/>
      <c r="B48" s="89"/>
      <c r="C48" s="101"/>
      <c r="D48" s="101"/>
      <c r="E48" s="101"/>
      <c r="F48" s="101"/>
      <c r="G48" s="71"/>
      <c r="H48" s="71"/>
      <c r="I48" s="102"/>
      <c r="J48" s="102"/>
      <c r="K48" s="102"/>
      <c r="L48" s="102"/>
    </row>
    <row r="49" spans="1:12" ht="19.5" customHeight="1" x14ac:dyDescent="0.25">
      <c r="A49" s="86"/>
      <c r="B49" s="89"/>
      <c r="C49" s="101"/>
      <c r="D49" s="101"/>
      <c r="E49" s="101"/>
      <c r="F49" s="101"/>
      <c r="G49" s="71"/>
      <c r="H49" s="71"/>
      <c r="I49" s="102"/>
      <c r="J49" s="102"/>
      <c r="K49" s="102"/>
      <c r="L49" s="102"/>
    </row>
    <row r="50" spans="1:12" ht="19.5" customHeight="1" x14ac:dyDescent="0.25">
      <c r="A50" s="86"/>
      <c r="B50" s="87"/>
      <c r="C50" s="101"/>
      <c r="D50" s="101"/>
      <c r="E50" s="101"/>
      <c r="F50" s="101"/>
      <c r="G50" s="73"/>
      <c r="H50" s="83"/>
      <c r="I50" s="102"/>
      <c r="J50" s="102"/>
      <c r="K50" s="102"/>
      <c r="L50" s="102"/>
    </row>
    <row r="51" spans="1:12" ht="21.75" customHeight="1" x14ac:dyDescent="0.25">
      <c r="A51" s="86"/>
      <c r="B51" s="89"/>
      <c r="C51" s="101"/>
      <c r="D51" s="101"/>
      <c r="E51" s="101"/>
      <c r="F51" s="101"/>
      <c r="G51" s="71"/>
      <c r="H51" s="71"/>
      <c r="I51" s="108"/>
      <c r="J51" s="108"/>
      <c r="K51" s="108"/>
      <c r="L51" s="108"/>
    </row>
    <row r="52" spans="1:12" ht="21.75" customHeight="1" x14ac:dyDescent="0.25">
      <c r="A52" s="86"/>
      <c r="B52" s="84"/>
      <c r="C52" s="101"/>
      <c r="D52" s="101"/>
      <c r="E52" s="101"/>
      <c r="F52" s="101"/>
      <c r="G52" s="71"/>
      <c r="H52" s="71"/>
      <c r="I52" s="102"/>
      <c r="J52" s="102"/>
      <c r="K52" s="102"/>
      <c r="L52" s="102"/>
    </row>
    <row r="53" spans="1:12" ht="19.5" customHeight="1" x14ac:dyDescent="0.25">
      <c r="A53" s="86"/>
      <c r="B53" s="89"/>
      <c r="C53" s="101"/>
      <c r="D53" s="101"/>
      <c r="E53" s="101"/>
      <c r="F53" s="101"/>
      <c r="G53" s="71"/>
      <c r="H53" s="71"/>
      <c r="I53" s="102"/>
      <c r="J53" s="102"/>
      <c r="K53" s="102"/>
      <c r="L53" s="102"/>
    </row>
    <row r="54" spans="1:12" ht="19.5" customHeight="1" x14ac:dyDescent="0.25">
      <c r="A54" s="86"/>
      <c r="B54" s="89"/>
      <c r="C54" s="101"/>
      <c r="D54" s="101"/>
      <c r="E54" s="101"/>
      <c r="F54" s="101"/>
      <c r="G54" s="71"/>
      <c r="H54" s="71"/>
      <c r="I54" s="102"/>
      <c r="J54" s="102"/>
      <c r="K54" s="102"/>
      <c r="L54" s="102"/>
    </row>
    <row r="55" spans="1:12" ht="19.5" customHeight="1" x14ac:dyDescent="0.25">
      <c r="A55" s="86"/>
      <c r="B55" s="89"/>
      <c r="C55" s="101"/>
      <c r="D55" s="101"/>
      <c r="E55" s="101"/>
      <c r="F55" s="101"/>
      <c r="G55" s="71"/>
      <c r="H55" s="71"/>
      <c r="I55" s="102"/>
      <c r="J55" s="102"/>
      <c r="K55" s="102"/>
      <c r="L55" s="102"/>
    </row>
    <row r="56" spans="1:12" ht="20.25" customHeight="1" x14ac:dyDescent="0.25">
      <c r="A56" s="86"/>
      <c r="B56" s="89"/>
      <c r="C56" s="101"/>
      <c r="D56" s="101"/>
      <c r="E56" s="101"/>
      <c r="F56" s="101"/>
      <c r="G56" s="71"/>
      <c r="H56" s="71"/>
      <c r="I56" s="102"/>
      <c r="J56" s="102"/>
      <c r="K56" s="102"/>
      <c r="L56" s="102"/>
    </row>
    <row r="57" spans="1:12" ht="20.25" customHeight="1" x14ac:dyDescent="0.25">
      <c r="A57" s="418"/>
      <c r="B57" s="419" t="s">
        <v>192</v>
      </c>
      <c r="C57" s="420">
        <f>C58+C64+C70</f>
        <v>0</v>
      </c>
      <c r="D57" s="420">
        <f t="shared" ref="D57:F57" si="18">D58+D64+D70</f>
        <v>0</v>
      </c>
      <c r="E57" s="420">
        <f t="shared" ref="E57" si="19">E58+E64+E70</f>
        <v>0</v>
      </c>
      <c r="F57" s="420">
        <f t="shared" si="18"/>
        <v>0</v>
      </c>
      <c r="G57" s="418"/>
      <c r="H57" s="419" t="s">
        <v>200</v>
      </c>
      <c r="I57" s="420">
        <f>I58+I66+I71</f>
        <v>1479.55</v>
      </c>
      <c r="J57" s="420">
        <f t="shared" ref="J57:L57" si="20">J58+J66+J71</f>
        <v>0</v>
      </c>
      <c r="K57" s="420">
        <f t="shared" ref="K57" si="21">K58+K66+K71</f>
        <v>146</v>
      </c>
      <c r="L57" s="420">
        <f t="shared" si="20"/>
        <v>1625.55</v>
      </c>
    </row>
    <row r="58" spans="1:12" ht="20.25" customHeight="1" x14ac:dyDescent="0.25">
      <c r="A58" s="421" t="s">
        <v>100</v>
      </c>
      <c r="B58" s="422" t="s">
        <v>260</v>
      </c>
      <c r="C58" s="423">
        <f>SUM(C59:C63)</f>
        <v>0</v>
      </c>
      <c r="D58" s="423">
        <f t="shared" ref="D58:F58" si="22">SUM(D59:D63)</f>
        <v>0</v>
      </c>
      <c r="E58" s="423">
        <f t="shared" ref="E58" si="23">SUM(E59:E63)</f>
        <v>0</v>
      </c>
      <c r="F58" s="423">
        <f t="shared" si="22"/>
        <v>0</v>
      </c>
      <c r="G58" s="421" t="s">
        <v>181</v>
      </c>
      <c r="H58" s="422" t="s">
        <v>217</v>
      </c>
      <c r="I58" s="423">
        <f>SUM(I59:I65)</f>
        <v>1479.55</v>
      </c>
      <c r="J58" s="423">
        <f t="shared" ref="J58:L58" si="24">SUM(J59:J65)</f>
        <v>0</v>
      </c>
      <c r="K58" s="423">
        <f t="shared" ref="K58" si="25">SUM(K59:K65)</f>
        <v>146</v>
      </c>
      <c r="L58" s="423">
        <f t="shared" si="24"/>
        <v>1625.55</v>
      </c>
    </row>
    <row r="59" spans="1:12" ht="20.25" customHeight="1" x14ac:dyDescent="0.25">
      <c r="A59" s="86"/>
      <c r="B59" s="84" t="s">
        <v>261</v>
      </c>
      <c r="C59" s="103"/>
      <c r="D59" s="103"/>
      <c r="E59" s="103"/>
      <c r="F59" s="103"/>
      <c r="G59" s="86"/>
      <c r="H59" s="92" t="s">
        <v>218</v>
      </c>
      <c r="I59" s="97"/>
      <c r="J59" s="97"/>
      <c r="K59" s="97"/>
      <c r="L59" s="97"/>
    </row>
    <row r="60" spans="1:12" ht="29.25" customHeight="1" x14ac:dyDescent="0.25">
      <c r="A60" s="86"/>
      <c r="B60" s="84" t="s">
        <v>262</v>
      </c>
      <c r="C60" s="103"/>
      <c r="D60" s="103"/>
      <c r="E60" s="103"/>
      <c r="F60" s="103"/>
      <c r="G60" s="86"/>
      <c r="H60" s="92" t="s">
        <v>219</v>
      </c>
      <c r="I60" s="100">
        <f>'3.a hivatal részletes'!I83</f>
        <v>0</v>
      </c>
      <c r="J60" s="100">
        <f>'3.a hivatal részletes'!J83</f>
        <v>0</v>
      </c>
      <c r="K60" s="100">
        <f>'3.a hivatal részletes'!K83</f>
        <v>0</v>
      </c>
      <c r="L60" s="100">
        <f>'3.a hivatal részletes'!L83</f>
        <v>0</v>
      </c>
    </row>
    <row r="61" spans="1:12" ht="29.25" customHeight="1" x14ac:dyDescent="0.25">
      <c r="A61" s="86"/>
      <c r="B61" s="84" t="s">
        <v>263</v>
      </c>
      <c r="C61" s="103"/>
      <c r="D61" s="103"/>
      <c r="E61" s="103"/>
      <c r="F61" s="103"/>
      <c r="G61" s="71"/>
      <c r="H61" s="71" t="s">
        <v>220</v>
      </c>
      <c r="I61" s="100">
        <f>'3.a hivatal részletes'!I84</f>
        <v>300</v>
      </c>
      <c r="J61" s="100">
        <f>'3.a hivatal részletes'!J84</f>
        <v>0</v>
      </c>
      <c r="K61" s="100">
        <f>'3.a hivatal részletes'!K84</f>
        <v>115</v>
      </c>
      <c r="L61" s="100">
        <f>'3.a hivatal részletes'!L84</f>
        <v>415</v>
      </c>
    </row>
    <row r="62" spans="1:12" ht="29.25" customHeight="1" x14ac:dyDescent="0.25">
      <c r="A62" s="86"/>
      <c r="B62" s="84" t="s">
        <v>264</v>
      </c>
      <c r="C62" s="103"/>
      <c r="D62" s="103"/>
      <c r="E62" s="103"/>
      <c r="F62" s="103"/>
      <c r="G62" s="71"/>
      <c r="H62" s="71" t="s">
        <v>221</v>
      </c>
      <c r="I62" s="100">
        <f>'3.a hivatal részletes'!I85</f>
        <v>865</v>
      </c>
      <c r="J62" s="100">
        <f>'3.a hivatal részletes'!J85</f>
        <v>0</v>
      </c>
      <c r="K62" s="100">
        <f>'3.a hivatal részletes'!K85</f>
        <v>0</v>
      </c>
      <c r="L62" s="100">
        <f>'3.a hivatal részletes'!L85</f>
        <v>865</v>
      </c>
    </row>
    <row r="63" spans="1:12" ht="21" customHeight="1" x14ac:dyDescent="0.25">
      <c r="A63" s="86"/>
      <c r="B63" s="84" t="s">
        <v>265</v>
      </c>
      <c r="C63" s="103"/>
      <c r="D63" s="103"/>
      <c r="E63" s="103"/>
      <c r="F63" s="103"/>
      <c r="G63" s="71"/>
      <c r="H63" s="71" t="s">
        <v>222</v>
      </c>
      <c r="I63" s="100"/>
      <c r="J63" s="100"/>
      <c r="K63" s="100"/>
      <c r="L63" s="100"/>
    </row>
    <row r="64" spans="1:12" ht="20.25" customHeight="1" x14ac:dyDescent="0.25">
      <c r="A64" s="421" t="s">
        <v>181</v>
      </c>
      <c r="B64" s="422" t="s">
        <v>284</v>
      </c>
      <c r="C64" s="423">
        <f>SUM(C65:C69)</f>
        <v>0</v>
      </c>
      <c r="D64" s="423">
        <f t="shared" ref="D64:F64" si="26">SUM(D65:D69)</f>
        <v>0</v>
      </c>
      <c r="E64" s="423">
        <f t="shared" ref="E64" si="27">SUM(E65:E69)</f>
        <v>0</v>
      </c>
      <c r="F64" s="423">
        <f t="shared" si="26"/>
        <v>0</v>
      </c>
      <c r="G64" s="71"/>
      <c r="H64" s="71" t="s">
        <v>223</v>
      </c>
      <c r="I64" s="100"/>
      <c r="J64" s="100"/>
      <c r="K64" s="100"/>
      <c r="L64" s="100"/>
    </row>
    <row r="65" spans="1:12" ht="20.25" customHeight="1" x14ac:dyDescent="0.25">
      <c r="A65" s="86"/>
      <c r="B65" s="89" t="s">
        <v>285</v>
      </c>
      <c r="C65" s="103"/>
      <c r="D65" s="103"/>
      <c r="E65" s="103"/>
      <c r="F65" s="103"/>
      <c r="G65" s="71"/>
      <c r="H65" s="71" t="s">
        <v>224</v>
      </c>
      <c r="I65" s="100">
        <f>'3.a hivatal részletes'!I88</f>
        <v>314.55</v>
      </c>
      <c r="J65" s="100">
        <f>'3.a hivatal részletes'!J88</f>
        <v>0</v>
      </c>
      <c r="K65" s="100">
        <f>'3.a hivatal részletes'!K88</f>
        <v>31</v>
      </c>
      <c r="L65" s="100">
        <f>'3.a hivatal részletes'!L88</f>
        <v>345.55</v>
      </c>
    </row>
    <row r="66" spans="1:12" ht="20.25" customHeight="1" x14ac:dyDescent="0.25">
      <c r="A66" s="86"/>
      <c r="B66" s="89" t="s">
        <v>286</v>
      </c>
      <c r="C66" s="103"/>
      <c r="D66" s="103"/>
      <c r="E66" s="103"/>
      <c r="F66" s="103"/>
      <c r="G66" s="421" t="s">
        <v>191</v>
      </c>
      <c r="H66" s="422" t="s">
        <v>225</v>
      </c>
      <c r="I66" s="423">
        <f>SUM(I67:I70)</f>
        <v>0</v>
      </c>
      <c r="J66" s="423">
        <f t="shared" ref="J66:L66" si="28">SUM(J67:J70)</f>
        <v>0</v>
      </c>
      <c r="K66" s="423">
        <f t="shared" ref="K66" si="29">SUM(K67:K70)</f>
        <v>0</v>
      </c>
      <c r="L66" s="423">
        <f t="shared" si="28"/>
        <v>0</v>
      </c>
    </row>
    <row r="67" spans="1:12" ht="20.25" customHeight="1" x14ac:dyDescent="0.25">
      <c r="A67" s="86"/>
      <c r="B67" s="89" t="s">
        <v>287</v>
      </c>
      <c r="C67" s="103"/>
      <c r="D67" s="103"/>
      <c r="E67" s="103"/>
      <c r="F67" s="103"/>
      <c r="G67" s="71"/>
      <c r="H67" s="71" t="s">
        <v>226</v>
      </c>
      <c r="I67" s="100"/>
      <c r="J67" s="100"/>
      <c r="K67" s="100"/>
      <c r="L67" s="100"/>
    </row>
    <row r="68" spans="1:12" ht="20.25" customHeight="1" x14ac:dyDescent="0.25">
      <c r="A68" s="86"/>
      <c r="B68" s="89" t="s">
        <v>288</v>
      </c>
      <c r="C68" s="103"/>
      <c r="D68" s="103"/>
      <c r="E68" s="103"/>
      <c r="F68" s="103"/>
      <c r="G68" s="71"/>
      <c r="H68" s="71" t="s">
        <v>227</v>
      </c>
      <c r="I68" s="100"/>
      <c r="J68" s="100"/>
      <c r="K68" s="100"/>
      <c r="L68" s="100"/>
    </row>
    <row r="69" spans="1:12" ht="20.25" customHeight="1" x14ac:dyDescent="0.25">
      <c r="A69" s="86"/>
      <c r="B69" s="89" t="s">
        <v>289</v>
      </c>
      <c r="C69" s="103"/>
      <c r="D69" s="103"/>
      <c r="E69" s="103"/>
      <c r="F69" s="103"/>
      <c r="G69" s="71"/>
      <c r="H69" s="71" t="s">
        <v>228</v>
      </c>
      <c r="I69" s="100"/>
      <c r="J69" s="100"/>
      <c r="K69" s="100"/>
      <c r="L69" s="100"/>
    </row>
    <row r="70" spans="1:12" ht="20.25" customHeight="1" x14ac:dyDescent="0.25">
      <c r="A70" s="421" t="s">
        <v>191</v>
      </c>
      <c r="B70" s="422" t="s">
        <v>294</v>
      </c>
      <c r="C70" s="423">
        <f>C71+C72+C73</f>
        <v>0</v>
      </c>
      <c r="D70" s="423">
        <f t="shared" ref="D70:F70" si="30">D71+D72+D73</f>
        <v>0</v>
      </c>
      <c r="E70" s="423">
        <f t="shared" ref="E70" si="31">E71+E72+E73</f>
        <v>0</v>
      </c>
      <c r="F70" s="423">
        <f t="shared" si="30"/>
        <v>0</v>
      </c>
      <c r="G70" s="71"/>
      <c r="H70" s="71" t="s">
        <v>229</v>
      </c>
      <c r="I70" s="100"/>
      <c r="J70" s="100"/>
      <c r="K70" s="100"/>
      <c r="L70" s="100"/>
    </row>
    <row r="71" spans="1:12" ht="29.25" customHeight="1" x14ac:dyDescent="0.25">
      <c r="A71" s="86"/>
      <c r="B71" s="89" t="s">
        <v>295</v>
      </c>
      <c r="C71" s="103"/>
      <c r="D71" s="103"/>
      <c r="E71" s="103"/>
      <c r="F71" s="103"/>
      <c r="G71" s="421" t="s">
        <v>199</v>
      </c>
      <c r="H71" s="422" t="s">
        <v>230</v>
      </c>
      <c r="I71" s="423"/>
      <c r="J71" s="423"/>
      <c r="K71" s="423"/>
      <c r="L71" s="423"/>
    </row>
    <row r="72" spans="1:12" ht="29.25" customHeight="1" x14ac:dyDescent="0.25">
      <c r="A72" s="86"/>
      <c r="B72" s="84" t="s">
        <v>296</v>
      </c>
      <c r="C72" s="103"/>
      <c r="D72" s="103"/>
      <c r="E72" s="103"/>
      <c r="F72" s="103"/>
      <c r="G72" s="71"/>
      <c r="H72" s="71"/>
      <c r="I72" s="100"/>
      <c r="J72" s="100"/>
      <c r="K72" s="100"/>
      <c r="L72" s="100"/>
    </row>
    <row r="73" spans="1:12" ht="21" customHeight="1" x14ac:dyDescent="0.25">
      <c r="A73" s="86"/>
      <c r="B73" s="89" t="s">
        <v>297</v>
      </c>
      <c r="C73" s="103"/>
      <c r="D73" s="103"/>
      <c r="E73" s="103"/>
      <c r="F73" s="103"/>
      <c r="G73" s="71"/>
      <c r="H73" s="71"/>
      <c r="I73" s="100"/>
      <c r="J73" s="100"/>
      <c r="K73" s="100"/>
      <c r="L73" s="100"/>
    </row>
    <row r="74" spans="1:12" ht="20.25" customHeight="1" x14ac:dyDescent="0.25">
      <c r="A74" s="418"/>
      <c r="B74" s="419" t="s">
        <v>298</v>
      </c>
      <c r="C74" s="420">
        <f>C84+C95</f>
        <v>103385</v>
      </c>
      <c r="D74" s="420">
        <f t="shared" ref="D74:F74" si="32">D84+D95</f>
        <v>212</v>
      </c>
      <c r="E74" s="420">
        <f t="shared" ref="E74" si="33">E84+E95</f>
        <v>5671</v>
      </c>
      <c r="F74" s="420">
        <f t="shared" si="32"/>
        <v>109268</v>
      </c>
      <c r="G74" s="418"/>
      <c r="H74" s="419" t="s">
        <v>299</v>
      </c>
      <c r="I74" s="420">
        <f>I83+I94</f>
        <v>0</v>
      </c>
      <c r="J74" s="420">
        <f t="shared" ref="J74:L74" si="34">J83+J94</f>
        <v>0</v>
      </c>
      <c r="K74" s="420">
        <f t="shared" ref="K74" si="35">K83+K94</f>
        <v>0</v>
      </c>
      <c r="L74" s="420">
        <f t="shared" si="34"/>
        <v>0</v>
      </c>
    </row>
    <row r="75" spans="1:12" ht="21" customHeight="1" x14ac:dyDescent="0.25">
      <c r="A75" s="75"/>
      <c r="B75" s="94" t="s">
        <v>300</v>
      </c>
      <c r="C75" s="103"/>
      <c r="D75" s="103"/>
      <c r="E75" s="103"/>
      <c r="F75" s="103"/>
      <c r="G75" s="75"/>
      <c r="H75" s="94" t="s">
        <v>231</v>
      </c>
      <c r="I75" s="103"/>
      <c r="J75" s="103"/>
      <c r="K75" s="103"/>
      <c r="L75" s="103"/>
    </row>
    <row r="76" spans="1:12" ht="20.25" customHeight="1" x14ac:dyDescent="0.25">
      <c r="A76" s="75"/>
      <c r="B76" s="94" t="s">
        <v>301</v>
      </c>
      <c r="C76" s="103"/>
      <c r="D76" s="103"/>
      <c r="E76" s="103"/>
      <c r="F76" s="103"/>
      <c r="G76" s="75"/>
      <c r="H76" s="94" t="s">
        <v>232</v>
      </c>
      <c r="I76" s="103"/>
      <c r="J76" s="103"/>
      <c r="K76" s="103"/>
      <c r="L76" s="103"/>
    </row>
    <row r="77" spans="1:12" ht="20.25" customHeight="1" x14ac:dyDescent="0.25">
      <c r="A77" s="75"/>
      <c r="B77" s="94" t="s">
        <v>302</v>
      </c>
      <c r="C77" s="103"/>
      <c r="D77" s="103"/>
      <c r="E77" s="103"/>
      <c r="F77" s="103"/>
      <c r="G77" s="75"/>
      <c r="H77" s="94" t="s">
        <v>233</v>
      </c>
      <c r="I77" s="103"/>
      <c r="J77" s="103"/>
      <c r="K77" s="103"/>
      <c r="L77" s="103"/>
    </row>
    <row r="78" spans="1:12" ht="20.25" customHeight="1" x14ac:dyDescent="0.25">
      <c r="A78" s="75"/>
      <c r="B78" s="95" t="s">
        <v>303</v>
      </c>
      <c r="C78" s="103">
        <f>C75+C76+C77</f>
        <v>0</v>
      </c>
      <c r="D78" s="103">
        <f t="shared" ref="D78:F78" si="36">D75+D76+D77</f>
        <v>0</v>
      </c>
      <c r="E78" s="103">
        <f t="shared" ref="E78" si="37">E75+E76+E77</f>
        <v>0</v>
      </c>
      <c r="F78" s="103">
        <f t="shared" si="36"/>
        <v>0</v>
      </c>
      <c r="G78" s="75"/>
      <c r="H78" s="95" t="s">
        <v>243</v>
      </c>
      <c r="I78" s="103">
        <f>I75+I76+I77</f>
        <v>0</v>
      </c>
      <c r="J78" s="103">
        <f t="shared" ref="J78:L78" si="38">J75+J76+J77</f>
        <v>0</v>
      </c>
      <c r="K78" s="103">
        <f t="shared" ref="K78" si="39">K75+K76+K77</f>
        <v>0</v>
      </c>
      <c r="L78" s="103">
        <f t="shared" si="38"/>
        <v>0</v>
      </c>
    </row>
    <row r="79" spans="1:12" ht="20.25" customHeight="1" x14ac:dyDescent="0.25">
      <c r="A79" s="75"/>
      <c r="B79" s="69" t="s">
        <v>304</v>
      </c>
      <c r="C79" s="103"/>
      <c r="D79" s="103"/>
      <c r="E79" s="103"/>
      <c r="F79" s="103"/>
      <c r="G79" s="75"/>
      <c r="H79" s="94" t="s">
        <v>235</v>
      </c>
      <c r="I79" s="103"/>
      <c r="J79" s="103"/>
      <c r="K79" s="103"/>
      <c r="L79" s="103"/>
    </row>
    <row r="80" spans="1:12" ht="20.25" customHeight="1" x14ac:dyDescent="0.25">
      <c r="A80" s="75"/>
      <c r="B80" s="69" t="s">
        <v>305</v>
      </c>
      <c r="C80" s="103"/>
      <c r="D80" s="103"/>
      <c r="E80" s="103"/>
      <c r="F80" s="103"/>
      <c r="G80" s="75"/>
      <c r="H80" s="94" t="s">
        <v>234</v>
      </c>
      <c r="I80" s="103"/>
      <c r="J80" s="103"/>
      <c r="K80" s="103"/>
      <c r="L80" s="103"/>
    </row>
    <row r="81" spans="1:12" ht="20.25" customHeight="1" x14ac:dyDescent="0.25">
      <c r="A81" s="75"/>
      <c r="B81" s="70" t="s">
        <v>306</v>
      </c>
      <c r="C81" s="103">
        <f>C79+C80</f>
        <v>0</v>
      </c>
      <c r="D81" s="103">
        <f t="shared" ref="D81:F81" si="40">D79+D80</f>
        <v>0</v>
      </c>
      <c r="E81" s="103">
        <f t="shared" ref="E81" si="41">E79+E80</f>
        <v>0</v>
      </c>
      <c r="F81" s="103">
        <f t="shared" si="40"/>
        <v>0</v>
      </c>
      <c r="G81" s="75"/>
      <c r="H81" s="95" t="s">
        <v>244</v>
      </c>
      <c r="I81" s="103">
        <f>I79+I80</f>
        <v>0</v>
      </c>
      <c r="J81" s="103">
        <f t="shared" ref="J81:L81" si="42">J79+J80</f>
        <v>0</v>
      </c>
      <c r="K81" s="103">
        <f t="shared" ref="K81" si="43">K79+K80</f>
        <v>0</v>
      </c>
      <c r="L81" s="103">
        <f t="shared" si="42"/>
        <v>0</v>
      </c>
    </row>
    <row r="82" spans="1:12" ht="20.25" customHeight="1" x14ac:dyDescent="0.25">
      <c r="A82" s="75"/>
      <c r="B82" s="70" t="s">
        <v>307</v>
      </c>
      <c r="C82" s="103">
        <f>'3.a hivatal részletes'!C105</f>
        <v>126</v>
      </c>
      <c r="D82" s="103">
        <f>'3.a hivatal részletes'!D105</f>
        <v>0</v>
      </c>
      <c r="E82" s="103">
        <f>'3.a hivatal részletes'!E105</f>
        <v>4542</v>
      </c>
      <c r="F82" s="103">
        <f>'3.a hivatal részletes'!F105</f>
        <v>4668</v>
      </c>
      <c r="G82" s="75"/>
      <c r="H82" s="95" t="s">
        <v>236</v>
      </c>
      <c r="I82" s="103"/>
      <c r="J82" s="103"/>
      <c r="K82" s="103"/>
      <c r="L82" s="103"/>
    </row>
    <row r="83" spans="1:12" ht="20.25" customHeight="1" x14ac:dyDescent="0.25">
      <c r="A83" s="75"/>
      <c r="B83" s="70" t="s">
        <v>308</v>
      </c>
      <c r="C83" s="103">
        <f>'3.a hivatal részletes'!C106</f>
        <v>101779</v>
      </c>
      <c r="D83" s="103">
        <f>'3.a hivatal részletes'!D106</f>
        <v>212</v>
      </c>
      <c r="E83" s="103">
        <f>'3.a hivatal részletes'!E106</f>
        <v>1129</v>
      </c>
      <c r="F83" s="103">
        <f>'3.a hivatal részletes'!F106</f>
        <v>103120</v>
      </c>
      <c r="G83" s="75"/>
      <c r="H83" s="75" t="s">
        <v>245</v>
      </c>
      <c r="I83" s="113">
        <f>I78+I81+I82</f>
        <v>0</v>
      </c>
      <c r="J83" s="113">
        <f t="shared" ref="J83:L83" si="44">J78+J81+J82</f>
        <v>0</v>
      </c>
      <c r="K83" s="113">
        <f t="shared" ref="K83" si="45">K78+K81+K82</f>
        <v>0</v>
      </c>
      <c r="L83" s="113">
        <f t="shared" si="44"/>
        <v>0</v>
      </c>
    </row>
    <row r="84" spans="1:12" ht="20.25" customHeight="1" x14ac:dyDescent="0.25">
      <c r="A84" s="75"/>
      <c r="B84" s="80" t="s">
        <v>309</v>
      </c>
      <c r="C84" s="113">
        <f>C78+C81+C82+C83</f>
        <v>101905</v>
      </c>
      <c r="D84" s="113">
        <f t="shared" ref="D84:F84" si="46">D78+D81+D82+D83</f>
        <v>212</v>
      </c>
      <c r="E84" s="113">
        <f t="shared" ref="E84" si="47">E78+E81+E82+E83</f>
        <v>5671</v>
      </c>
      <c r="F84" s="113">
        <f t="shared" si="46"/>
        <v>107788</v>
      </c>
      <c r="G84" s="75"/>
      <c r="H84" s="95"/>
      <c r="I84" s="103"/>
      <c r="J84" s="103"/>
      <c r="K84" s="103"/>
      <c r="L84" s="103"/>
    </row>
    <row r="85" spans="1:12" ht="20.25" customHeight="1" x14ac:dyDescent="0.25">
      <c r="A85" s="90"/>
      <c r="B85" s="79"/>
      <c r="C85" s="104"/>
      <c r="D85" s="104"/>
      <c r="E85" s="104"/>
      <c r="F85" s="104"/>
      <c r="G85" s="90"/>
      <c r="H85" s="90"/>
      <c r="I85" s="104"/>
      <c r="J85" s="104"/>
      <c r="K85" s="104"/>
      <c r="L85" s="104"/>
    </row>
    <row r="86" spans="1:12" ht="20.25" customHeight="1" x14ac:dyDescent="0.25">
      <c r="A86" s="75"/>
      <c r="B86" s="94" t="s">
        <v>300</v>
      </c>
      <c r="C86" s="103"/>
      <c r="D86" s="103"/>
      <c r="E86" s="103"/>
      <c r="F86" s="103"/>
      <c r="G86" s="75"/>
      <c r="H86" s="94" t="s">
        <v>231</v>
      </c>
      <c r="I86" s="103"/>
      <c r="J86" s="103"/>
      <c r="K86" s="103"/>
      <c r="L86" s="103"/>
    </row>
    <row r="87" spans="1:12" ht="20.25" customHeight="1" x14ac:dyDescent="0.25">
      <c r="A87" s="75"/>
      <c r="B87" s="94" t="s">
        <v>301</v>
      </c>
      <c r="C87" s="103"/>
      <c r="D87" s="103"/>
      <c r="E87" s="103"/>
      <c r="F87" s="103"/>
      <c r="G87" s="75"/>
      <c r="H87" s="94" t="s">
        <v>232</v>
      </c>
      <c r="I87" s="103"/>
      <c r="J87" s="103"/>
      <c r="K87" s="103"/>
      <c r="L87" s="103"/>
    </row>
    <row r="88" spans="1:12" ht="20.25" customHeight="1" x14ac:dyDescent="0.25">
      <c r="A88" s="75"/>
      <c r="B88" s="94" t="s">
        <v>302</v>
      </c>
      <c r="C88" s="103"/>
      <c r="D88" s="103"/>
      <c r="E88" s="103"/>
      <c r="F88" s="103"/>
      <c r="G88" s="75"/>
      <c r="H88" s="94" t="s">
        <v>233</v>
      </c>
      <c r="I88" s="103"/>
      <c r="J88" s="103"/>
      <c r="K88" s="103"/>
      <c r="L88" s="103"/>
    </row>
    <row r="89" spans="1:12" ht="20.25" customHeight="1" x14ac:dyDescent="0.25">
      <c r="A89" s="75"/>
      <c r="B89" s="95" t="s">
        <v>303</v>
      </c>
      <c r="C89" s="103">
        <f>C86+C87+C88</f>
        <v>0</v>
      </c>
      <c r="D89" s="103">
        <f t="shared" ref="D89:F89" si="48">D86+D87+D88</f>
        <v>0</v>
      </c>
      <c r="E89" s="103">
        <f t="shared" ref="E89" si="49">E86+E87+E88</f>
        <v>0</v>
      </c>
      <c r="F89" s="103">
        <f t="shared" si="48"/>
        <v>0</v>
      </c>
      <c r="G89" s="75"/>
      <c r="H89" s="95" t="s">
        <v>243</v>
      </c>
      <c r="I89" s="103">
        <f>I86+I87+I88</f>
        <v>0</v>
      </c>
      <c r="J89" s="103">
        <f t="shared" ref="J89:L89" si="50">J86+J87+J88</f>
        <v>0</v>
      </c>
      <c r="K89" s="103">
        <f t="shared" ref="K89" si="51">K86+K87+K88</f>
        <v>0</v>
      </c>
      <c r="L89" s="103">
        <f t="shared" si="50"/>
        <v>0</v>
      </c>
    </row>
    <row r="90" spans="1:12" ht="20.25" customHeight="1" x14ac:dyDescent="0.25">
      <c r="A90" s="75"/>
      <c r="B90" s="69" t="s">
        <v>304</v>
      </c>
      <c r="C90" s="103"/>
      <c r="D90" s="103"/>
      <c r="E90" s="103"/>
      <c r="F90" s="103"/>
      <c r="G90" s="75"/>
      <c r="H90" s="94" t="s">
        <v>235</v>
      </c>
      <c r="I90" s="103"/>
      <c r="J90" s="103"/>
      <c r="K90" s="103"/>
      <c r="L90" s="103"/>
    </row>
    <row r="91" spans="1:12" ht="20.25" customHeight="1" x14ac:dyDescent="0.25">
      <c r="A91" s="75"/>
      <c r="B91" s="69" t="s">
        <v>305</v>
      </c>
      <c r="C91" s="103"/>
      <c r="D91" s="103"/>
      <c r="E91" s="103"/>
      <c r="F91" s="103"/>
      <c r="G91" s="75"/>
      <c r="H91" s="94" t="s">
        <v>234</v>
      </c>
      <c r="I91" s="103"/>
      <c r="J91" s="103"/>
      <c r="K91" s="103"/>
      <c r="L91" s="103"/>
    </row>
    <row r="92" spans="1:12" ht="20.25" customHeight="1" x14ac:dyDescent="0.25">
      <c r="A92" s="75"/>
      <c r="B92" s="70" t="s">
        <v>306</v>
      </c>
      <c r="C92" s="103">
        <f>C90+C91</f>
        <v>0</v>
      </c>
      <c r="D92" s="103">
        <f t="shared" ref="D92:F92" si="52">D90+D91</f>
        <v>0</v>
      </c>
      <c r="E92" s="103">
        <f t="shared" ref="E92" si="53">E90+E91</f>
        <v>0</v>
      </c>
      <c r="F92" s="103">
        <f t="shared" si="52"/>
        <v>0</v>
      </c>
      <c r="G92" s="75"/>
      <c r="H92" s="95" t="s">
        <v>244</v>
      </c>
      <c r="I92" s="103">
        <f>I90+I91</f>
        <v>0</v>
      </c>
      <c r="J92" s="103">
        <f t="shared" ref="J92:L92" si="54">J90+J91</f>
        <v>0</v>
      </c>
      <c r="K92" s="103">
        <f t="shared" ref="K92" si="55">K90+K91</f>
        <v>0</v>
      </c>
      <c r="L92" s="103">
        <f t="shared" si="54"/>
        <v>0</v>
      </c>
    </row>
    <row r="93" spans="1:12" ht="20.25" customHeight="1" x14ac:dyDescent="0.25">
      <c r="A93" s="75"/>
      <c r="B93" s="70" t="s">
        <v>311</v>
      </c>
      <c r="C93" s="103"/>
      <c r="D93" s="103"/>
      <c r="E93" s="103"/>
      <c r="F93" s="103"/>
      <c r="G93" s="75"/>
      <c r="H93" s="95" t="s">
        <v>236</v>
      </c>
      <c r="I93" s="103"/>
      <c r="J93" s="103"/>
      <c r="K93" s="103"/>
      <c r="L93" s="103"/>
    </row>
    <row r="94" spans="1:12" ht="20.25" customHeight="1" x14ac:dyDescent="0.25">
      <c r="A94" s="75"/>
      <c r="B94" s="70" t="s">
        <v>308</v>
      </c>
      <c r="C94" s="103">
        <f>'3.a hivatal részletes'!C117</f>
        <v>1480</v>
      </c>
      <c r="D94" s="103">
        <f>'3.a hivatal részletes'!D117</f>
        <v>0</v>
      </c>
      <c r="E94" s="103">
        <f>'3.a hivatal részletes'!E117</f>
        <v>0</v>
      </c>
      <c r="F94" s="103">
        <f>'3.a hivatal részletes'!F117</f>
        <v>1480</v>
      </c>
      <c r="G94" s="75"/>
      <c r="H94" s="75" t="s">
        <v>246</v>
      </c>
      <c r="I94" s="113">
        <f>I89+I92+I93</f>
        <v>0</v>
      </c>
      <c r="J94" s="113">
        <f t="shared" ref="J94:L94" si="56">J89+J92+J93</f>
        <v>0</v>
      </c>
      <c r="K94" s="113">
        <f t="shared" ref="K94" si="57">K89+K92+K93</f>
        <v>0</v>
      </c>
      <c r="L94" s="113">
        <f t="shared" si="56"/>
        <v>0</v>
      </c>
    </row>
    <row r="95" spans="1:12" ht="20.25" customHeight="1" x14ac:dyDescent="0.25">
      <c r="A95" s="110"/>
      <c r="B95" s="80" t="s">
        <v>310</v>
      </c>
      <c r="C95" s="113">
        <f>C89+C92+C93+C94</f>
        <v>1480</v>
      </c>
      <c r="D95" s="113">
        <f t="shared" ref="D95:F95" si="58">D89+D92+D93+D94</f>
        <v>0</v>
      </c>
      <c r="E95" s="113">
        <f t="shared" ref="E95" si="59">E89+E92+E93+E94</f>
        <v>0</v>
      </c>
      <c r="F95" s="113">
        <f t="shared" si="58"/>
        <v>1480</v>
      </c>
      <c r="G95" s="110"/>
      <c r="H95" s="95"/>
      <c r="I95" s="103"/>
      <c r="J95" s="103"/>
      <c r="K95" s="103"/>
      <c r="L95" s="103"/>
    </row>
    <row r="96" spans="1:12" ht="20.25" customHeight="1" x14ac:dyDescent="0.25">
      <c r="A96" s="740" t="s">
        <v>143</v>
      </c>
      <c r="B96" s="741"/>
      <c r="C96" s="428">
        <f>C2+C57+C74</f>
        <v>113175.43</v>
      </c>
      <c r="D96" s="428">
        <f t="shared" ref="D96" si="60">D2+D57+D74</f>
        <v>212</v>
      </c>
      <c r="E96" s="428">
        <f t="shared" ref="E96" si="61">E2+E57+E74</f>
        <v>146</v>
      </c>
      <c r="F96" s="428">
        <f>F2+F57+F74</f>
        <v>113533.43</v>
      </c>
      <c r="G96" s="740" t="s">
        <v>144</v>
      </c>
      <c r="H96" s="741"/>
      <c r="I96" s="428">
        <f>I2+I57+I74</f>
        <v>113175.1586796</v>
      </c>
      <c r="J96" s="428">
        <f t="shared" ref="J96:L96" si="62">J2+J57+J74</f>
        <v>212</v>
      </c>
      <c r="K96" s="428">
        <f t="shared" ref="K96" si="63">K2+K57+K74</f>
        <v>146</v>
      </c>
      <c r="L96" s="428">
        <f t="shared" si="62"/>
        <v>113533.1586796</v>
      </c>
    </row>
    <row r="98" spans="9:12" x14ac:dyDescent="0.25">
      <c r="I98" s="117">
        <f>C96-I96</f>
        <v>0.27132039998832624</v>
      </c>
      <c r="J98" s="117">
        <f>D96-J96</f>
        <v>0</v>
      </c>
      <c r="K98" s="117">
        <f>E96-K96</f>
        <v>0</v>
      </c>
      <c r="L98" s="117">
        <f t="shared" ref="L98" si="64">F96-L96</f>
        <v>0.27132039998832624</v>
      </c>
    </row>
  </sheetData>
  <mergeCells count="2">
    <mergeCell ref="A96:B96"/>
    <mergeCell ref="G96:H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&amp;CTaksony Nagyközség Önkormányzat 2016. évi költségvetés 
2. sz. módosítás&amp;R3.sz. melléklet</oddHeader>
    <oddFooter xml:space="preserve">&amp;LKészült: &amp;D
&amp;R/:Kreisz László://:Dr.Micheller Anita:/       </oddFooter>
  </headerFooter>
  <rowBreaks count="1" manualBreakCount="1">
    <brk id="56" max="9" man="1"/>
  </rowBreaks>
  <colBreaks count="1" manualBreakCount="1">
    <brk id="6" max="9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M126"/>
  <sheetViews>
    <sheetView tabSelected="1" view="pageBreakPreview" zoomScale="70" zoomScaleNormal="90" zoomScaleSheetLayoutView="70" workbookViewId="0">
      <selection activeCell="C12" sqref="C12"/>
    </sheetView>
  </sheetViews>
  <sheetFormatPr defaultRowHeight="15" x14ac:dyDescent="0.25"/>
  <cols>
    <col min="1" max="1" width="6.7109375" style="21" customWidth="1"/>
    <col min="2" max="2" width="71.5703125" style="21" customWidth="1"/>
    <col min="3" max="6" width="20.85546875" style="21" customWidth="1"/>
    <col min="7" max="7" width="6.7109375" style="21" customWidth="1"/>
    <col min="8" max="8" width="71.5703125" style="21" customWidth="1"/>
    <col min="9" max="12" width="20.7109375" style="21" customWidth="1"/>
    <col min="13" max="16384" width="9.140625" style="21"/>
  </cols>
  <sheetData>
    <row r="1" spans="1:12" ht="40.5" customHeight="1" x14ac:dyDescent="0.25">
      <c r="A1" s="76"/>
      <c r="B1" s="77" t="s">
        <v>509</v>
      </c>
      <c r="C1" s="76" t="s">
        <v>1101</v>
      </c>
      <c r="D1" s="76" t="s">
        <v>1106</v>
      </c>
      <c r="E1" s="657" t="s">
        <v>1110</v>
      </c>
      <c r="F1" s="76" t="s">
        <v>1102</v>
      </c>
      <c r="G1" s="76"/>
      <c r="H1" s="77" t="s">
        <v>510</v>
      </c>
      <c r="I1" s="76" t="s">
        <v>1101</v>
      </c>
      <c r="J1" s="76" t="s">
        <v>1106</v>
      </c>
      <c r="K1" s="657" t="s">
        <v>1110</v>
      </c>
      <c r="L1" s="76" t="s">
        <v>1102</v>
      </c>
    </row>
    <row r="2" spans="1:12" ht="20.25" customHeight="1" x14ac:dyDescent="0.25">
      <c r="A2" s="689"/>
      <c r="B2" s="690" t="s">
        <v>180</v>
      </c>
      <c r="C2" s="691">
        <f>C3+C21+C23+C59</f>
        <v>9790.43</v>
      </c>
      <c r="D2" s="691">
        <f t="shared" ref="D2:F2" si="0">D3+D21+D23+D59</f>
        <v>0</v>
      </c>
      <c r="E2" s="691">
        <f t="shared" ref="E2" si="1">E3+E21+E23+E59</f>
        <v>-5525</v>
      </c>
      <c r="F2" s="691">
        <f t="shared" si="0"/>
        <v>4265.43</v>
      </c>
      <c r="G2" s="689"/>
      <c r="H2" s="690" t="s">
        <v>196</v>
      </c>
      <c r="I2" s="691">
        <f>I3+I17+I21+I66+I73</f>
        <v>111695.6086796</v>
      </c>
      <c r="J2" s="691">
        <f t="shared" ref="J2:L2" si="2">J3+J17+J21+J66+J73</f>
        <v>212</v>
      </c>
      <c r="K2" s="691">
        <f t="shared" ref="K2" si="3">K3+K17+K21+K66+K73</f>
        <v>0</v>
      </c>
      <c r="L2" s="691">
        <f t="shared" si="2"/>
        <v>111907.6086796</v>
      </c>
    </row>
    <row r="3" spans="1:12" ht="20.25" customHeight="1" x14ac:dyDescent="0.25">
      <c r="A3" s="421" t="s">
        <v>23</v>
      </c>
      <c r="B3" s="422" t="s">
        <v>405</v>
      </c>
      <c r="C3" s="423">
        <f>C4+C12+C13+C14+C15+C16</f>
        <v>0</v>
      </c>
      <c r="D3" s="423">
        <f t="shared" ref="D3:F3" si="4">D4+D12+D13+D14+D15+D16</f>
        <v>0</v>
      </c>
      <c r="E3" s="423">
        <f t="shared" ref="E3" si="5">E4+E12+E13+E14+E15+E16</f>
        <v>0</v>
      </c>
      <c r="F3" s="423">
        <f t="shared" si="4"/>
        <v>0</v>
      </c>
      <c r="G3" s="421" t="s">
        <v>23</v>
      </c>
      <c r="H3" s="414" t="s">
        <v>313</v>
      </c>
      <c r="I3" s="415">
        <f>I12+I16</f>
        <v>73168</v>
      </c>
      <c r="J3" s="415">
        <f t="shared" ref="J3:L3" si="6">J12+J16</f>
        <v>167</v>
      </c>
      <c r="K3" s="415">
        <f t="shared" ref="K3" si="7">K12+K16</f>
        <v>0</v>
      </c>
      <c r="L3" s="415">
        <f t="shared" si="6"/>
        <v>73335</v>
      </c>
    </row>
    <row r="4" spans="1:12" ht="20.25" customHeight="1" x14ac:dyDescent="0.25">
      <c r="A4" s="70"/>
      <c r="B4" s="111" t="s">
        <v>446</v>
      </c>
      <c r="C4" s="109">
        <f>SUM(C5:C8)</f>
        <v>0</v>
      </c>
      <c r="D4" s="109"/>
      <c r="E4" s="109"/>
      <c r="F4" s="109"/>
      <c r="G4" s="80"/>
      <c r="H4" s="69" t="s">
        <v>1078</v>
      </c>
      <c r="I4" s="97">
        <f>62773+4000</f>
        <v>66773</v>
      </c>
      <c r="J4" s="97"/>
      <c r="K4" s="97"/>
      <c r="L4" s="97">
        <f>I4+J4</f>
        <v>66773</v>
      </c>
    </row>
    <row r="5" spans="1:12" ht="24" customHeight="1" x14ac:dyDescent="0.25">
      <c r="A5" s="80"/>
      <c r="B5" s="84" t="s">
        <v>407</v>
      </c>
      <c r="C5" s="109">
        <v>0</v>
      </c>
      <c r="D5" s="109"/>
      <c r="E5" s="109"/>
      <c r="F5" s="109"/>
      <c r="G5" s="80"/>
      <c r="H5" s="69" t="s">
        <v>314</v>
      </c>
      <c r="I5" s="97"/>
      <c r="J5" s="97"/>
      <c r="K5" s="97"/>
      <c r="L5" s="97">
        <f t="shared" ref="L5:L11" si="8">I5+J5</f>
        <v>0</v>
      </c>
    </row>
    <row r="6" spans="1:12" ht="24" customHeight="1" x14ac:dyDescent="0.25">
      <c r="A6" s="80"/>
      <c r="B6" s="84" t="s">
        <v>408</v>
      </c>
      <c r="C6" s="109"/>
      <c r="D6" s="109"/>
      <c r="E6" s="109"/>
      <c r="F6" s="109"/>
      <c r="G6" s="80"/>
      <c r="H6" s="69" t="s">
        <v>315</v>
      </c>
      <c r="I6" s="97"/>
      <c r="J6" s="97"/>
      <c r="K6" s="97"/>
      <c r="L6" s="97">
        <f t="shared" si="8"/>
        <v>0</v>
      </c>
    </row>
    <row r="7" spans="1:12" ht="30" x14ac:dyDescent="0.25">
      <c r="A7" s="80"/>
      <c r="B7" s="84" t="s">
        <v>1044</v>
      </c>
      <c r="C7" s="109"/>
      <c r="D7" s="109"/>
      <c r="E7" s="109"/>
      <c r="F7" s="109"/>
      <c r="G7" s="80"/>
      <c r="H7" s="69" t="s">
        <v>316</v>
      </c>
      <c r="I7" s="97">
        <v>0</v>
      </c>
      <c r="J7" s="97"/>
      <c r="K7" s="97"/>
      <c r="L7" s="97">
        <f t="shared" si="8"/>
        <v>0</v>
      </c>
    </row>
    <row r="8" spans="1:12" ht="22.5" customHeight="1" x14ac:dyDescent="0.25">
      <c r="A8" s="80"/>
      <c r="B8" s="84" t="s">
        <v>409</v>
      </c>
      <c r="C8" s="109"/>
      <c r="D8" s="109"/>
      <c r="E8" s="109"/>
      <c r="F8" s="109"/>
      <c r="G8" s="80"/>
      <c r="H8" s="69" t="s">
        <v>1079</v>
      </c>
      <c r="I8" s="97">
        <f>148*20+570</f>
        <v>3530</v>
      </c>
      <c r="J8" s="97"/>
      <c r="K8" s="97"/>
      <c r="L8" s="97">
        <f t="shared" si="8"/>
        <v>3530</v>
      </c>
    </row>
    <row r="9" spans="1:12" ht="24.75" customHeight="1" x14ac:dyDescent="0.25">
      <c r="A9" s="80"/>
      <c r="B9" s="84" t="s">
        <v>1045</v>
      </c>
      <c r="C9" s="82" t="s">
        <v>253</v>
      </c>
      <c r="D9" s="82"/>
      <c r="E9" s="82"/>
      <c r="F9" s="82"/>
      <c r="G9" s="80"/>
      <c r="H9" s="69" t="s">
        <v>318</v>
      </c>
      <c r="I9" s="97">
        <v>301</v>
      </c>
      <c r="J9" s="97"/>
      <c r="K9" s="97"/>
      <c r="L9" s="97">
        <f t="shared" si="8"/>
        <v>301</v>
      </c>
    </row>
    <row r="10" spans="1:12" ht="18" customHeight="1" x14ac:dyDescent="0.25">
      <c r="A10" s="80"/>
      <c r="B10" s="84" t="s">
        <v>1046</v>
      </c>
      <c r="C10" s="82" t="s">
        <v>253</v>
      </c>
      <c r="D10" s="82"/>
      <c r="E10" s="82"/>
      <c r="F10" s="82"/>
      <c r="G10" s="85"/>
      <c r="H10" s="69" t="s">
        <v>965</v>
      </c>
      <c r="I10" s="435">
        <f>160+92.5*2</f>
        <v>345</v>
      </c>
      <c r="J10" s="435"/>
      <c r="K10" s="435"/>
      <c r="L10" s="97">
        <f t="shared" si="8"/>
        <v>345</v>
      </c>
    </row>
    <row r="11" spans="1:12" ht="20.25" customHeight="1" x14ac:dyDescent="0.25">
      <c r="A11" s="80"/>
      <c r="B11" s="88"/>
      <c r="C11" s="82"/>
      <c r="D11" s="82"/>
      <c r="E11" s="82"/>
      <c r="F11" s="82"/>
      <c r="G11" s="85"/>
      <c r="H11" s="69" t="s">
        <v>927</v>
      </c>
      <c r="I11" s="107">
        <v>19</v>
      </c>
      <c r="J11" s="107">
        <v>167</v>
      </c>
      <c r="K11" s="107"/>
      <c r="L11" s="97">
        <f t="shared" si="8"/>
        <v>186</v>
      </c>
    </row>
    <row r="12" spans="1:12" ht="20.25" customHeight="1" x14ac:dyDescent="0.25">
      <c r="A12" s="80"/>
      <c r="B12" s="84" t="s">
        <v>412</v>
      </c>
      <c r="C12" s="82"/>
      <c r="D12" s="82"/>
      <c r="E12" s="82"/>
      <c r="F12" s="82"/>
      <c r="G12" s="85"/>
      <c r="H12" s="70" t="s">
        <v>321</v>
      </c>
      <c r="I12" s="107">
        <f>I4+I5+I6+I7+I8+I9+I10+I11</f>
        <v>70968</v>
      </c>
      <c r="J12" s="107">
        <f t="shared" ref="J12:L12" si="9">J4+J5+J6+J7+J8+J9+J10+J11</f>
        <v>167</v>
      </c>
      <c r="K12" s="107">
        <f t="shared" ref="K12" si="10">K4+K5+K6+K7+K8+K9+K10+K11</f>
        <v>0</v>
      </c>
      <c r="L12" s="107">
        <f t="shared" si="9"/>
        <v>71135</v>
      </c>
    </row>
    <row r="13" spans="1:12" ht="30" x14ac:dyDescent="0.25">
      <c r="A13" s="70"/>
      <c r="B13" s="84" t="s">
        <v>413</v>
      </c>
      <c r="C13" s="109"/>
      <c r="D13" s="109"/>
      <c r="E13" s="109"/>
      <c r="F13" s="109"/>
      <c r="G13" s="85"/>
      <c r="H13" s="69" t="s">
        <v>322</v>
      </c>
      <c r="I13" s="99"/>
      <c r="J13" s="99"/>
      <c r="K13" s="99"/>
      <c r="L13" s="99"/>
    </row>
    <row r="14" spans="1:12" ht="29.25" customHeight="1" x14ac:dyDescent="0.25">
      <c r="A14" s="70"/>
      <c r="B14" s="84" t="s">
        <v>414</v>
      </c>
      <c r="C14" s="109"/>
      <c r="D14" s="109"/>
      <c r="E14" s="109"/>
      <c r="F14" s="109"/>
      <c r="G14" s="85"/>
      <c r="H14" s="69" t="s">
        <v>323</v>
      </c>
      <c r="I14" s="107"/>
      <c r="J14" s="107">
        <v>800</v>
      </c>
      <c r="K14" s="107"/>
      <c r="L14" s="97">
        <f t="shared" ref="L14:L15" si="11">I14+J14</f>
        <v>800</v>
      </c>
    </row>
    <row r="15" spans="1:12" ht="29.25" customHeight="1" x14ac:dyDescent="0.25">
      <c r="A15" s="70"/>
      <c r="B15" s="84" t="s">
        <v>415</v>
      </c>
      <c r="C15" s="109"/>
      <c r="D15" s="109"/>
      <c r="E15" s="109"/>
      <c r="F15" s="109"/>
      <c r="G15" s="85"/>
      <c r="H15" s="436" t="s">
        <v>1065</v>
      </c>
      <c r="I15" s="315">
        <f>(50+25+20)*12+400+90+47.5*12</f>
        <v>2200</v>
      </c>
      <c r="J15" s="315">
        <v>-800</v>
      </c>
      <c r="K15" s="315"/>
      <c r="L15" s="97">
        <f t="shared" si="11"/>
        <v>1400</v>
      </c>
    </row>
    <row r="16" spans="1:12" ht="21" customHeight="1" x14ac:dyDescent="0.25">
      <c r="A16" s="70"/>
      <c r="B16" s="84" t="s">
        <v>416</v>
      </c>
      <c r="C16" s="109"/>
      <c r="D16" s="109"/>
      <c r="E16" s="109"/>
      <c r="F16" s="109"/>
      <c r="G16" s="85"/>
      <c r="H16" s="70" t="s">
        <v>325</v>
      </c>
      <c r="I16" s="107">
        <f>I13+I14+I15</f>
        <v>2200</v>
      </c>
      <c r="J16" s="107">
        <f t="shared" ref="J16:L16" si="12">J13+J14+J15</f>
        <v>0</v>
      </c>
      <c r="K16" s="107">
        <f t="shared" ref="K16" si="13">K13+K14+K15</f>
        <v>0</v>
      </c>
      <c r="L16" s="107">
        <f t="shared" si="12"/>
        <v>2200</v>
      </c>
    </row>
    <row r="17" spans="1:12" ht="18.75" customHeight="1" x14ac:dyDescent="0.25">
      <c r="A17" s="70"/>
      <c r="B17" s="88"/>
      <c r="C17" s="109"/>
      <c r="D17" s="109"/>
      <c r="E17" s="109"/>
      <c r="F17" s="109"/>
      <c r="G17" s="421" t="s">
        <v>45</v>
      </c>
      <c r="H17" s="414" t="s">
        <v>326</v>
      </c>
      <c r="I17" s="415">
        <f>SUM(I18:I20)</f>
        <v>20343.158021600004</v>
      </c>
      <c r="J17" s="415">
        <f t="shared" ref="J17:L17" si="14">SUM(J18:J20)</f>
        <v>45</v>
      </c>
      <c r="K17" s="415">
        <f t="shared" ref="K17" si="15">SUM(K18:K20)</f>
        <v>0</v>
      </c>
      <c r="L17" s="415">
        <f t="shared" si="14"/>
        <v>20388.158021600004</v>
      </c>
    </row>
    <row r="18" spans="1:12" ht="18.75" customHeight="1" x14ac:dyDescent="0.25">
      <c r="A18" s="70"/>
      <c r="B18" s="88"/>
      <c r="C18" s="109"/>
      <c r="D18" s="109"/>
      <c r="E18" s="109"/>
      <c r="F18" s="109"/>
      <c r="G18" s="80"/>
      <c r="H18" s="94" t="s">
        <v>890</v>
      </c>
      <c r="I18" s="107">
        <f>(I4+I16)*27%</f>
        <v>18622.710000000003</v>
      </c>
      <c r="J18" s="107">
        <v>45</v>
      </c>
      <c r="K18" s="107"/>
      <c r="L18" s="97">
        <f t="shared" ref="L18:L65" si="16">I18+J18</f>
        <v>18667.710000000003</v>
      </c>
    </row>
    <row r="19" spans="1:12" ht="18.75" customHeight="1" x14ac:dyDescent="0.25">
      <c r="A19" s="70"/>
      <c r="B19" s="88"/>
      <c r="C19" s="109"/>
      <c r="D19" s="109"/>
      <c r="E19" s="109"/>
      <c r="F19" s="109"/>
      <c r="G19" s="80"/>
      <c r="H19" s="71" t="s">
        <v>924</v>
      </c>
      <c r="I19" s="107">
        <f>I8*1.19*14%+(I10+I39*127%*20%)*1.19*27%</f>
        <v>910.9697996000001</v>
      </c>
      <c r="J19" s="107"/>
      <c r="K19" s="107"/>
      <c r="L19" s="97">
        <f t="shared" si="16"/>
        <v>910.9697996000001</v>
      </c>
    </row>
    <row r="20" spans="1:12" ht="18.75" customHeight="1" x14ac:dyDescent="0.25">
      <c r="A20" s="70"/>
      <c r="B20" s="88"/>
      <c r="C20" s="109"/>
      <c r="D20" s="109"/>
      <c r="E20" s="109"/>
      <c r="F20" s="109"/>
      <c r="G20" s="80"/>
      <c r="H20" s="71" t="s">
        <v>925</v>
      </c>
      <c r="I20" s="107">
        <f>I8*1.19*15%+(I10+I39*127%*20%)*1.19*15%</f>
        <v>809.47822199999996</v>
      </c>
      <c r="J20" s="107"/>
      <c r="K20" s="107"/>
      <c r="L20" s="97">
        <f t="shared" si="16"/>
        <v>809.47822199999996</v>
      </c>
    </row>
    <row r="21" spans="1:12" ht="20.25" customHeight="1" x14ac:dyDescent="0.25">
      <c r="A21" s="421" t="s">
        <v>45</v>
      </c>
      <c r="B21" s="414" t="s">
        <v>448</v>
      </c>
      <c r="C21" s="415">
        <f>0</f>
        <v>0</v>
      </c>
      <c r="D21" s="415">
        <f>0</f>
        <v>0</v>
      </c>
      <c r="E21" s="415">
        <f>0</f>
        <v>0</v>
      </c>
      <c r="F21" s="415">
        <f>0</f>
        <v>0</v>
      </c>
      <c r="G21" s="421" t="s">
        <v>56</v>
      </c>
      <c r="H21" s="414" t="s">
        <v>327</v>
      </c>
      <c r="I21" s="415">
        <f>I34+I40+I56+I59+I65</f>
        <v>18184.450658000002</v>
      </c>
      <c r="J21" s="415">
        <f t="shared" ref="J21:L21" si="17">J34+J40+J56+J59+J65</f>
        <v>0</v>
      </c>
      <c r="K21" s="415">
        <f t="shared" ref="K21" si="18">K34+K40+K56+K59+K65</f>
        <v>0</v>
      </c>
      <c r="L21" s="415">
        <f t="shared" si="17"/>
        <v>18184.450658000002</v>
      </c>
    </row>
    <row r="22" spans="1:12" ht="20.25" customHeight="1" x14ac:dyDescent="0.25">
      <c r="A22" s="86"/>
      <c r="B22" s="88"/>
      <c r="C22" s="97"/>
      <c r="D22" s="97"/>
      <c r="E22" s="97"/>
      <c r="F22" s="97"/>
      <c r="G22" s="71"/>
      <c r="H22" s="71" t="s">
        <v>328</v>
      </c>
      <c r="I22" s="107">
        <f>SUM(I23:I25)</f>
        <v>160</v>
      </c>
      <c r="J22" s="107"/>
      <c r="K22" s="107"/>
      <c r="L22" s="97">
        <f t="shared" si="16"/>
        <v>160</v>
      </c>
    </row>
    <row r="23" spans="1:12" ht="20.25" customHeight="1" x14ac:dyDescent="0.25">
      <c r="A23" s="421" t="s">
        <v>56</v>
      </c>
      <c r="B23" s="414" t="s">
        <v>447</v>
      </c>
      <c r="C23" s="415">
        <f>C24+C25+C31+C32+C33+C42+C43+C44+C45+C46</f>
        <v>1408.43</v>
      </c>
      <c r="D23" s="415">
        <f t="shared" ref="D23:F23" si="19">D24+D25+D31+D32+D33+D42+D43+D44+D45+D46</f>
        <v>0</v>
      </c>
      <c r="E23" s="415">
        <f t="shared" ref="E23" si="20">E24+E25+E31+E32+E33+E42+E43+E44+E45+E46</f>
        <v>0</v>
      </c>
      <c r="F23" s="415">
        <f t="shared" si="19"/>
        <v>1408.43</v>
      </c>
      <c r="G23" s="71"/>
      <c r="H23" s="71" t="s">
        <v>329</v>
      </c>
      <c r="I23" s="107">
        <v>10</v>
      </c>
      <c r="J23" s="107"/>
      <c r="K23" s="107"/>
      <c r="L23" s="97">
        <f t="shared" si="16"/>
        <v>10</v>
      </c>
    </row>
    <row r="24" spans="1:12" ht="20.25" customHeight="1" x14ac:dyDescent="0.25">
      <c r="A24" s="86"/>
      <c r="B24" s="89" t="s">
        <v>449</v>
      </c>
      <c r="C24" s="103"/>
      <c r="D24" s="103"/>
      <c r="E24" s="103"/>
      <c r="F24" s="103"/>
      <c r="G24" s="71"/>
      <c r="H24" s="71" t="s">
        <v>330</v>
      </c>
      <c r="I24" s="107">
        <v>150</v>
      </c>
      <c r="J24" s="107"/>
      <c r="K24" s="107"/>
      <c r="L24" s="97">
        <f t="shared" si="16"/>
        <v>150</v>
      </c>
    </row>
    <row r="25" spans="1:12" ht="20.25" customHeight="1" x14ac:dyDescent="0.25">
      <c r="A25" s="86"/>
      <c r="B25" s="89" t="s">
        <v>450</v>
      </c>
      <c r="C25" s="103">
        <f>SUM(C26:C30)</f>
        <v>1109</v>
      </c>
      <c r="D25" s="103"/>
      <c r="E25" s="103"/>
      <c r="F25" s="103">
        <f>C25+D25</f>
        <v>1109</v>
      </c>
      <c r="G25" s="71"/>
      <c r="H25" s="71" t="s">
        <v>331</v>
      </c>
      <c r="I25" s="107"/>
      <c r="J25" s="107"/>
      <c r="K25" s="107"/>
      <c r="L25" s="97">
        <f t="shared" si="16"/>
        <v>0</v>
      </c>
    </row>
    <row r="26" spans="1:12" ht="20.25" customHeight="1" x14ac:dyDescent="0.25">
      <c r="A26" s="86"/>
      <c r="B26" s="89" t="s">
        <v>904</v>
      </c>
      <c r="C26" s="103">
        <f>12.2*5</f>
        <v>61</v>
      </c>
      <c r="D26" s="103"/>
      <c r="E26" s="103"/>
      <c r="F26" s="103">
        <f t="shared" ref="F26:F30" si="21">C26+D26</f>
        <v>61</v>
      </c>
      <c r="G26" s="71"/>
      <c r="H26" s="71" t="s">
        <v>338</v>
      </c>
      <c r="I26" s="107">
        <f>SUM(I27:I32)</f>
        <v>1130</v>
      </c>
      <c r="J26" s="107">
        <f t="shared" ref="J26:K26" si="22">SUM(J27:J32)</f>
        <v>0</v>
      </c>
      <c r="K26" s="107">
        <f t="shared" si="22"/>
        <v>0</v>
      </c>
      <c r="L26" s="97">
        <f t="shared" si="16"/>
        <v>1130</v>
      </c>
    </row>
    <row r="27" spans="1:12" ht="20.25" customHeight="1" x14ac:dyDescent="0.25">
      <c r="A27" s="86"/>
      <c r="B27" s="89" t="s">
        <v>875</v>
      </c>
      <c r="C27" s="103">
        <v>30</v>
      </c>
      <c r="D27" s="103"/>
      <c r="E27" s="103"/>
      <c r="F27" s="103">
        <f t="shared" si="21"/>
        <v>30</v>
      </c>
      <c r="G27" s="71"/>
      <c r="H27" s="71" t="s">
        <v>332</v>
      </c>
      <c r="I27" s="99"/>
      <c r="J27" s="99"/>
      <c r="K27" s="99"/>
      <c r="L27" s="97">
        <f t="shared" si="16"/>
        <v>0</v>
      </c>
    </row>
    <row r="28" spans="1:12" ht="20.25" customHeight="1" x14ac:dyDescent="0.25">
      <c r="A28" s="86"/>
      <c r="B28" s="88" t="s">
        <v>468</v>
      </c>
      <c r="C28" s="103"/>
      <c r="D28" s="103"/>
      <c r="E28" s="103"/>
      <c r="F28" s="103">
        <f t="shared" si="21"/>
        <v>0</v>
      </c>
      <c r="G28" s="71"/>
      <c r="H28" s="71" t="s">
        <v>333</v>
      </c>
      <c r="I28" s="107">
        <f>800+100</f>
        <v>900</v>
      </c>
      <c r="J28" s="107"/>
      <c r="K28" s="107"/>
      <c r="L28" s="97">
        <f t="shared" si="16"/>
        <v>900</v>
      </c>
    </row>
    <row r="29" spans="1:12" ht="20.25" customHeight="1" x14ac:dyDescent="0.25">
      <c r="A29" s="86"/>
      <c r="B29" s="89" t="s">
        <v>887</v>
      </c>
      <c r="C29" s="103">
        <f>142*4</f>
        <v>568</v>
      </c>
      <c r="D29" s="103"/>
      <c r="E29" s="103"/>
      <c r="F29" s="103">
        <f t="shared" si="21"/>
        <v>568</v>
      </c>
      <c r="G29" s="71"/>
      <c r="H29" s="71" t="s">
        <v>334</v>
      </c>
      <c r="I29" s="107">
        <v>30</v>
      </c>
      <c r="J29" s="107"/>
      <c r="K29" s="107"/>
      <c r="L29" s="97">
        <f t="shared" si="16"/>
        <v>30</v>
      </c>
    </row>
    <row r="30" spans="1:12" ht="20.25" customHeight="1" x14ac:dyDescent="0.25">
      <c r="A30" s="86"/>
      <c r="B30" s="89" t="s">
        <v>888</v>
      </c>
      <c r="C30" s="103">
        <v>450</v>
      </c>
      <c r="D30" s="103"/>
      <c r="E30" s="103"/>
      <c r="F30" s="103">
        <f t="shared" si="21"/>
        <v>450</v>
      </c>
      <c r="G30" s="71"/>
      <c r="H30" s="71" t="s">
        <v>335</v>
      </c>
      <c r="I30" s="99"/>
      <c r="J30" s="99"/>
      <c r="K30" s="99"/>
      <c r="L30" s="97">
        <f t="shared" si="16"/>
        <v>0</v>
      </c>
    </row>
    <row r="31" spans="1:12" ht="20.25" customHeight="1" x14ac:dyDescent="0.25">
      <c r="A31" s="86"/>
      <c r="B31" s="89" t="s">
        <v>451</v>
      </c>
      <c r="C31" s="103"/>
      <c r="D31" s="103"/>
      <c r="E31" s="103"/>
      <c r="F31" s="103"/>
      <c r="G31" s="71"/>
      <c r="H31" s="71" t="s">
        <v>336</v>
      </c>
      <c r="I31" s="99"/>
      <c r="J31" s="99"/>
      <c r="K31" s="99"/>
      <c r="L31" s="97">
        <f t="shared" si="16"/>
        <v>0</v>
      </c>
    </row>
    <row r="32" spans="1:12" ht="20.25" customHeight="1" x14ac:dyDescent="0.25">
      <c r="A32" s="86"/>
      <c r="B32" s="89" t="s">
        <v>452</v>
      </c>
      <c r="C32" s="103"/>
      <c r="D32" s="103"/>
      <c r="E32" s="103"/>
      <c r="F32" s="103"/>
      <c r="G32" s="71"/>
      <c r="H32" s="71" t="s">
        <v>337</v>
      </c>
      <c r="I32" s="107">
        <v>200</v>
      </c>
      <c r="J32" s="107"/>
      <c r="K32" s="107"/>
      <c r="L32" s="97">
        <f t="shared" si="16"/>
        <v>200</v>
      </c>
    </row>
    <row r="33" spans="1:12" ht="20.25" customHeight="1" x14ac:dyDescent="0.25">
      <c r="A33" s="86"/>
      <c r="B33" s="89" t="s">
        <v>453</v>
      </c>
      <c r="C33" s="103">
        <f>SUM(C34:C41)</f>
        <v>0</v>
      </c>
      <c r="D33" s="103">
        <f t="shared" ref="D33:F33" si="23">SUM(D34:D41)</f>
        <v>0</v>
      </c>
      <c r="E33" s="103">
        <f t="shared" ref="E33" si="24">SUM(E34:E41)</f>
        <v>0</v>
      </c>
      <c r="F33" s="103">
        <f t="shared" si="23"/>
        <v>0</v>
      </c>
      <c r="G33" s="71"/>
      <c r="H33" s="71" t="s">
        <v>339</v>
      </c>
      <c r="I33" s="99"/>
      <c r="J33" s="99"/>
      <c r="K33" s="99"/>
      <c r="L33" s="97">
        <f t="shared" si="16"/>
        <v>0</v>
      </c>
    </row>
    <row r="34" spans="1:12" ht="20.25" customHeight="1" x14ac:dyDescent="0.25">
      <c r="A34" s="86"/>
      <c r="B34" s="88" t="s">
        <v>497</v>
      </c>
      <c r="C34" s="103"/>
      <c r="D34" s="103"/>
      <c r="E34" s="103"/>
      <c r="F34" s="103"/>
      <c r="G34" s="71"/>
      <c r="H34" s="72" t="s">
        <v>340</v>
      </c>
      <c r="I34" s="107">
        <f>I22+I26+I33</f>
        <v>1290</v>
      </c>
      <c r="J34" s="107">
        <f t="shared" ref="J34:K34" si="25">J22+J26+J33</f>
        <v>0</v>
      </c>
      <c r="K34" s="107">
        <f t="shared" si="25"/>
        <v>0</v>
      </c>
      <c r="L34" s="97">
        <f t="shared" si="16"/>
        <v>1290</v>
      </c>
    </row>
    <row r="35" spans="1:12" ht="20.25" customHeight="1" x14ac:dyDescent="0.25">
      <c r="A35" s="86"/>
      <c r="B35" s="88" t="s">
        <v>498</v>
      </c>
      <c r="C35" s="103"/>
      <c r="D35" s="103"/>
      <c r="E35" s="103"/>
      <c r="F35" s="103"/>
      <c r="G35" s="71"/>
      <c r="H35" s="71" t="s">
        <v>891</v>
      </c>
      <c r="I35" s="107">
        <f>SUM(I36:I38)</f>
        <v>1094</v>
      </c>
      <c r="J35" s="107">
        <f t="shared" ref="J35:K35" si="26">SUM(J36:J38)</f>
        <v>200</v>
      </c>
      <c r="K35" s="107">
        <f t="shared" si="26"/>
        <v>0</v>
      </c>
      <c r="L35" s="97">
        <f t="shared" si="16"/>
        <v>1294</v>
      </c>
    </row>
    <row r="36" spans="1:12" ht="20.25" customHeight="1" x14ac:dyDescent="0.25">
      <c r="A36" s="86"/>
      <c r="B36" s="88"/>
      <c r="C36" s="103"/>
      <c r="D36" s="103"/>
      <c r="E36" s="103"/>
      <c r="F36" s="103"/>
      <c r="G36" s="71"/>
      <c r="H36" s="71" t="s">
        <v>926</v>
      </c>
      <c r="I36" s="315">
        <f>30*12</f>
        <v>360</v>
      </c>
      <c r="J36" s="315"/>
      <c r="K36" s="315"/>
      <c r="L36" s="97">
        <f t="shared" si="16"/>
        <v>360</v>
      </c>
    </row>
    <row r="37" spans="1:12" ht="20.25" customHeight="1" x14ac:dyDescent="0.25">
      <c r="A37" s="86"/>
      <c r="B37" s="88"/>
      <c r="C37" s="103"/>
      <c r="D37" s="103"/>
      <c r="E37" s="103"/>
      <c r="F37" s="103"/>
      <c r="G37" s="71"/>
      <c r="H37" s="71" t="s">
        <v>1082</v>
      </c>
      <c r="I37" s="315">
        <f>15*12+60+30+264+200</f>
        <v>734</v>
      </c>
      <c r="J37" s="315">
        <v>200</v>
      </c>
      <c r="K37" s="315"/>
      <c r="L37" s="97">
        <f t="shared" si="16"/>
        <v>934</v>
      </c>
    </row>
    <row r="38" spans="1:12" ht="20.25" customHeight="1" x14ac:dyDescent="0.25">
      <c r="A38" s="86"/>
      <c r="B38" s="88"/>
      <c r="C38" s="103"/>
      <c r="D38" s="103"/>
      <c r="E38" s="103"/>
      <c r="F38" s="103"/>
      <c r="G38" s="71"/>
      <c r="H38" s="71"/>
      <c r="I38" s="315"/>
      <c r="J38" s="315"/>
      <c r="K38" s="315"/>
      <c r="L38" s="97">
        <f t="shared" si="16"/>
        <v>0</v>
      </c>
    </row>
    <row r="39" spans="1:12" ht="20.25" customHeight="1" x14ac:dyDescent="0.25">
      <c r="A39" s="86"/>
      <c r="B39" s="88" t="s">
        <v>496</v>
      </c>
      <c r="C39" s="103"/>
      <c r="D39" s="103"/>
      <c r="E39" s="103"/>
      <c r="F39" s="103"/>
      <c r="G39" s="71"/>
      <c r="H39" s="71" t="s">
        <v>492</v>
      </c>
      <c r="I39" s="107">
        <f>450+2148</f>
        <v>2598</v>
      </c>
      <c r="J39" s="107">
        <v>-200</v>
      </c>
      <c r="K39" s="107"/>
      <c r="L39" s="97">
        <f t="shared" si="16"/>
        <v>2398</v>
      </c>
    </row>
    <row r="40" spans="1:12" ht="20.25" customHeight="1" x14ac:dyDescent="0.25">
      <c r="A40" s="86"/>
      <c r="B40" s="88" t="s">
        <v>454</v>
      </c>
      <c r="C40" s="103"/>
      <c r="D40" s="103"/>
      <c r="E40" s="103"/>
      <c r="F40" s="103"/>
      <c r="G40" s="71"/>
      <c r="H40" s="72" t="s">
        <v>341</v>
      </c>
      <c r="I40" s="107">
        <f>I35+I39</f>
        <v>3692</v>
      </c>
      <c r="J40" s="107"/>
      <c r="K40" s="107"/>
      <c r="L40" s="97">
        <f t="shared" si="16"/>
        <v>3692</v>
      </c>
    </row>
    <row r="41" spans="1:12" ht="20.25" customHeight="1" x14ac:dyDescent="0.25">
      <c r="A41" s="86"/>
      <c r="B41" s="88" t="s">
        <v>499</v>
      </c>
      <c r="C41" s="103"/>
      <c r="D41" s="103"/>
      <c r="E41" s="103"/>
      <c r="F41" s="103"/>
      <c r="G41" s="71"/>
      <c r="H41" s="71" t="s">
        <v>345</v>
      </c>
      <c r="I41" s="107">
        <f>SUM(I42:I44)</f>
        <v>1850</v>
      </c>
      <c r="J41" s="107">
        <f t="shared" ref="J41:K41" si="27">SUM(J42:J44)</f>
        <v>0</v>
      </c>
      <c r="K41" s="107">
        <f t="shared" si="27"/>
        <v>0</v>
      </c>
      <c r="L41" s="97">
        <f t="shared" si="16"/>
        <v>1850</v>
      </c>
    </row>
    <row r="42" spans="1:12" ht="20.25" customHeight="1" x14ac:dyDescent="0.25">
      <c r="A42" s="86"/>
      <c r="B42" s="89" t="s">
        <v>455</v>
      </c>
      <c r="C42" s="103">
        <f>C25*0.27</f>
        <v>299.43</v>
      </c>
      <c r="D42" s="103"/>
      <c r="E42" s="103"/>
      <c r="F42" s="103">
        <f>C42+D42</f>
        <v>299.43</v>
      </c>
      <c r="G42" s="71"/>
      <c r="H42" s="71" t="s">
        <v>346</v>
      </c>
      <c r="I42" s="315">
        <v>750</v>
      </c>
      <c r="J42" s="315"/>
      <c r="K42" s="315"/>
      <c r="L42" s="97">
        <f t="shared" si="16"/>
        <v>750</v>
      </c>
    </row>
    <row r="43" spans="1:12" ht="20.25" customHeight="1" x14ac:dyDescent="0.25">
      <c r="A43" s="88"/>
      <c r="B43" s="89" t="s">
        <v>456</v>
      </c>
      <c r="C43" s="88"/>
      <c r="D43" s="88"/>
      <c r="E43" s="88"/>
      <c r="F43" s="88"/>
      <c r="G43" s="71"/>
      <c r="H43" s="71" t="s">
        <v>348</v>
      </c>
      <c r="I43" s="315">
        <v>850</v>
      </c>
      <c r="J43" s="315"/>
      <c r="K43" s="315"/>
      <c r="L43" s="97">
        <f t="shared" si="16"/>
        <v>850</v>
      </c>
    </row>
    <row r="44" spans="1:12" ht="20.25" customHeight="1" x14ac:dyDescent="0.25">
      <c r="A44" s="88"/>
      <c r="B44" s="89" t="s">
        <v>1048</v>
      </c>
      <c r="C44" s="88"/>
      <c r="D44" s="88"/>
      <c r="E44" s="88"/>
      <c r="F44" s="88"/>
      <c r="G44" s="71"/>
      <c r="H44" s="71" t="s">
        <v>347</v>
      </c>
      <c r="I44" s="315">
        <v>250</v>
      </c>
      <c r="J44" s="315"/>
      <c r="K44" s="315"/>
      <c r="L44" s="97">
        <f t="shared" si="16"/>
        <v>250</v>
      </c>
    </row>
    <row r="45" spans="1:12" ht="20.25" customHeight="1" x14ac:dyDescent="0.25">
      <c r="A45" s="88"/>
      <c r="B45" s="89" t="s">
        <v>458</v>
      </c>
      <c r="C45" s="88"/>
      <c r="D45" s="88"/>
      <c r="E45" s="88"/>
      <c r="F45" s="88"/>
      <c r="G45" s="71"/>
      <c r="H45" s="71" t="s">
        <v>349</v>
      </c>
      <c r="I45" s="107"/>
      <c r="J45" s="107"/>
      <c r="K45" s="107"/>
      <c r="L45" s="97">
        <f t="shared" si="16"/>
        <v>0</v>
      </c>
    </row>
    <row r="46" spans="1:12" ht="20.25" customHeight="1" x14ac:dyDescent="0.25">
      <c r="A46" s="88"/>
      <c r="B46" s="89" t="s">
        <v>459</v>
      </c>
      <c r="C46" s="88">
        <f>SUM(C47:C49)</f>
        <v>0</v>
      </c>
      <c r="D46" s="88">
        <f t="shared" ref="D46:F46" si="28">SUM(D47:D49)</f>
        <v>0</v>
      </c>
      <c r="E46" s="88">
        <f t="shared" ref="E46" si="29">SUM(E47:E49)</f>
        <v>0</v>
      </c>
      <c r="F46" s="88">
        <f t="shared" si="28"/>
        <v>0</v>
      </c>
      <c r="G46" s="71"/>
      <c r="H46" s="433" t="s">
        <v>1080</v>
      </c>
      <c r="I46" s="107">
        <v>614</v>
      </c>
      <c r="J46" s="107"/>
      <c r="K46" s="107"/>
      <c r="L46" s="97">
        <f t="shared" si="16"/>
        <v>614</v>
      </c>
    </row>
    <row r="47" spans="1:12" ht="20.25" customHeight="1" x14ac:dyDescent="0.25">
      <c r="A47" s="88"/>
      <c r="B47" s="88" t="s">
        <v>460</v>
      </c>
      <c r="C47" s="88"/>
      <c r="D47" s="88"/>
      <c r="E47" s="88"/>
      <c r="F47" s="88"/>
      <c r="G47" s="71"/>
      <c r="H47" s="71" t="s">
        <v>351</v>
      </c>
      <c r="I47" s="107">
        <v>100</v>
      </c>
      <c r="J47" s="107"/>
      <c r="K47" s="107"/>
      <c r="L47" s="97">
        <f t="shared" si="16"/>
        <v>100</v>
      </c>
    </row>
    <row r="48" spans="1:12" ht="20.25" customHeight="1" x14ac:dyDescent="0.25">
      <c r="A48" s="88"/>
      <c r="B48" s="88" t="s">
        <v>461</v>
      </c>
      <c r="C48" s="88"/>
      <c r="D48" s="88"/>
      <c r="E48" s="88"/>
      <c r="F48" s="88"/>
      <c r="G48" s="71"/>
      <c r="H48" s="71" t="s">
        <v>352</v>
      </c>
      <c r="I48" s="107"/>
      <c r="J48" s="107">
        <v>160</v>
      </c>
      <c r="K48" s="107"/>
      <c r="L48" s="97">
        <f t="shared" si="16"/>
        <v>160</v>
      </c>
    </row>
    <row r="49" spans="1:12" ht="20.25" customHeight="1" x14ac:dyDescent="0.25">
      <c r="A49" s="86"/>
      <c r="B49" s="88" t="s">
        <v>462</v>
      </c>
      <c r="C49" s="103"/>
      <c r="D49" s="103"/>
      <c r="E49" s="103"/>
      <c r="F49" s="103"/>
      <c r="G49" s="71"/>
      <c r="H49" s="71" t="s">
        <v>1037</v>
      </c>
      <c r="I49" s="107">
        <v>500</v>
      </c>
      <c r="J49" s="107">
        <v>800</v>
      </c>
      <c r="K49" s="107"/>
      <c r="L49" s="97">
        <f t="shared" si="16"/>
        <v>1300</v>
      </c>
    </row>
    <row r="50" spans="1:12" ht="20.25" customHeight="1" x14ac:dyDescent="0.25">
      <c r="A50" s="88"/>
      <c r="B50" s="89"/>
      <c r="C50" s="88"/>
      <c r="D50" s="88"/>
      <c r="E50" s="88"/>
      <c r="F50" s="88"/>
      <c r="G50" s="71"/>
      <c r="H50" s="71" t="s">
        <v>354</v>
      </c>
      <c r="I50" s="107">
        <f>SUM(I51:I55)</f>
        <v>5270.9454000000005</v>
      </c>
      <c r="J50" s="107">
        <f t="shared" ref="J50:K50" si="30">SUM(J51:J55)</f>
        <v>-960</v>
      </c>
      <c r="K50" s="107">
        <f t="shared" si="30"/>
        <v>0</v>
      </c>
      <c r="L50" s="97">
        <f t="shared" si="16"/>
        <v>4310.9454000000005</v>
      </c>
    </row>
    <row r="51" spans="1:12" ht="20.25" customHeight="1" x14ac:dyDescent="0.25">
      <c r="A51" s="88"/>
      <c r="B51" s="89"/>
      <c r="C51" s="88"/>
      <c r="D51" s="88"/>
      <c r="E51" s="88"/>
      <c r="F51" s="88"/>
      <c r="G51" s="71"/>
      <c r="H51" s="71" t="s">
        <v>892</v>
      </c>
      <c r="I51" s="107">
        <f>400+300+500</f>
        <v>1200</v>
      </c>
      <c r="J51" s="107">
        <v>-800</v>
      </c>
      <c r="K51" s="107"/>
      <c r="L51" s="97">
        <f t="shared" si="16"/>
        <v>400</v>
      </c>
    </row>
    <row r="52" spans="1:12" ht="20.25" customHeight="1" x14ac:dyDescent="0.25">
      <c r="A52" s="88"/>
      <c r="B52" s="88"/>
      <c r="C52" s="88"/>
      <c r="D52" s="88"/>
      <c r="E52" s="88"/>
      <c r="F52" s="88"/>
      <c r="G52" s="71"/>
      <c r="H52" s="71" t="s">
        <v>893</v>
      </c>
      <c r="I52" s="107">
        <v>1800</v>
      </c>
      <c r="J52" s="107">
        <v>-160</v>
      </c>
      <c r="K52" s="107"/>
      <c r="L52" s="97">
        <f t="shared" si="16"/>
        <v>1640</v>
      </c>
    </row>
    <row r="53" spans="1:12" ht="20.25" customHeight="1" x14ac:dyDescent="0.25">
      <c r="A53" s="88"/>
      <c r="B53" s="88"/>
      <c r="C53" s="88"/>
      <c r="D53" s="88"/>
      <c r="E53" s="88"/>
      <c r="F53" s="88"/>
      <c r="G53" s="71"/>
      <c r="H53" s="71" t="s">
        <v>1081</v>
      </c>
      <c r="I53" s="107">
        <f>1988*179.55/1000+1100+394+100</f>
        <v>1950.9454000000001</v>
      </c>
      <c r="J53" s="107"/>
      <c r="K53" s="107"/>
      <c r="L53" s="97">
        <f t="shared" si="16"/>
        <v>1950.9454000000001</v>
      </c>
    </row>
    <row r="54" spans="1:12" ht="20.25" customHeight="1" x14ac:dyDescent="0.25">
      <c r="A54" s="88"/>
      <c r="B54" s="88"/>
      <c r="C54" s="88"/>
      <c r="D54" s="88"/>
      <c r="E54" s="88"/>
      <c r="F54" s="88"/>
      <c r="G54" s="71"/>
      <c r="H54" s="71" t="s">
        <v>894</v>
      </c>
      <c r="I54" s="107">
        <v>200</v>
      </c>
      <c r="J54" s="107"/>
      <c r="K54" s="107"/>
      <c r="L54" s="97">
        <f t="shared" si="16"/>
        <v>200</v>
      </c>
    </row>
    <row r="55" spans="1:12" ht="20.25" customHeight="1" x14ac:dyDescent="0.25">
      <c r="A55" s="88"/>
      <c r="B55" s="88"/>
      <c r="C55" s="88"/>
      <c r="D55" s="88"/>
      <c r="E55" s="88"/>
      <c r="F55" s="88"/>
      <c r="G55" s="71"/>
      <c r="H55" s="71" t="s">
        <v>895</v>
      </c>
      <c r="I55" s="107">
        <v>120</v>
      </c>
      <c r="J55" s="107"/>
      <c r="K55" s="107"/>
      <c r="L55" s="97">
        <f t="shared" si="16"/>
        <v>120</v>
      </c>
    </row>
    <row r="56" spans="1:12" ht="20.25" customHeight="1" x14ac:dyDescent="0.25">
      <c r="A56" s="88"/>
      <c r="B56" s="88"/>
      <c r="C56" s="88"/>
      <c r="D56" s="88"/>
      <c r="E56" s="88"/>
      <c r="F56" s="88"/>
      <c r="G56" s="71"/>
      <c r="H56" s="72" t="s">
        <v>344</v>
      </c>
      <c r="I56" s="107">
        <f>I41+I45+I46+I47+I48+I49+I50</f>
        <v>8334.9454000000005</v>
      </c>
      <c r="J56" s="107">
        <f t="shared" ref="J56:K56" si="31">J41+J45+J46+J47+J48+J49+J50</f>
        <v>0</v>
      </c>
      <c r="K56" s="107">
        <f t="shared" si="31"/>
        <v>0</v>
      </c>
      <c r="L56" s="97">
        <f t="shared" si="16"/>
        <v>8334.9454000000005</v>
      </c>
    </row>
    <row r="57" spans="1:12" ht="20.25" customHeight="1" x14ac:dyDescent="0.25">
      <c r="A57" s="88"/>
      <c r="B57" s="88"/>
      <c r="C57" s="88"/>
      <c r="D57" s="88"/>
      <c r="E57" s="88"/>
      <c r="F57" s="88"/>
      <c r="G57" s="71"/>
      <c r="H57" s="71" t="s">
        <v>357</v>
      </c>
      <c r="I57" s="107">
        <v>350</v>
      </c>
      <c r="J57" s="107"/>
      <c r="K57" s="107"/>
      <c r="L57" s="97">
        <f t="shared" si="16"/>
        <v>350</v>
      </c>
    </row>
    <row r="58" spans="1:12" ht="20.25" customHeight="1" x14ac:dyDescent="0.25">
      <c r="A58" s="88"/>
      <c r="B58" s="88"/>
      <c r="C58" s="88"/>
      <c r="D58" s="88"/>
      <c r="E58" s="88"/>
      <c r="F58" s="88"/>
      <c r="G58" s="71"/>
      <c r="H58" s="71" t="s">
        <v>358</v>
      </c>
      <c r="I58" s="107">
        <v>50</v>
      </c>
      <c r="J58" s="107"/>
      <c r="K58" s="107"/>
      <c r="L58" s="97">
        <f t="shared" si="16"/>
        <v>50</v>
      </c>
    </row>
    <row r="59" spans="1:12" ht="20.25" customHeight="1" x14ac:dyDescent="0.25">
      <c r="A59" s="421" t="s">
        <v>64</v>
      </c>
      <c r="B59" s="414" t="s">
        <v>463</v>
      </c>
      <c r="C59" s="415">
        <f>C60+C61+C62</f>
        <v>8382</v>
      </c>
      <c r="D59" s="415">
        <f t="shared" ref="D59:F59" si="32">D60+D61+D62</f>
        <v>0</v>
      </c>
      <c r="E59" s="415">
        <f t="shared" ref="E59" si="33">E60+E61+E62</f>
        <v>-5525</v>
      </c>
      <c r="F59" s="415">
        <f t="shared" si="32"/>
        <v>2857</v>
      </c>
      <c r="G59" s="71"/>
      <c r="H59" s="72" t="s">
        <v>359</v>
      </c>
      <c r="I59" s="107">
        <f>I57+I58</f>
        <v>400</v>
      </c>
      <c r="J59" s="107"/>
      <c r="K59" s="107"/>
      <c r="L59" s="97">
        <f t="shared" si="16"/>
        <v>400</v>
      </c>
    </row>
    <row r="60" spans="1:12" ht="30" x14ac:dyDescent="0.25">
      <c r="A60" s="86"/>
      <c r="B60" s="89" t="s">
        <v>464</v>
      </c>
      <c r="C60" s="103"/>
      <c r="D60" s="103"/>
      <c r="E60" s="103"/>
      <c r="F60" s="103"/>
      <c r="G60" s="71"/>
      <c r="H60" s="71" t="s">
        <v>361</v>
      </c>
      <c r="I60" s="107">
        <f>(I34+I40+I56+I58)*0.27</f>
        <v>3609.0752580000003</v>
      </c>
      <c r="J60" s="107">
        <v>-50</v>
      </c>
      <c r="K60" s="107"/>
      <c r="L60" s="97">
        <f t="shared" si="16"/>
        <v>3559.0752580000003</v>
      </c>
    </row>
    <row r="61" spans="1:12" ht="28.5" customHeight="1" x14ac:dyDescent="0.25">
      <c r="A61" s="86"/>
      <c r="B61" s="84" t="s">
        <v>465</v>
      </c>
      <c r="C61" s="103"/>
      <c r="D61" s="103"/>
      <c r="E61" s="103"/>
      <c r="F61" s="103"/>
      <c r="G61" s="71"/>
      <c r="H61" s="71" t="s">
        <v>362</v>
      </c>
      <c r="I61" s="107">
        <f>C42</f>
        <v>299.43</v>
      </c>
      <c r="J61" s="107">
        <v>50</v>
      </c>
      <c r="K61" s="107"/>
      <c r="L61" s="97">
        <f t="shared" si="16"/>
        <v>349.43</v>
      </c>
    </row>
    <row r="62" spans="1:12" ht="19.5" customHeight="1" x14ac:dyDescent="0.25">
      <c r="A62" s="86"/>
      <c r="B62" s="89" t="s">
        <v>889</v>
      </c>
      <c r="C62" s="103">
        <v>8382</v>
      </c>
      <c r="D62" s="103"/>
      <c r="E62" s="103">
        <v>-5525</v>
      </c>
      <c r="F62" s="103">
        <f>C62+D62+E62</f>
        <v>2857</v>
      </c>
      <c r="G62" s="71"/>
      <c r="H62" s="71" t="s">
        <v>363</v>
      </c>
      <c r="I62" s="99"/>
      <c r="J62" s="107">
        <v>20</v>
      </c>
      <c r="K62" s="107"/>
      <c r="L62" s="97">
        <f t="shared" si="16"/>
        <v>20</v>
      </c>
    </row>
    <row r="63" spans="1:12" ht="19.5" customHeight="1" x14ac:dyDescent="0.25">
      <c r="A63" s="86"/>
      <c r="B63" s="89"/>
      <c r="C63" s="103"/>
      <c r="D63" s="103"/>
      <c r="E63" s="103"/>
      <c r="F63" s="103"/>
      <c r="G63" s="71"/>
      <c r="H63" s="71" t="s">
        <v>364</v>
      </c>
      <c r="I63" s="99"/>
      <c r="J63" s="99"/>
      <c r="K63" s="99"/>
      <c r="L63" s="97">
        <f t="shared" si="16"/>
        <v>0</v>
      </c>
    </row>
    <row r="64" spans="1:12" ht="30.75" customHeight="1" x14ac:dyDescent="0.25">
      <c r="A64" s="86"/>
      <c r="B64" s="89"/>
      <c r="C64" s="101"/>
      <c r="D64" s="101"/>
      <c r="E64" s="101"/>
      <c r="F64" s="101"/>
      <c r="G64" s="71"/>
      <c r="H64" s="116" t="s">
        <v>903</v>
      </c>
      <c r="I64" s="107">
        <f>2*30+500</f>
        <v>560</v>
      </c>
      <c r="J64" s="107">
        <v>-20</v>
      </c>
      <c r="K64" s="107"/>
      <c r="L64" s="97">
        <f t="shared" si="16"/>
        <v>540</v>
      </c>
    </row>
    <row r="65" spans="1:12" ht="19.5" customHeight="1" x14ac:dyDescent="0.25">
      <c r="A65" s="86"/>
      <c r="B65" s="89"/>
      <c r="C65" s="101"/>
      <c r="D65" s="101"/>
      <c r="E65" s="101"/>
      <c r="F65" s="101"/>
      <c r="G65" s="71"/>
      <c r="H65" s="72" t="s">
        <v>360</v>
      </c>
      <c r="I65" s="108">
        <f>I60+I61+I62+I63+I64-1</f>
        <v>4467.5052580000001</v>
      </c>
      <c r="J65" s="108">
        <f>J60+J61+J62+J63+J64</f>
        <v>0</v>
      </c>
      <c r="K65" s="108">
        <f>K60+K61+K62+K63+K64</f>
        <v>0</v>
      </c>
      <c r="L65" s="97">
        <f t="shared" si="16"/>
        <v>4467.5052580000001</v>
      </c>
    </row>
    <row r="66" spans="1:12" ht="19.5" customHeight="1" x14ac:dyDescent="0.25">
      <c r="A66" s="86"/>
      <c r="B66" s="89"/>
      <c r="C66" s="101"/>
      <c r="D66" s="101"/>
      <c r="E66" s="101"/>
      <c r="F66" s="101"/>
      <c r="G66" s="421" t="s">
        <v>64</v>
      </c>
      <c r="H66" s="414" t="s">
        <v>366</v>
      </c>
      <c r="I66" s="415">
        <f>SUM(I67:I72)</f>
        <v>0</v>
      </c>
      <c r="J66" s="415">
        <f t="shared" ref="J66:L66" si="34">SUM(J67:J72)</f>
        <v>0</v>
      </c>
      <c r="K66" s="415">
        <f t="shared" ref="K66" si="35">SUM(K67:K72)</f>
        <v>0</v>
      </c>
      <c r="L66" s="415">
        <f t="shared" si="34"/>
        <v>0</v>
      </c>
    </row>
    <row r="67" spans="1:12" ht="19.5" customHeight="1" x14ac:dyDescent="0.25">
      <c r="A67" s="86"/>
      <c r="B67" s="89"/>
      <c r="C67" s="101"/>
      <c r="D67" s="101"/>
      <c r="E67" s="101"/>
      <c r="F67" s="101"/>
      <c r="G67" s="71"/>
      <c r="H67" s="71" t="s">
        <v>367</v>
      </c>
      <c r="I67" s="102"/>
      <c r="J67" s="102"/>
      <c r="K67" s="102"/>
      <c r="L67" s="102"/>
    </row>
    <row r="68" spans="1:12" ht="19.5" customHeight="1" x14ac:dyDescent="0.25">
      <c r="A68" s="86"/>
      <c r="B68" s="89"/>
      <c r="C68" s="101"/>
      <c r="D68" s="101"/>
      <c r="E68" s="101"/>
      <c r="F68" s="101"/>
      <c r="G68" s="71"/>
      <c r="H68" s="88" t="s">
        <v>368</v>
      </c>
      <c r="I68" s="102"/>
      <c r="J68" s="102"/>
      <c r="K68" s="102"/>
      <c r="L68" s="102"/>
    </row>
    <row r="69" spans="1:12" ht="19.5" customHeight="1" x14ac:dyDescent="0.25">
      <c r="A69" s="86"/>
      <c r="B69" s="89"/>
      <c r="C69" s="101"/>
      <c r="D69" s="101"/>
      <c r="E69" s="101"/>
      <c r="F69" s="101"/>
      <c r="G69" s="71"/>
      <c r="H69" s="71" t="s">
        <v>369</v>
      </c>
      <c r="I69" s="102"/>
      <c r="J69" s="102"/>
      <c r="K69" s="102"/>
      <c r="L69" s="102"/>
    </row>
    <row r="70" spans="1:12" ht="19.5" customHeight="1" x14ac:dyDescent="0.25">
      <c r="A70" s="86"/>
      <c r="B70" s="89"/>
      <c r="C70" s="101"/>
      <c r="D70" s="101"/>
      <c r="E70" s="101"/>
      <c r="F70" s="101"/>
      <c r="G70" s="71"/>
      <c r="H70" s="71" t="s">
        <v>370</v>
      </c>
      <c r="I70" s="102"/>
      <c r="J70" s="102"/>
      <c r="K70" s="102"/>
      <c r="L70" s="102"/>
    </row>
    <row r="71" spans="1:12" ht="19.5" customHeight="1" x14ac:dyDescent="0.25">
      <c r="A71" s="86"/>
      <c r="B71" s="89"/>
      <c r="C71" s="101"/>
      <c r="D71" s="101"/>
      <c r="E71" s="101"/>
      <c r="F71" s="101"/>
      <c r="G71" s="71"/>
      <c r="H71" s="71" t="s">
        <v>371</v>
      </c>
      <c r="I71" s="102"/>
      <c r="J71" s="102"/>
      <c r="K71" s="102"/>
      <c r="L71" s="102"/>
    </row>
    <row r="72" spans="1:12" ht="19.5" customHeight="1" x14ac:dyDescent="0.25">
      <c r="A72" s="86"/>
      <c r="B72" s="89"/>
      <c r="C72" s="101"/>
      <c r="D72" s="101"/>
      <c r="E72" s="101"/>
      <c r="F72" s="101"/>
      <c r="G72" s="71"/>
      <c r="H72" s="71" t="s">
        <v>372</v>
      </c>
      <c r="I72" s="102"/>
      <c r="J72" s="102"/>
      <c r="K72" s="102"/>
      <c r="L72" s="102"/>
    </row>
    <row r="73" spans="1:12" ht="19.5" customHeight="1" x14ac:dyDescent="0.25">
      <c r="A73" s="86"/>
      <c r="B73" s="87"/>
      <c r="C73" s="101"/>
      <c r="D73" s="101"/>
      <c r="E73" s="101"/>
      <c r="F73" s="101"/>
      <c r="G73" s="421" t="s">
        <v>100</v>
      </c>
      <c r="H73" s="414" t="s">
        <v>502</v>
      </c>
      <c r="I73" s="415">
        <f>SUM(I74:I79)</f>
        <v>0</v>
      </c>
      <c r="J73" s="415">
        <f t="shared" ref="J73:L73" si="36">SUM(J74:J79)</f>
        <v>0</v>
      </c>
      <c r="K73" s="415">
        <f t="shared" ref="K73" si="37">SUM(K74:K79)</f>
        <v>0</v>
      </c>
      <c r="L73" s="415">
        <f t="shared" si="36"/>
        <v>0</v>
      </c>
    </row>
    <row r="74" spans="1:12" ht="21.75" customHeight="1" x14ac:dyDescent="0.25">
      <c r="A74" s="86"/>
      <c r="B74" s="89"/>
      <c r="C74" s="101"/>
      <c r="D74" s="101"/>
      <c r="E74" s="101"/>
      <c r="F74" s="101"/>
      <c r="G74" s="71"/>
      <c r="H74" s="71" t="s">
        <v>373</v>
      </c>
      <c r="I74" s="108" t="s">
        <v>253</v>
      </c>
      <c r="J74" s="108"/>
      <c r="K74" s="108"/>
      <c r="L74" s="108"/>
    </row>
    <row r="75" spans="1:12" ht="21.75" customHeight="1" x14ac:dyDescent="0.25">
      <c r="A75" s="86"/>
      <c r="B75" s="84"/>
      <c r="C75" s="101"/>
      <c r="D75" s="101"/>
      <c r="E75" s="101"/>
      <c r="F75" s="101"/>
      <c r="G75" s="71"/>
      <c r="H75" s="71" t="s">
        <v>374</v>
      </c>
      <c r="I75" s="102"/>
      <c r="J75" s="102"/>
      <c r="K75" s="102"/>
      <c r="L75" s="102"/>
    </row>
    <row r="76" spans="1:12" ht="19.5" customHeight="1" x14ac:dyDescent="0.25">
      <c r="A76" s="86"/>
      <c r="B76" s="89"/>
      <c r="C76" s="101"/>
      <c r="D76" s="101"/>
      <c r="E76" s="101"/>
      <c r="F76" s="101"/>
      <c r="G76" s="71"/>
      <c r="H76" s="71" t="s">
        <v>375</v>
      </c>
      <c r="I76" s="102"/>
      <c r="J76" s="102"/>
      <c r="K76" s="102"/>
      <c r="L76" s="102"/>
    </row>
    <row r="77" spans="1:12" ht="19.5" customHeight="1" x14ac:dyDescent="0.25">
      <c r="A77" s="86"/>
      <c r="B77" s="89"/>
      <c r="C77" s="101"/>
      <c r="D77" s="101"/>
      <c r="E77" s="101"/>
      <c r="F77" s="101"/>
      <c r="G77" s="71"/>
      <c r="H77" s="71" t="s">
        <v>376</v>
      </c>
      <c r="I77" s="102"/>
      <c r="J77" s="102"/>
      <c r="K77" s="102"/>
      <c r="L77" s="102"/>
    </row>
    <row r="78" spans="1:12" ht="19.5" customHeight="1" x14ac:dyDescent="0.25">
      <c r="A78" s="86"/>
      <c r="B78" s="89"/>
      <c r="C78" s="101"/>
      <c r="D78" s="101"/>
      <c r="E78" s="101"/>
      <c r="F78" s="101"/>
      <c r="G78" s="71"/>
      <c r="H78" s="71" t="s">
        <v>1043</v>
      </c>
      <c r="I78" s="102"/>
      <c r="J78" s="102"/>
      <c r="K78" s="102"/>
      <c r="L78" s="102"/>
    </row>
    <row r="79" spans="1:12" ht="20.25" customHeight="1" x14ac:dyDescent="0.25">
      <c r="A79" s="86"/>
      <c r="B79" s="89"/>
      <c r="C79" s="101"/>
      <c r="D79" s="101"/>
      <c r="E79" s="101"/>
      <c r="F79" s="101"/>
      <c r="G79" s="71"/>
      <c r="H79" s="71" t="s">
        <v>1053</v>
      </c>
      <c r="I79" s="102"/>
      <c r="J79" s="102"/>
      <c r="K79" s="102"/>
      <c r="L79" s="102"/>
    </row>
    <row r="80" spans="1:12" ht="20.25" customHeight="1" x14ac:dyDescent="0.25">
      <c r="A80" s="689"/>
      <c r="B80" s="690" t="s">
        <v>192</v>
      </c>
      <c r="C80" s="691">
        <f>C81+C87+C93</f>
        <v>0</v>
      </c>
      <c r="D80" s="691">
        <f t="shared" ref="D80:F80" si="38">D81+D87+D93</f>
        <v>0</v>
      </c>
      <c r="E80" s="691">
        <f t="shared" ref="E80" si="39">E81+E87+E93</f>
        <v>0</v>
      </c>
      <c r="F80" s="691">
        <f t="shared" si="38"/>
        <v>0</v>
      </c>
      <c r="G80" s="689"/>
      <c r="H80" s="690" t="s">
        <v>200</v>
      </c>
      <c r="I80" s="691">
        <f>I81+I89+I94</f>
        <v>1479.55</v>
      </c>
      <c r="J80" s="691">
        <f t="shared" ref="J80:L80" si="40">J81+J89+J94</f>
        <v>0</v>
      </c>
      <c r="K80" s="691">
        <f t="shared" ref="K80" si="41">K81+K89+K94</f>
        <v>146</v>
      </c>
      <c r="L80" s="691">
        <f t="shared" si="40"/>
        <v>1625.55</v>
      </c>
    </row>
    <row r="81" spans="1:12" ht="20.25" customHeight="1" x14ac:dyDescent="0.25">
      <c r="A81" s="421" t="s">
        <v>100</v>
      </c>
      <c r="B81" s="414" t="s">
        <v>417</v>
      </c>
      <c r="C81" s="415">
        <f>SUM(C82:C86)</f>
        <v>0</v>
      </c>
      <c r="D81" s="415">
        <f t="shared" ref="D81:F81" si="42">SUM(D82:D86)</f>
        <v>0</v>
      </c>
      <c r="E81" s="415">
        <f t="shared" ref="E81" si="43">SUM(E82:E86)</f>
        <v>0</v>
      </c>
      <c r="F81" s="415">
        <f t="shared" si="42"/>
        <v>0</v>
      </c>
      <c r="G81" s="421" t="s">
        <v>181</v>
      </c>
      <c r="H81" s="414" t="s">
        <v>380</v>
      </c>
      <c r="I81" s="415">
        <f>SUM(I82:I88)</f>
        <v>1479.55</v>
      </c>
      <c r="J81" s="415">
        <f t="shared" ref="J81:L81" si="44">SUM(J82:J88)</f>
        <v>0</v>
      </c>
      <c r="K81" s="415">
        <f t="shared" ref="K81" si="45">SUM(K82:K88)</f>
        <v>146</v>
      </c>
      <c r="L81" s="415">
        <f t="shared" si="44"/>
        <v>1625.55</v>
      </c>
    </row>
    <row r="82" spans="1:12" ht="20.25" customHeight="1" x14ac:dyDescent="0.25">
      <c r="A82" s="86"/>
      <c r="B82" s="84" t="s">
        <v>418</v>
      </c>
      <c r="C82" s="103"/>
      <c r="D82" s="103"/>
      <c r="E82" s="103"/>
      <c r="F82" s="103"/>
      <c r="G82" s="86"/>
      <c r="H82" s="92" t="s">
        <v>378</v>
      </c>
      <c r="I82" s="97"/>
      <c r="J82" s="97"/>
      <c r="K82" s="97"/>
      <c r="L82" s="97"/>
    </row>
    <row r="83" spans="1:12" ht="29.25" customHeight="1" x14ac:dyDescent="0.25">
      <c r="A83" s="86"/>
      <c r="B83" s="84" t="s">
        <v>419</v>
      </c>
      <c r="C83" s="103"/>
      <c r="D83" s="103"/>
      <c r="E83" s="103"/>
      <c r="F83" s="103"/>
      <c r="G83" s="86"/>
      <c r="H83" s="92" t="s">
        <v>379</v>
      </c>
      <c r="I83" s="437"/>
      <c r="J83" s="437"/>
      <c r="K83" s="437"/>
      <c r="L83" s="437"/>
    </row>
    <row r="84" spans="1:12" ht="29.25" customHeight="1" x14ac:dyDescent="0.25">
      <c r="A84" s="86"/>
      <c r="B84" s="84" t="s">
        <v>420</v>
      </c>
      <c r="C84" s="103"/>
      <c r="D84" s="103"/>
      <c r="E84" s="103"/>
      <c r="F84" s="103"/>
      <c r="G84" s="71"/>
      <c r="H84" s="71" t="s">
        <v>896</v>
      </c>
      <c r="I84" s="100">
        <f>150*2</f>
        <v>300</v>
      </c>
      <c r="J84" s="100"/>
      <c r="K84" s="100">
        <v>115</v>
      </c>
      <c r="L84" s="100">
        <f>I84+J84+K84</f>
        <v>415</v>
      </c>
    </row>
    <row r="85" spans="1:12" ht="29.25" customHeight="1" x14ac:dyDescent="0.25">
      <c r="A85" s="86"/>
      <c r="B85" s="84" t="s">
        <v>421</v>
      </c>
      <c r="C85" s="103"/>
      <c r="D85" s="103"/>
      <c r="E85" s="103"/>
      <c r="F85" s="103"/>
      <c r="G85" s="71"/>
      <c r="H85" s="71" t="s">
        <v>905</v>
      </c>
      <c r="I85" s="100">
        <f>300+200+200+65+100</f>
        <v>865</v>
      </c>
      <c r="J85" s="100"/>
      <c r="K85" s="100"/>
      <c r="L85" s="100">
        <f t="shared" ref="L85:L88" si="46">I85+J85+K85</f>
        <v>865</v>
      </c>
    </row>
    <row r="86" spans="1:12" ht="21" customHeight="1" x14ac:dyDescent="0.25">
      <c r="A86" s="86"/>
      <c r="B86" s="84" t="s">
        <v>422</v>
      </c>
      <c r="C86" s="103"/>
      <c r="D86" s="103"/>
      <c r="E86" s="103"/>
      <c r="F86" s="103"/>
      <c r="G86" s="71"/>
      <c r="H86" s="71" t="s">
        <v>383</v>
      </c>
      <c r="I86" s="100"/>
      <c r="J86" s="100"/>
      <c r="K86" s="100"/>
      <c r="L86" s="100">
        <f t="shared" si="46"/>
        <v>0</v>
      </c>
    </row>
    <row r="87" spans="1:12" ht="20.25" customHeight="1" x14ac:dyDescent="0.25">
      <c r="A87" s="421" t="s">
        <v>181</v>
      </c>
      <c r="B87" s="414" t="s">
        <v>423</v>
      </c>
      <c r="C87" s="415">
        <f>SUM(C88:C92)</f>
        <v>0</v>
      </c>
      <c r="D87" s="415">
        <f t="shared" ref="D87:F87" si="47">SUM(D88:D92)</f>
        <v>0</v>
      </c>
      <c r="E87" s="415">
        <f t="shared" ref="E87" si="48">SUM(E88:E92)</f>
        <v>0</v>
      </c>
      <c r="F87" s="415">
        <f t="shared" si="47"/>
        <v>0</v>
      </c>
      <c r="G87" s="71"/>
      <c r="H87" s="71" t="s">
        <v>384</v>
      </c>
      <c r="I87" s="100"/>
      <c r="J87" s="100"/>
      <c r="K87" s="100"/>
      <c r="L87" s="100">
        <f t="shared" si="46"/>
        <v>0</v>
      </c>
    </row>
    <row r="88" spans="1:12" ht="20.25" customHeight="1" x14ac:dyDescent="0.25">
      <c r="A88" s="86"/>
      <c r="B88" s="89" t="s">
        <v>424</v>
      </c>
      <c r="C88" s="103"/>
      <c r="D88" s="103"/>
      <c r="E88" s="103"/>
      <c r="F88" s="103"/>
      <c r="G88" s="71"/>
      <c r="H88" s="71" t="s">
        <v>385</v>
      </c>
      <c r="I88" s="100">
        <f>I84*0.27+I85*0.27</f>
        <v>314.55</v>
      </c>
      <c r="J88" s="100"/>
      <c r="K88" s="100">
        <v>31</v>
      </c>
      <c r="L88" s="100">
        <f t="shared" si="46"/>
        <v>345.55</v>
      </c>
    </row>
    <row r="89" spans="1:12" ht="20.25" customHeight="1" x14ac:dyDescent="0.25">
      <c r="A89" s="86"/>
      <c r="B89" s="89" t="s">
        <v>425</v>
      </c>
      <c r="C89" s="103"/>
      <c r="D89" s="103"/>
      <c r="E89" s="103"/>
      <c r="F89" s="103"/>
      <c r="G89" s="421" t="s">
        <v>191</v>
      </c>
      <c r="H89" s="414" t="s">
        <v>386</v>
      </c>
      <c r="I89" s="415">
        <f>SUM(I90:I93)</f>
        <v>0</v>
      </c>
      <c r="J89" s="415">
        <f t="shared" ref="J89:L89" si="49">SUM(J90:J93)</f>
        <v>0</v>
      </c>
      <c r="K89" s="415">
        <f t="shared" ref="K89" si="50">SUM(K90:K93)</f>
        <v>0</v>
      </c>
      <c r="L89" s="415">
        <f t="shared" si="49"/>
        <v>0</v>
      </c>
    </row>
    <row r="90" spans="1:12" ht="20.25" customHeight="1" x14ac:dyDescent="0.25">
      <c r="A90" s="86"/>
      <c r="B90" s="89" t="s">
        <v>426</v>
      </c>
      <c r="C90" s="103"/>
      <c r="D90" s="103"/>
      <c r="E90" s="103"/>
      <c r="F90" s="103"/>
      <c r="G90" s="71"/>
      <c r="H90" s="71" t="s">
        <v>387</v>
      </c>
      <c r="I90" s="109"/>
      <c r="J90" s="109"/>
      <c r="K90" s="109"/>
      <c r="L90" s="109"/>
    </row>
    <row r="91" spans="1:12" ht="20.25" customHeight="1" x14ac:dyDescent="0.25">
      <c r="A91" s="86"/>
      <c r="B91" s="89" t="s">
        <v>427</v>
      </c>
      <c r="C91" s="103"/>
      <c r="D91" s="103"/>
      <c r="E91" s="103"/>
      <c r="F91" s="103"/>
      <c r="G91" s="71"/>
      <c r="H91" s="71" t="s">
        <v>388</v>
      </c>
      <c r="I91" s="100"/>
      <c r="J91" s="100"/>
      <c r="K91" s="100"/>
      <c r="L91" s="100"/>
    </row>
    <row r="92" spans="1:12" ht="20.25" customHeight="1" x14ac:dyDescent="0.25">
      <c r="A92" s="86"/>
      <c r="B92" s="89" t="s">
        <v>428</v>
      </c>
      <c r="C92" s="103"/>
      <c r="D92" s="103"/>
      <c r="E92" s="103"/>
      <c r="F92" s="103"/>
      <c r="G92" s="71"/>
      <c r="H92" s="71" t="s">
        <v>389</v>
      </c>
      <c r="I92" s="100"/>
      <c r="J92" s="100"/>
      <c r="K92" s="100"/>
      <c r="L92" s="100"/>
    </row>
    <row r="93" spans="1:12" ht="20.25" customHeight="1" x14ac:dyDescent="0.25">
      <c r="A93" s="421" t="s">
        <v>191</v>
      </c>
      <c r="B93" s="414" t="s">
        <v>429</v>
      </c>
      <c r="C93" s="415">
        <f>C94+C95+C96</f>
        <v>0</v>
      </c>
      <c r="D93" s="415">
        <f t="shared" ref="D93:F93" si="51">D94+D95+D96</f>
        <v>0</v>
      </c>
      <c r="E93" s="415">
        <f t="shared" ref="E93" si="52">E94+E95+E96</f>
        <v>0</v>
      </c>
      <c r="F93" s="415">
        <f t="shared" si="51"/>
        <v>0</v>
      </c>
      <c r="G93" s="71"/>
      <c r="H93" s="71" t="s">
        <v>390</v>
      </c>
      <c r="I93" s="109">
        <f>I90*0.27</f>
        <v>0</v>
      </c>
      <c r="J93" s="109"/>
      <c r="K93" s="109"/>
      <c r="L93" s="109"/>
    </row>
    <row r="94" spans="1:12" ht="29.25" customHeight="1" x14ac:dyDescent="0.25">
      <c r="A94" s="86"/>
      <c r="B94" s="89" t="s">
        <v>430</v>
      </c>
      <c r="C94" s="103"/>
      <c r="D94" s="103"/>
      <c r="E94" s="103"/>
      <c r="F94" s="103"/>
      <c r="G94" s="421" t="s">
        <v>199</v>
      </c>
      <c r="H94" s="414" t="s">
        <v>391</v>
      </c>
      <c r="I94" s="415">
        <f>I95+I96</f>
        <v>0</v>
      </c>
      <c r="J94" s="415">
        <f t="shared" ref="J94:L94" si="53">J95+J96</f>
        <v>0</v>
      </c>
      <c r="K94" s="415">
        <f t="shared" ref="K94" si="54">K95+K96</f>
        <v>0</v>
      </c>
      <c r="L94" s="415">
        <f t="shared" si="53"/>
        <v>0</v>
      </c>
    </row>
    <row r="95" spans="1:12" ht="29.25" customHeight="1" x14ac:dyDescent="0.25">
      <c r="A95" s="86"/>
      <c r="B95" s="84" t="s">
        <v>1050</v>
      </c>
      <c r="C95" s="103"/>
      <c r="D95" s="103"/>
      <c r="E95" s="103"/>
      <c r="F95" s="103"/>
      <c r="G95" s="71"/>
      <c r="H95" s="71" t="s">
        <v>393</v>
      </c>
      <c r="I95" s="100"/>
      <c r="J95" s="100"/>
      <c r="K95" s="100"/>
      <c r="L95" s="100"/>
    </row>
    <row r="96" spans="1:12" ht="21" customHeight="1" x14ac:dyDescent="0.25">
      <c r="A96" s="86"/>
      <c r="B96" s="89"/>
      <c r="C96" s="103"/>
      <c r="D96" s="103"/>
      <c r="E96" s="103"/>
      <c r="F96" s="103"/>
      <c r="G96" s="71"/>
      <c r="H96" s="71" t="s">
        <v>392</v>
      </c>
      <c r="I96" s="100"/>
      <c r="J96" s="100"/>
      <c r="K96" s="100"/>
      <c r="L96" s="100"/>
    </row>
    <row r="97" spans="1:13" ht="20.25" customHeight="1" x14ac:dyDescent="0.25">
      <c r="A97" s="689"/>
      <c r="B97" s="690" t="s">
        <v>433</v>
      </c>
      <c r="C97" s="691">
        <f>C107+C118</f>
        <v>103385</v>
      </c>
      <c r="D97" s="691">
        <f t="shared" ref="D97:F97" si="55">D107+D118</f>
        <v>212</v>
      </c>
      <c r="E97" s="691">
        <f t="shared" ref="E97" si="56">E107+E118</f>
        <v>5671</v>
      </c>
      <c r="F97" s="691">
        <f t="shared" si="55"/>
        <v>109268</v>
      </c>
      <c r="G97" s="689"/>
      <c r="H97" s="690" t="s">
        <v>397</v>
      </c>
      <c r="I97" s="691">
        <f>I106+I117</f>
        <v>0</v>
      </c>
      <c r="J97" s="691">
        <f t="shared" ref="J97:L97" si="57">J106+J117</f>
        <v>0</v>
      </c>
      <c r="K97" s="691">
        <f t="shared" ref="K97" si="58">K106+K117</f>
        <v>0</v>
      </c>
      <c r="L97" s="691">
        <f t="shared" si="57"/>
        <v>0</v>
      </c>
    </row>
    <row r="98" spans="1:13" ht="21" customHeight="1" x14ac:dyDescent="0.25">
      <c r="A98" s="75"/>
      <c r="B98" s="94" t="s">
        <v>434</v>
      </c>
      <c r="C98" s="103"/>
      <c r="D98" s="103"/>
      <c r="E98" s="103"/>
      <c r="F98" s="103"/>
      <c r="G98" s="75"/>
      <c r="H98" s="94" t="s">
        <v>394</v>
      </c>
      <c r="I98" s="103"/>
      <c r="J98" s="103"/>
      <c r="K98" s="103"/>
      <c r="L98" s="103"/>
    </row>
    <row r="99" spans="1:13" ht="20.25" customHeight="1" x14ac:dyDescent="0.25">
      <c r="A99" s="75"/>
      <c r="B99" s="94" t="s">
        <v>435</v>
      </c>
      <c r="C99" s="103"/>
      <c r="D99" s="103"/>
      <c r="E99" s="103"/>
      <c r="F99" s="103"/>
      <c r="G99" s="75"/>
      <c r="H99" s="94" t="s">
        <v>395</v>
      </c>
      <c r="I99" s="103"/>
      <c r="J99" s="103"/>
      <c r="K99" s="103"/>
      <c r="L99" s="103"/>
    </row>
    <row r="100" spans="1:13" ht="20.25" customHeight="1" x14ac:dyDescent="0.25">
      <c r="A100" s="75"/>
      <c r="B100" s="94" t="s">
        <v>436</v>
      </c>
      <c r="C100" s="103"/>
      <c r="D100" s="103"/>
      <c r="E100" s="103"/>
      <c r="F100" s="103"/>
      <c r="G100" s="75"/>
      <c r="H100" s="94" t="s">
        <v>396</v>
      </c>
      <c r="I100" s="103"/>
      <c r="J100" s="103"/>
      <c r="K100" s="103"/>
      <c r="L100" s="103"/>
    </row>
    <row r="101" spans="1:13" ht="20.25" customHeight="1" x14ac:dyDescent="0.25">
      <c r="A101" s="75"/>
      <c r="B101" s="95" t="s">
        <v>437</v>
      </c>
      <c r="C101" s="103">
        <f>C98+C99+C100</f>
        <v>0</v>
      </c>
      <c r="D101" s="103">
        <f t="shared" ref="D101:F101" si="59">D98+D99+D100</f>
        <v>0</v>
      </c>
      <c r="E101" s="103">
        <f t="shared" ref="E101" si="60">E98+E99+E100</f>
        <v>0</v>
      </c>
      <c r="F101" s="103">
        <f t="shared" si="59"/>
        <v>0</v>
      </c>
      <c r="G101" s="75"/>
      <c r="H101" s="95" t="s">
        <v>398</v>
      </c>
      <c r="I101" s="103">
        <f>I98+I99+I100</f>
        <v>0</v>
      </c>
      <c r="J101" s="103">
        <f t="shared" ref="J101:L101" si="61">J98+J99+J100</f>
        <v>0</v>
      </c>
      <c r="K101" s="103">
        <f t="shared" ref="K101" si="62">K98+K99+K100</f>
        <v>0</v>
      </c>
      <c r="L101" s="103">
        <f t="shared" si="61"/>
        <v>0</v>
      </c>
    </row>
    <row r="102" spans="1:13" ht="20.25" customHeight="1" x14ac:dyDescent="0.25">
      <c r="A102" s="75"/>
      <c r="B102" s="69" t="s">
        <v>438</v>
      </c>
      <c r="C102" s="103"/>
      <c r="D102" s="103"/>
      <c r="E102" s="103"/>
      <c r="F102" s="103"/>
      <c r="G102" s="75"/>
      <c r="H102" s="94" t="s">
        <v>399</v>
      </c>
      <c r="I102" s="103"/>
      <c r="J102" s="103"/>
      <c r="K102" s="103"/>
      <c r="L102" s="103"/>
    </row>
    <row r="103" spans="1:13" ht="20.25" customHeight="1" x14ac:dyDescent="0.25">
      <c r="A103" s="75"/>
      <c r="B103" s="69" t="s">
        <v>439</v>
      </c>
      <c r="C103" s="103"/>
      <c r="D103" s="103"/>
      <c r="E103" s="103"/>
      <c r="F103" s="103"/>
      <c r="G103" s="75"/>
      <c r="H103" s="94" t="s">
        <v>400</v>
      </c>
      <c r="I103" s="103"/>
      <c r="J103" s="103"/>
      <c r="K103" s="103"/>
      <c r="L103" s="103"/>
    </row>
    <row r="104" spans="1:13" ht="20.25" customHeight="1" x14ac:dyDescent="0.25">
      <c r="A104" s="75"/>
      <c r="B104" s="70" t="s">
        <v>440</v>
      </c>
      <c r="C104" s="103">
        <f>C102+C103</f>
        <v>0</v>
      </c>
      <c r="D104" s="103">
        <f t="shared" ref="D104:F104" si="63">D102+D103</f>
        <v>0</v>
      </c>
      <c r="E104" s="103">
        <f t="shared" ref="E104" si="64">E102+E103</f>
        <v>0</v>
      </c>
      <c r="F104" s="103">
        <f t="shared" si="63"/>
        <v>0</v>
      </c>
      <c r="G104" s="75"/>
      <c r="H104" s="95" t="s">
        <v>401</v>
      </c>
      <c r="I104" s="103">
        <f>I102+I103</f>
        <v>0</v>
      </c>
      <c r="J104" s="103">
        <f t="shared" ref="J104:L104" si="65">J102+J103</f>
        <v>0</v>
      </c>
      <c r="K104" s="103">
        <f t="shared" ref="K104" si="66">K102+K103</f>
        <v>0</v>
      </c>
      <c r="L104" s="103">
        <f t="shared" si="65"/>
        <v>0</v>
      </c>
      <c r="M104" s="148"/>
    </row>
    <row r="105" spans="1:13" ht="20.25" customHeight="1" x14ac:dyDescent="0.25">
      <c r="A105" s="75"/>
      <c r="B105" s="70" t="s">
        <v>441</v>
      </c>
      <c r="C105" s="316">
        <v>126</v>
      </c>
      <c r="D105" s="316"/>
      <c r="E105" s="316">
        <v>4542</v>
      </c>
      <c r="F105" s="103">
        <f>C105+D105+E105</f>
        <v>4668</v>
      </c>
      <c r="G105" s="75"/>
      <c r="H105" s="95" t="s">
        <v>402</v>
      </c>
      <c r="I105" s="103"/>
      <c r="J105" s="103"/>
      <c r="K105" s="103"/>
      <c r="L105" s="103"/>
    </row>
    <row r="106" spans="1:13" ht="20.25" customHeight="1" x14ac:dyDescent="0.25">
      <c r="A106" s="75"/>
      <c r="B106" s="70" t="s">
        <v>442</v>
      </c>
      <c r="C106" s="109">
        <v>101779</v>
      </c>
      <c r="D106" s="109">
        <v>212</v>
      </c>
      <c r="E106" s="109">
        <v>1129</v>
      </c>
      <c r="F106" s="103">
        <f>C106+D106+E106</f>
        <v>103120</v>
      </c>
      <c r="G106" s="75"/>
      <c r="H106" s="75" t="s">
        <v>403</v>
      </c>
      <c r="I106" s="113">
        <f>I101+I104+I105</f>
        <v>0</v>
      </c>
      <c r="J106" s="113">
        <f t="shared" ref="J106:L106" si="67">J101+J104+J105</f>
        <v>0</v>
      </c>
      <c r="K106" s="113">
        <f t="shared" ref="K106" si="68">K101+K104+K105</f>
        <v>0</v>
      </c>
      <c r="L106" s="113">
        <f t="shared" si="67"/>
        <v>0</v>
      </c>
    </row>
    <row r="107" spans="1:13" ht="20.25" customHeight="1" x14ac:dyDescent="0.25">
      <c r="A107" s="75"/>
      <c r="B107" s="80" t="s">
        <v>443</v>
      </c>
      <c r="C107" s="113">
        <f>C101+C104+C105+C106</f>
        <v>101905</v>
      </c>
      <c r="D107" s="113">
        <f t="shared" ref="D107:F107" si="69">D101+D104+D105+D106</f>
        <v>212</v>
      </c>
      <c r="E107" s="113">
        <f t="shared" ref="E107" si="70">E101+E104+E105+E106</f>
        <v>5671</v>
      </c>
      <c r="F107" s="113">
        <f t="shared" si="69"/>
        <v>107788</v>
      </c>
      <c r="G107" s="75"/>
      <c r="H107" s="95"/>
      <c r="I107" s="103"/>
      <c r="J107" s="103"/>
      <c r="K107" s="103"/>
      <c r="L107" s="103"/>
    </row>
    <row r="108" spans="1:13" ht="20.25" customHeight="1" x14ac:dyDescent="0.25">
      <c r="A108" s="90"/>
      <c r="B108" s="79"/>
      <c r="C108" s="104"/>
      <c r="D108" s="104"/>
      <c r="E108" s="104"/>
      <c r="F108" s="104"/>
      <c r="G108" s="90"/>
      <c r="H108" s="90"/>
      <c r="I108" s="104"/>
      <c r="J108" s="104"/>
      <c r="K108" s="104"/>
      <c r="L108" s="104"/>
    </row>
    <row r="109" spans="1:13" ht="20.25" customHeight="1" x14ac:dyDescent="0.25">
      <c r="A109" s="75"/>
      <c r="B109" s="94" t="s">
        <v>434</v>
      </c>
      <c r="C109" s="103"/>
      <c r="D109" s="103"/>
      <c r="E109" s="103"/>
      <c r="F109" s="103"/>
      <c r="G109" s="75"/>
      <c r="H109" s="94" t="s">
        <v>394</v>
      </c>
      <c r="I109" s="103"/>
      <c r="J109" s="103"/>
      <c r="K109" s="103"/>
      <c r="L109" s="103"/>
    </row>
    <row r="110" spans="1:13" ht="20.25" customHeight="1" x14ac:dyDescent="0.25">
      <c r="A110" s="75"/>
      <c r="B110" s="94" t="s">
        <v>435</v>
      </c>
      <c r="C110" s="103"/>
      <c r="D110" s="103"/>
      <c r="E110" s="103"/>
      <c r="F110" s="103"/>
      <c r="G110" s="75"/>
      <c r="H110" s="94" t="s">
        <v>395</v>
      </c>
      <c r="I110" s="103"/>
      <c r="J110" s="103"/>
      <c r="K110" s="103"/>
      <c r="L110" s="103"/>
    </row>
    <row r="111" spans="1:13" ht="20.25" customHeight="1" x14ac:dyDescent="0.25">
      <c r="A111" s="75"/>
      <c r="B111" s="94" t="s">
        <v>436</v>
      </c>
      <c r="C111" s="103"/>
      <c r="D111" s="103"/>
      <c r="E111" s="103"/>
      <c r="F111" s="103"/>
      <c r="G111" s="75"/>
      <c r="H111" s="94" t="s">
        <v>396</v>
      </c>
      <c r="I111" s="103"/>
      <c r="J111" s="103"/>
      <c r="K111" s="103"/>
      <c r="L111" s="103"/>
    </row>
    <row r="112" spans="1:13" ht="20.25" customHeight="1" x14ac:dyDescent="0.25">
      <c r="A112" s="75"/>
      <c r="B112" s="95" t="s">
        <v>437</v>
      </c>
      <c r="C112" s="103">
        <f>C109+C110+C111</f>
        <v>0</v>
      </c>
      <c r="D112" s="103">
        <f t="shared" ref="D112:F112" si="71">D109+D110+D111</f>
        <v>0</v>
      </c>
      <c r="E112" s="103">
        <f t="shared" ref="E112" si="72">E109+E110+E111</f>
        <v>0</v>
      </c>
      <c r="F112" s="103">
        <f t="shared" si="71"/>
        <v>0</v>
      </c>
      <c r="G112" s="75"/>
      <c r="H112" s="95" t="s">
        <v>398</v>
      </c>
      <c r="I112" s="103">
        <f>I109+I110+I111</f>
        <v>0</v>
      </c>
      <c r="J112" s="103">
        <f t="shared" ref="J112:L112" si="73">J109+J110+J111</f>
        <v>0</v>
      </c>
      <c r="K112" s="103">
        <f t="shared" ref="K112" si="74">K109+K110+K111</f>
        <v>0</v>
      </c>
      <c r="L112" s="103">
        <f t="shared" si="73"/>
        <v>0</v>
      </c>
    </row>
    <row r="113" spans="1:12" ht="20.25" customHeight="1" x14ac:dyDescent="0.25">
      <c r="A113" s="75"/>
      <c r="B113" s="69" t="s">
        <v>438</v>
      </c>
      <c r="C113" s="103"/>
      <c r="D113" s="103"/>
      <c r="E113" s="103"/>
      <c r="F113" s="103"/>
      <c r="G113" s="75"/>
      <c r="H113" s="94" t="s">
        <v>399</v>
      </c>
      <c r="I113" s="103"/>
      <c r="J113" s="103"/>
      <c r="K113" s="103"/>
      <c r="L113" s="103"/>
    </row>
    <row r="114" spans="1:12" ht="20.25" customHeight="1" x14ac:dyDescent="0.25">
      <c r="A114" s="75"/>
      <c r="B114" s="69" t="s">
        <v>439</v>
      </c>
      <c r="C114" s="103"/>
      <c r="D114" s="103"/>
      <c r="E114" s="103"/>
      <c r="F114" s="103"/>
      <c r="G114" s="75"/>
      <c r="H114" s="94" t="s">
        <v>400</v>
      </c>
      <c r="I114" s="103"/>
      <c r="J114" s="103"/>
      <c r="K114" s="103"/>
      <c r="L114" s="103"/>
    </row>
    <row r="115" spans="1:12" ht="20.25" customHeight="1" x14ac:dyDescent="0.25">
      <c r="A115" s="75"/>
      <c r="B115" s="70" t="s">
        <v>440</v>
      </c>
      <c r="C115" s="103">
        <f>C113+C114</f>
        <v>0</v>
      </c>
      <c r="D115" s="103">
        <f t="shared" ref="D115:F115" si="75">D113+D114</f>
        <v>0</v>
      </c>
      <c r="E115" s="103">
        <f t="shared" ref="E115" si="76">E113+E114</f>
        <v>0</v>
      </c>
      <c r="F115" s="103">
        <f t="shared" si="75"/>
        <v>0</v>
      </c>
      <c r="G115" s="75"/>
      <c r="H115" s="95" t="s">
        <v>401</v>
      </c>
      <c r="I115" s="103">
        <f>I113+I114</f>
        <v>0</v>
      </c>
      <c r="J115" s="103">
        <f t="shared" ref="J115:L115" si="77">J113+J114</f>
        <v>0</v>
      </c>
      <c r="K115" s="103">
        <f t="shared" ref="K115" si="78">K113+K114</f>
        <v>0</v>
      </c>
      <c r="L115" s="103">
        <f t="shared" si="77"/>
        <v>0</v>
      </c>
    </row>
    <row r="116" spans="1:12" ht="20.25" customHeight="1" x14ac:dyDescent="0.25">
      <c r="A116" s="75"/>
      <c r="B116" s="70" t="s">
        <v>444</v>
      </c>
      <c r="C116" s="103"/>
      <c r="D116" s="103"/>
      <c r="E116" s="103"/>
      <c r="F116" s="103"/>
      <c r="G116" s="75"/>
      <c r="H116" s="95" t="s">
        <v>402</v>
      </c>
      <c r="I116" s="103"/>
      <c r="J116" s="103"/>
      <c r="K116" s="103"/>
      <c r="L116" s="103"/>
    </row>
    <row r="117" spans="1:12" ht="20.25" customHeight="1" x14ac:dyDescent="0.25">
      <c r="A117" s="75"/>
      <c r="B117" s="70" t="s">
        <v>442</v>
      </c>
      <c r="C117" s="109">
        <v>1480</v>
      </c>
      <c r="D117" s="109"/>
      <c r="E117" s="109"/>
      <c r="F117" s="103">
        <f>C117+D117</f>
        <v>1480</v>
      </c>
      <c r="G117" s="75"/>
      <c r="H117" s="75" t="s">
        <v>404</v>
      </c>
      <c r="I117" s="113">
        <f>I112+I115+I116</f>
        <v>0</v>
      </c>
      <c r="J117" s="113">
        <f t="shared" ref="J117:L117" si="79">J112+J115+J116</f>
        <v>0</v>
      </c>
      <c r="K117" s="113">
        <f t="shared" ref="K117" si="80">K112+K115+K116</f>
        <v>0</v>
      </c>
      <c r="L117" s="113">
        <f t="shared" si="79"/>
        <v>0</v>
      </c>
    </row>
    <row r="118" spans="1:12" ht="20.25" customHeight="1" x14ac:dyDescent="0.25">
      <c r="A118" s="75"/>
      <c r="B118" s="80" t="s">
        <v>445</v>
      </c>
      <c r="C118" s="113">
        <f>C112+C115+C116+C117</f>
        <v>1480</v>
      </c>
      <c r="D118" s="113">
        <f t="shared" ref="D118:F118" si="81">D112+D115+D116+D117</f>
        <v>0</v>
      </c>
      <c r="E118" s="113">
        <f t="shared" ref="E118" si="82">E112+E115+E116+E117</f>
        <v>0</v>
      </c>
      <c r="F118" s="113">
        <f t="shared" si="81"/>
        <v>1480</v>
      </c>
      <c r="G118" s="75"/>
      <c r="H118" s="95"/>
      <c r="I118" s="103"/>
      <c r="J118" s="103"/>
      <c r="K118" s="103"/>
      <c r="L118" s="103"/>
    </row>
    <row r="119" spans="1:12" ht="20.25" customHeight="1" x14ac:dyDescent="0.25">
      <c r="A119" s="742" t="s">
        <v>143</v>
      </c>
      <c r="B119" s="742"/>
      <c r="C119" s="428">
        <f>C2+C80+C97</f>
        <v>113175.43</v>
      </c>
      <c r="D119" s="428">
        <f t="shared" ref="D119:F119" si="83">D2+D80+D97</f>
        <v>212</v>
      </c>
      <c r="E119" s="428">
        <f t="shared" ref="E119" si="84">E2+E80+E97</f>
        <v>146</v>
      </c>
      <c r="F119" s="428">
        <f t="shared" si="83"/>
        <v>113533.43</v>
      </c>
      <c r="G119" s="742" t="s">
        <v>144</v>
      </c>
      <c r="H119" s="742"/>
      <c r="I119" s="428">
        <f>I2+I80+I97</f>
        <v>113175.1586796</v>
      </c>
      <c r="J119" s="428">
        <f t="shared" ref="J119:L119" si="85">J2+J80+J97</f>
        <v>212</v>
      </c>
      <c r="K119" s="428">
        <f t="shared" ref="K119" si="86">K2+K80+K97</f>
        <v>146</v>
      </c>
      <c r="L119" s="428">
        <f t="shared" si="85"/>
        <v>113533.1586796</v>
      </c>
    </row>
    <row r="121" spans="1:12" x14ac:dyDescent="0.25">
      <c r="I121" s="117">
        <f>C119-I119</f>
        <v>0.27132039998832624</v>
      </c>
      <c r="J121" s="117">
        <f>D119-J119</f>
        <v>0</v>
      </c>
      <c r="K121" s="117">
        <f>E119-K119</f>
        <v>0</v>
      </c>
      <c r="L121" s="117">
        <f t="shared" ref="L121" si="87">F119-L119</f>
        <v>0.27132039998832624</v>
      </c>
    </row>
    <row r="123" spans="1:12" x14ac:dyDescent="0.25">
      <c r="I123" s="429"/>
      <c r="J123" s="429"/>
      <c r="K123" s="429"/>
      <c r="L123" s="429"/>
    </row>
    <row r="124" spans="1:12" x14ac:dyDescent="0.25">
      <c r="I124" s="429"/>
      <c r="J124" s="429"/>
      <c r="K124" s="429"/>
      <c r="L124" s="429"/>
    </row>
    <row r="125" spans="1:12" x14ac:dyDescent="0.25">
      <c r="I125" s="429"/>
      <c r="J125" s="429"/>
      <c r="K125" s="429"/>
      <c r="L125" s="429"/>
    </row>
    <row r="126" spans="1:12" x14ac:dyDescent="0.25">
      <c r="I126" s="429"/>
      <c r="J126" s="429"/>
      <c r="K126" s="429"/>
      <c r="L126" s="429"/>
    </row>
  </sheetData>
  <mergeCells count="2">
    <mergeCell ref="A119:B119"/>
    <mergeCell ref="G119:H1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headerFooter>
    <oddHeader>&amp;CTaksony Nagyközség Önkormányzat 2016. évi költségvetés 
2. sz. módosítás&amp;R3.a.sz. melléklet</oddHeader>
    <oddFooter xml:space="preserve">&amp;LKészült: &amp;D
&amp;R/:Kreisz László://:Dr.Micheller Anita:/       </oddFooter>
  </headerFooter>
  <rowBreaks count="1" manualBreakCount="1">
    <brk id="72" max="9" man="1"/>
  </rowBreaks>
  <colBreaks count="1" manualBreakCount="1">
    <brk id="6" max="118" man="1"/>
  </colBreaks>
  <ignoredErrors>
    <ignoredError sqref="I41 C3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L97"/>
  <sheetViews>
    <sheetView view="pageBreakPreview" zoomScale="70" zoomScaleNormal="70" zoomScaleSheetLayoutView="70" workbookViewId="0">
      <pane ySplit="1" topLeftCell="A2" activePane="bottomLeft" state="frozen"/>
      <selection activeCell="G32" sqref="G32"/>
      <selection pane="bottomLeft" activeCell="E96" sqref="E96"/>
    </sheetView>
  </sheetViews>
  <sheetFormatPr defaultRowHeight="15" x14ac:dyDescent="0.25"/>
  <cols>
    <col min="1" max="1" width="6.7109375" style="21" customWidth="1"/>
    <col min="2" max="2" width="71.5703125" style="21" customWidth="1"/>
    <col min="3" max="6" width="20.85546875" style="21" customWidth="1"/>
    <col min="7" max="7" width="6.7109375" style="21" customWidth="1"/>
    <col min="8" max="8" width="71.5703125" style="21" customWidth="1"/>
    <col min="9" max="9" width="18" style="21" customWidth="1"/>
    <col min="10" max="11" width="19.28515625" style="21" customWidth="1"/>
    <col min="12" max="12" width="25.42578125" style="21" customWidth="1"/>
    <col min="13" max="16384" width="9.140625" style="21"/>
  </cols>
  <sheetData>
    <row r="1" spans="1:12" ht="40.5" customHeight="1" x14ac:dyDescent="0.25">
      <c r="A1" s="76"/>
      <c r="B1" s="77" t="s">
        <v>512</v>
      </c>
      <c r="C1" s="76" t="s">
        <v>1101</v>
      </c>
      <c r="D1" s="76" t="s">
        <v>1106</v>
      </c>
      <c r="E1" s="657" t="s">
        <v>1110</v>
      </c>
      <c r="F1" s="76" t="s">
        <v>1102</v>
      </c>
      <c r="G1" s="76"/>
      <c r="H1" s="77" t="s">
        <v>513</v>
      </c>
      <c r="I1" s="76" t="s">
        <v>1101</v>
      </c>
      <c r="J1" s="76" t="s">
        <v>1106</v>
      </c>
      <c r="K1" s="657" t="s">
        <v>1110</v>
      </c>
      <c r="L1" s="76" t="s">
        <v>1102</v>
      </c>
    </row>
    <row r="2" spans="1:12" ht="20.25" customHeight="1" x14ac:dyDescent="0.25">
      <c r="A2" s="418"/>
      <c r="B2" s="419" t="s">
        <v>180</v>
      </c>
      <c r="C2" s="420">
        <f>C3+C18+C25+C36</f>
        <v>3150</v>
      </c>
      <c r="D2" s="420">
        <f t="shared" ref="D2:F2" si="0">D3+D18+D25+D36</f>
        <v>0</v>
      </c>
      <c r="E2" s="420">
        <f t="shared" ref="E2" si="1">E3+E18+E25+E36</f>
        <v>0</v>
      </c>
      <c r="F2" s="420">
        <f t="shared" si="0"/>
        <v>3150</v>
      </c>
      <c r="G2" s="418"/>
      <c r="H2" s="419" t="s">
        <v>196</v>
      </c>
      <c r="I2" s="420">
        <f>I3+I7+I18+I25+I36</f>
        <v>19540.452487999999</v>
      </c>
      <c r="J2" s="420">
        <f t="shared" ref="J2:L2" si="2">J3+J7+J18+J25+J36</f>
        <v>0</v>
      </c>
      <c r="K2" s="420">
        <f t="shared" ref="K2" si="3">K3+K7+K18+K25+K36</f>
        <v>0</v>
      </c>
      <c r="L2" s="420">
        <f t="shared" si="2"/>
        <v>19540.452487999999</v>
      </c>
    </row>
    <row r="3" spans="1:12" ht="20.25" customHeight="1" x14ac:dyDescent="0.25">
      <c r="A3" s="421" t="s">
        <v>23</v>
      </c>
      <c r="B3" s="422" t="s">
        <v>312</v>
      </c>
      <c r="C3" s="423">
        <f>C4+C12+C13+C14+C15+C16</f>
        <v>0</v>
      </c>
      <c r="D3" s="423">
        <f t="shared" ref="D3:F3" si="4">D4+D12+D13+D14+D15+D16</f>
        <v>0</v>
      </c>
      <c r="E3" s="423">
        <f t="shared" ref="E3" si="5">E4+E12+E13+E14+E15+E16</f>
        <v>0</v>
      </c>
      <c r="F3" s="423">
        <f t="shared" si="4"/>
        <v>0</v>
      </c>
      <c r="G3" s="421" t="s">
        <v>23</v>
      </c>
      <c r="H3" s="414" t="s">
        <v>213</v>
      </c>
      <c r="I3" s="415">
        <f>SUM(I4:I5)</f>
        <v>4331</v>
      </c>
      <c r="J3" s="415">
        <f t="shared" ref="J3:L3" si="6">SUM(J4:J5)</f>
        <v>130</v>
      </c>
      <c r="K3" s="415">
        <f t="shared" ref="K3" si="7">SUM(K4:K5)</f>
        <v>130</v>
      </c>
      <c r="L3" s="415">
        <f t="shared" si="6"/>
        <v>4461</v>
      </c>
    </row>
    <row r="4" spans="1:12" ht="20.25" customHeight="1" x14ac:dyDescent="0.25">
      <c r="A4" s="70"/>
      <c r="B4" s="111" t="s">
        <v>247</v>
      </c>
      <c r="C4" s="109">
        <f>SUM(C5:C8)</f>
        <v>0</v>
      </c>
      <c r="D4" s="109">
        <f t="shared" ref="D4:F4" si="8">SUM(D5:D8)</f>
        <v>0</v>
      </c>
      <c r="E4" s="109">
        <f t="shared" ref="E4" si="9">SUM(E5:E8)</f>
        <v>0</v>
      </c>
      <c r="F4" s="109">
        <f t="shared" si="8"/>
        <v>0</v>
      </c>
      <c r="G4" s="80"/>
      <c r="H4" s="69" t="s">
        <v>507</v>
      </c>
      <c r="I4" s="97">
        <f>'4.a műv.ház részletes'!I12</f>
        <v>4331</v>
      </c>
      <c r="J4" s="97">
        <f>'4.a műv.ház részletes'!J12</f>
        <v>10</v>
      </c>
      <c r="K4" s="97">
        <f>'4.a műv.ház részletes'!K12</f>
        <v>10</v>
      </c>
      <c r="L4" s="97">
        <f>'4.a műv.ház részletes'!L12</f>
        <v>4341</v>
      </c>
    </row>
    <row r="5" spans="1:12" ht="24" customHeight="1" x14ac:dyDescent="0.25">
      <c r="A5" s="80"/>
      <c r="B5" s="84" t="s">
        <v>248</v>
      </c>
      <c r="C5" s="109"/>
      <c r="D5" s="109"/>
      <c r="E5" s="109"/>
      <c r="F5" s="109"/>
      <c r="G5" s="80"/>
      <c r="H5" s="69" t="s">
        <v>508</v>
      </c>
      <c r="I5" s="97">
        <f>'4.a műv.ház részletes'!I16</f>
        <v>0</v>
      </c>
      <c r="J5" s="97">
        <f>'4.a műv.ház részletes'!J16</f>
        <v>120</v>
      </c>
      <c r="K5" s="97">
        <f>'4.a műv.ház részletes'!K16</f>
        <v>120</v>
      </c>
      <c r="L5" s="97">
        <f>'4.a műv.ház részletes'!L16</f>
        <v>120</v>
      </c>
    </row>
    <row r="6" spans="1:12" ht="24" customHeight="1" x14ac:dyDescent="0.25">
      <c r="A6" s="80"/>
      <c r="B6" s="84" t="s">
        <v>249</v>
      </c>
      <c r="C6" s="109"/>
      <c r="D6" s="109"/>
      <c r="E6" s="109"/>
      <c r="F6" s="109"/>
      <c r="G6" s="80"/>
      <c r="H6" s="69"/>
      <c r="I6" s="97"/>
      <c r="J6" s="97"/>
      <c r="K6" s="97"/>
      <c r="L6" s="97"/>
    </row>
    <row r="7" spans="1:12" ht="22.5" customHeight="1" x14ac:dyDescent="0.25">
      <c r="A7" s="80"/>
      <c r="B7" s="84" t="s">
        <v>250</v>
      </c>
      <c r="C7" s="109"/>
      <c r="D7" s="109"/>
      <c r="E7" s="109"/>
      <c r="F7" s="109"/>
      <c r="G7" s="421" t="s">
        <v>45</v>
      </c>
      <c r="H7" s="414" t="s">
        <v>214</v>
      </c>
      <c r="I7" s="415">
        <f>'4.a műv.ház részletes'!I17</f>
        <v>1193.382488</v>
      </c>
      <c r="J7" s="415">
        <f>'4.a műv.ház részletes'!J17</f>
        <v>0</v>
      </c>
      <c r="K7" s="415">
        <f>'4.a műv.ház részletes'!K17</f>
        <v>0</v>
      </c>
      <c r="L7" s="415">
        <f>'4.a műv.ház részletes'!L17</f>
        <v>1193.382488</v>
      </c>
    </row>
    <row r="8" spans="1:12" ht="22.5" customHeight="1" x14ac:dyDescent="0.25">
      <c r="A8" s="80"/>
      <c r="B8" s="84" t="s">
        <v>251</v>
      </c>
      <c r="C8" s="109">
        <f>'4.a műv.ház részletes'!C8</f>
        <v>0</v>
      </c>
      <c r="D8" s="109">
        <f>'4.a műv.ház részletes'!D8</f>
        <v>0</v>
      </c>
      <c r="E8" s="109">
        <f>'4.a műv.ház részletes'!E8</f>
        <v>0</v>
      </c>
      <c r="F8" s="109">
        <f>'4.a műv.ház részletes'!F8</f>
        <v>0</v>
      </c>
      <c r="G8" s="80"/>
      <c r="H8" s="69"/>
      <c r="I8" s="97"/>
      <c r="J8" s="97"/>
      <c r="K8" s="97"/>
      <c r="L8" s="97"/>
    </row>
    <row r="9" spans="1:12" ht="24.75" customHeight="1" x14ac:dyDescent="0.25">
      <c r="A9" s="80"/>
      <c r="B9" s="84" t="s">
        <v>252</v>
      </c>
      <c r="C9" s="82" t="s">
        <v>253</v>
      </c>
      <c r="D9" s="82"/>
      <c r="E9" s="82"/>
      <c r="F9" s="82"/>
      <c r="G9" s="80"/>
      <c r="H9" s="69"/>
      <c r="I9" s="97"/>
      <c r="J9" s="97"/>
      <c r="K9" s="97"/>
      <c r="L9" s="97"/>
    </row>
    <row r="10" spans="1:12" ht="18" customHeight="1" x14ac:dyDescent="0.25">
      <c r="A10" s="80"/>
      <c r="B10" s="84" t="s">
        <v>254</v>
      </c>
      <c r="C10" s="82" t="s">
        <v>253</v>
      </c>
      <c r="D10" s="82"/>
      <c r="E10" s="82"/>
      <c r="F10" s="82"/>
      <c r="G10" s="85"/>
      <c r="H10" s="69"/>
      <c r="I10" s="98"/>
      <c r="J10" s="98"/>
      <c r="K10" s="98"/>
      <c r="L10" s="98"/>
    </row>
    <row r="11" spans="1:12" ht="20.25" customHeight="1" x14ac:dyDescent="0.25">
      <c r="A11" s="80"/>
      <c r="B11" s="115"/>
      <c r="C11" s="88"/>
      <c r="D11" s="88"/>
      <c r="E11" s="88"/>
      <c r="F11" s="88"/>
      <c r="G11" s="85"/>
      <c r="H11" s="69"/>
      <c r="I11" s="99"/>
      <c r="J11" s="99"/>
      <c r="K11" s="99"/>
      <c r="L11" s="99"/>
    </row>
    <row r="12" spans="1:12" ht="20.25" customHeight="1" x14ac:dyDescent="0.25">
      <c r="A12" s="80"/>
      <c r="B12" s="84" t="s">
        <v>255</v>
      </c>
      <c r="C12" s="88"/>
      <c r="D12" s="88"/>
      <c r="E12" s="88"/>
      <c r="F12" s="88"/>
      <c r="G12" s="85"/>
      <c r="I12" s="107"/>
      <c r="J12" s="107"/>
      <c r="K12" s="107"/>
      <c r="L12" s="107"/>
    </row>
    <row r="13" spans="1:12" ht="30" x14ac:dyDescent="0.25">
      <c r="A13" s="70"/>
      <c r="B13" s="84" t="s">
        <v>256</v>
      </c>
      <c r="C13" s="109"/>
      <c r="D13" s="109"/>
      <c r="E13" s="109"/>
      <c r="F13" s="109"/>
      <c r="G13" s="85"/>
      <c r="H13" s="69"/>
      <c r="I13" s="99"/>
      <c r="J13" s="99"/>
      <c r="K13" s="99"/>
      <c r="L13" s="99"/>
    </row>
    <row r="14" spans="1:12" ht="29.25" customHeight="1" x14ac:dyDescent="0.25">
      <c r="A14" s="70"/>
      <c r="B14" s="84" t="s">
        <v>257</v>
      </c>
      <c r="C14" s="109"/>
      <c r="D14" s="109"/>
      <c r="E14" s="109"/>
      <c r="F14" s="109"/>
      <c r="G14" s="85"/>
      <c r="H14" s="69"/>
      <c r="I14" s="99"/>
      <c r="J14" s="99"/>
      <c r="K14" s="99"/>
      <c r="L14" s="99"/>
    </row>
    <row r="15" spans="1:12" ht="29.25" customHeight="1" x14ac:dyDescent="0.25">
      <c r="A15" s="70"/>
      <c r="B15" s="84" t="s">
        <v>258</v>
      </c>
      <c r="C15" s="109"/>
      <c r="D15" s="109"/>
      <c r="E15" s="109"/>
      <c r="F15" s="109"/>
      <c r="G15" s="85"/>
      <c r="H15" s="69"/>
      <c r="I15" s="99"/>
      <c r="J15" s="99"/>
      <c r="K15" s="99"/>
      <c r="L15" s="99"/>
    </row>
    <row r="16" spans="1:12" ht="29.25" customHeight="1" x14ac:dyDescent="0.25">
      <c r="A16" s="70"/>
      <c r="B16" s="84" t="s">
        <v>259</v>
      </c>
      <c r="C16" s="109">
        <f>'4.a műv.ház részletes'!C16</f>
        <v>0</v>
      </c>
      <c r="D16" s="109">
        <f>'4.a műv.ház részletes'!D16</f>
        <v>0</v>
      </c>
      <c r="E16" s="109">
        <f>'4.a műv.ház részletes'!E16</f>
        <v>0</v>
      </c>
      <c r="F16" s="109">
        <f>'4.a műv.ház részletes'!F16</f>
        <v>0</v>
      </c>
      <c r="G16" s="85"/>
      <c r="H16" s="88"/>
      <c r="I16" s="107"/>
      <c r="J16" s="107"/>
      <c r="K16" s="107"/>
      <c r="L16" s="107"/>
    </row>
    <row r="17" spans="1:12" ht="18.75" customHeight="1" x14ac:dyDescent="0.25">
      <c r="A17" s="70"/>
      <c r="C17" s="109"/>
      <c r="D17" s="109"/>
      <c r="E17" s="109"/>
      <c r="F17" s="109"/>
      <c r="H17" s="88"/>
      <c r="I17" s="99"/>
      <c r="J17" s="99"/>
      <c r="K17" s="99"/>
      <c r="L17" s="99"/>
    </row>
    <row r="18" spans="1:12" ht="20.25" customHeight="1" x14ac:dyDescent="0.25">
      <c r="A18" s="424" t="s">
        <v>45</v>
      </c>
      <c r="B18" s="425" t="s">
        <v>266</v>
      </c>
      <c r="C18" s="415">
        <f>C19+C20+C24</f>
        <v>0</v>
      </c>
      <c r="D18" s="415">
        <f t="shared" ref="D18:F18" si="10">D19+D20+D24</f>
        <v>0</v>
      </c>
      <c r="E18" s="415">
        <f t="shared" ref="E18" si="11">E19+E20+E24</f>
        <v>0</v>
      </c>
      <c r="F18" s="415">
        <f t="shared" si="10"/>
        <v>0</v>
      </c>
      <c r="G18" s="421" t="s">
        <v>56</v>
      </c>
      <c r="H18" s="414" t="s">
        <v>215</v>
      </c>
      <c r="I18" s="415">
        <f>SUM(I19:I23)</f>
        <v>14016.07</v>
      </c>
      <c r="J18" s="415">
        <f t="shared" ref="J18:L18" si="12">SUM(J19:J23)</f>
        <v>-130</v>
      </c>
      <c r="K18" s="415">
        <f t="shared" ref="K18" si="13">SUM(K19:K23)</f>
        <v>-130</v>
      </c>
      <c r="L18" s="415">
        <f t="shared" si="12"/>
        <v>13886.07</v>
      </c>
    </row>
    <row r="19" spans="1:12" ht="20.25" customHeight="1" x14ac:dyDescent="0.25">
      <c r="A19" s="86"/>
      <c r="B19" s="88" t="s">
        <v>267</v>
      </c>
      <c r="C19" s="97"/>
      <c r="D19" s="97"/>
      <c r="E19" s="97"/>
      <c r="F19" s="97"/>
      <c r="G19" s="71"/>
      <c r="H19" s="119" t="s">
        <v>238</v>
      </c>
      <c r="I19" s="107">
        <f>'4.a műv.ház részletes'!I35</f>
        <v>1238.9047619047619</v>
      </c>
      <c r="J19" s="107">
        <f>'4.a műv.ház részletes'!J35</f>
        <v>0</v>
      </c>
      <c r="K19" s="107">
        <f>'4.a műv.ház részletes'!K35</f>
        <v>0</v>
      </c>
      <c r="L19" s="107">
        <f>'4.a műv.ház részletes'!L35</f>
        <v>1238.9047619047619</v>
      </c>
    </row>
    <row r="20" spans="1:12" ht="20.25" customHeight="1" x14ac:dyDescent="0.25">
      <c r="A20" s="86"/>
      <c r="B20" s="88" t="s">
        <v>268</v>
      </c>
      <c r="C20" s="97"/>
      <c r="D20" s="97"/>
      <c r="E20" s="97"/>
      <c r="F20" s="97"/>
      <c r="G20" s="71"/>
      <c r="H20" s="119" t="s">
        <v>239</v>
      </c>
      <c r="I20" s="107">
        <f>'4.a műv.ház részletes'!I38</f>
        <v>292</v>
      </c>
      <c r="J20" s="107">
        <f>'4.a műv.ház részletes'!J38</f>
        <v>-10</v>
      </c>
      <c r="K20" s="107">
        <f>'4.a műv.ház részletes'!K38</f>
        <v>-10</v>
      </c>
      <c r="L20" s="107">
        <f>'4.a műv.ház részletes'!L38</f>
        <v>282</v>
      </c>
    </row>
    <row r="21" spans="1:12" ht="20.25" customHeight="1" x14ac:dyDescent="0.25">
      <c r="A21" s="86"/>
      <c r="B21" s="88" t="s">
        <v>269</v>
      </c>
      <c r="C21" s="97"/>
      <c r="D21" s="97"/>
      <c r="E21" s="97"/>
      <c r="F21" s="97"/>
      <c r="G21" s="71"/>
      <c r="H21" s="119" t="s">
        <v>240</v>
      </c>
      <c r="I21" s="107">
        <f>'4.a műv.ház részletes'!I55</f>
        <v>6840</v>
      </c>
      <c r="J21" s="107">
        <f>'4.a műv.ház részletes'!J55</f>
        <v>0</v>
      </c>
      <c r="K21" s="107">
        <f>'4.a műv.ház részletes'!K55</f>
        <v>0</v>
      </c>
      <c r="L21" s="107">
        <f>'4.a műv.ház részletes'!L55</f>
        <v>6840</v>
      </c>
    </row>
    <row r="22" spans="1:12" ht="20.25" customHeight="1" x14ac:dyDescent="0.25">
      <c r="A22" s="86"/>
      <c r="B22" s="88" t="s">
        <v>270</v>
      </c>
      <c r="C22" s="97"/>
      <c r="D22" s="97"/>
      <c r="E22" s="97"/>
      <c r="F22" s="97"/>
      <c r="G22" s="71"/>
      <c r="H22" s="119" t="s">
        <v>241</v>
      </c>
      <c r="I22" s="107">
        <f>'4.a műv.ház részletes'!I58</f>
        <v>1938</v>
      </c>
      <c r="J22" s="107">
        <f>'4.a műv.ház részletes'!J58</f>
        <v>-120</v>
      </c>
      <c r="K22" s="107">
        <f>'4.a műv.ház részletes'!K58</f>
        <v>-120</v>
      </c>
      <c r="L22" s="107">
        <f>'4.a műv.ház részletes'!L58</f>
        <v>1818</v>
      </c>
    </row>
    <row r="23" spans="1:12" ht="20.25" customHeight="1" x14ac:dyDescent="0.25">
      <c r="A23" s="86"/>
      <c r="B23" s="88" t="s">
        <v>271</v>
      </c>
      <c r="C23" s="97"/>
      <c r="D23" s="97"/>
      <c r="E23" s="97"/>
      <c r="F23" s="97"/>
      <c r="G23" s="71"/>
      <c r="H23" s="119" t="s">
        <v>242</v>
      </c>
      <c r="I23" s="107">
        <f>'4.a műv.ház részletes'!I66</f>
        <v>3707.1652380952382</v>
      </c>
      <c r="J23" s="107">
        <f>'4.a műv.ház részletes'!J66</f>
        <v>0</v>
      </c>
      <c r="K23" s="107">
        <f>'4.a műv.ház részletes'!K66</f>
        <v>0</v>
      </c>
      <c r="L23" s="107">
        <f>'4.a műv.ház részletes'!L66</f>
        <v>3707.1652380952382</v>
      </c>
    </row>
    <row r="24" spans="1:12" ht="20.25" customHeight="1" x14ac:dyDescent="0.25">
      <c r="A24" s="86"/>
      <c r="B24" s="88" t="s">
        <v>272</v>
      </c>
      <c r="C24" s="97"/>
      <c r="D24" s="97"/>
      <c r="E24" s="97"/>
      <c r="F24" s="97"/>
      <c r="G24" s="71"/>
      <c r="H24" s="71"/>
      <c r="I24" s="99"/>
      <c r="J24" s="99"/>
      <c r="K24" s="99"/>
      <c r="L24" s="99"/>
    </row>
    <row r="25" spans="1:12" ht="20.25" customHeight="1" x14ac:dyDescent="0.25">
      <c r="A25" s="424" t="s">
        <v>56</v>
      </c>
      <c r="B25" s="425" t="s">
        <v>273</v>
      </c>
      <c r="C25" s="415">
        <f>SUM(C26:C35)</f>
        <v>3150</v>
      </c>
      <c r="D25" s="415">
        <f t="shared" ref="D25:F25" si="14">SUM(D26:D35)</f>
        <v>0</v>
      </c>
      <c r="E25" s="415">
        <f t="shared" ref="E25" si="15">SUM(E26:E35)</f>
        <v>0</v>
      </c>
      <c r="F25" s="415">
        <f t="shared" si="14"/>
        <v>3150</v>
      </c>
      <c r="G25" s="421" t="s">
        <v>64</v>
      </c>
      <c r="H25" s="414" t="s">
        <v>216</v>
      </c>
      <c r="I25" s="415">
        <f>SUM(I26:I31)</f>
        <v>0</v>
      </c>
      <c r="J25" s="415">
        <f t="shared" ref="J25:L25" si="16">SUM(J26:J31)</f>
        <v>0</v>
      </c>
      <c r="K25" s="415">
        <f t="shared" ref="K25" si="17">SUM(K26:K31)</f>
        <v>0</v>
      </c>
      <c r="L25" s="415">
        <f t="shared" si="16"/>
        <v>0</v>
      </c>
    </row>
    <row r="26" spans="1:12" ht="20.25" customHeight="1" x14ac:dyDescent="0.25">
      <c r="A26" s="86"/>
      <c r="B26" s="89" t="s">
        <v>274</v>
      </c>
      <c r="C26" s="103"/>
      <c r="D26" s="103"/>
      <c r="E26" s="103"/>
      <c r="F26" s="103"/>
      <c r="G26" s="71"/>
      <c r="H26" s="71" t="s">
        <v>202</v>
      </c>
      <c r="I26" s="102"/>
      <c r="J26" s="102"/>
      <c r="K26" s="102"/>
      <c r="L26" s="102"/>
    </row>
    <row r="27" spans="1:12" ht="20.25" customHeight="1" x14ac:dyDescent="0.25">
      <c r="A27" s="86"/>
      <c r="B27" s="89" t="s">
        <v>275</v>
      </c>
      <c r="C27" s="103">
        <f>'4.a műv.ház részletes'!C26</f>
        <v>3150</v>
      </c>
      <c r="D27" s="103">
        <f>'4.a műv.ház részletes'!D26</f>
        <v>0</v>
      </c>
      <c r="E27" s="103">
        <f>'4.a műv.ház részletes'!E26</f>
        <v>0</v>
      </c>
      <c r="F27" s="103">
        <f>'4.a műv.ház részletes'!F26</f>
        <v>3150</v>
      </c>
      <c r="G27" s="71"/>
      <c r="H27" s="88" t="s">
        <v>203</v>
      </c>
      <c r="I27" s="102"/>
      <c r="J27" s="102"/>
      <c r="K27" s="102"/>
      <c r="L27" s="102"/>
    </row>
    <row r="28" spans="1:12" ht="20.25" customHeight="1" x14ac:dyDescent="0.25">
      <c r="A28" s="86"/>
      <c r="B28" s="89" t="s">
        <v>276</v>
      </c>
      <c r="C28" s="103"/>
      <c r="D28" s="103"/>
      <c r="E28" s="103"/>
      <c r="F28" s="103"/>
      <c r="G28" s="71"/>
      <c r="H28" s="71" t="s">
        <v>204</v>
      </c>
      <c r="I28" s="102"/>
      <c r="J28" s="102"/>
      <c r="K28" s="102"/>
      <c r="L28" s="102"/>
    </row>
    <row r="29" spans="1:12" ht="20.25" customHeight="1" x14ac:dyDescent="0.25">
      <c r="A29" s="86"/>
      <c r="B29" s="89" t="s">
        <v>277</v>
      </c>
      <c r="C29" s="103"/>
      <c r="D29" s="103"/>
      <c r="E29" s="103"/>
      <c r="F29" s="103"/>
      <c r="G29" s="71"/>
      <c r="H29" s="71" t="s">
        <v>205</v>
      </c>
      <c r="I29" s="102"/>
      <c r="J29" s="102"/>
      <c r="K29" s="102"/>
      <c r="L29" s="102"/>
    </row>
    <row r="30" spans="1:12" ht="20.25" customHeight="1" x14ac:dyDescent="0.25">
      <c r="A30" s="86"/>
      <c r="B30" s="89" t="s">
        <v>278</v>
      </c>
      <c r="C30" s="103"/>
      <c r="D30" s="103"/>
      <c r="E30" s="103"/>
      <c r="F30" s="103"/>
      <c r="G30" s="71"/>
      <c r="H30" s="71" t="s">
        <v>206</v>
      </c>
      <c r="I30" s="102"/>
      <c r="J30" s="102"/>
      <c r="K30" s="102"/>
      <c r="L30" s="102"/>
    </row>
    <row r="31" spans="1:12" ht="20.25" customHeight="1" x14ac:dyDescent="0.25">
      <c r="A31" s="86"/>
      <c r="B31" s="89" t="s">
        <v>279</v>
      </c>
      <c r="C31" s="103">
        <f>'4.a műv.ház részletes'!C40</f>
        <v>0</v>
      </c>
      <c r="D31" s="103">
        <f>'4.a műv.ház részletes'!D40</f>
        <v>0</v>
      </c>
      <c r="E31" s="103">
        <f>'4.a műv.ház részletes'!E40</f>
        <v>0</v>
      </c>
      <c r="F31" s="103">
        <f>'4.a műv.ház részletes'!F40</f>
        <v>0</v>
      </c>
      <c r="G31" s="71"/>
      <c r="H31" s="71" t="s">
        <v>207</v>
      </c>
      <c r="I31" s="102"/>
      <c r="J31" s="102"/>
      <c r="K31" s="102"/>
      <c r="L31" s="102"/>
    </row>
    <row r="32" spans="1:12" ht="20.25" customHeight="1" x14ac:dyDescent="0.25">
      <c r="A32" s="86"/>
      <c r="B32" s="89" t="s">
        <v>280</v>
      </c>
      <c r="C32" s="103"/>
      <c r="D32" s="103"/>
      <c r="E32" s="103"/>
      <c r="F32" s="103"/>
      <c r="G32" s="71"/>
      <c r="H32" s="71"/>
      <c r="I32" s="99"/>
      <c r="J32" s="99"/>
      <c r="K32" s="99"/>
      <c r="L32" s="99"/>
    </row>
    <row r="33" spans="1:12" ht="20.25" customHeight="1" x14ac:dyDescent="0.25">
      <c r="A33" s="86"/>
      <c r="B33" s="89" t="s">
        <v>281</v>
      </c>
      <c r="C33" s="103"/>
      <c r="D33" s="103"/>
      <c r="E33" s="103"/>
      <c r="F33" s="103"/>
      <c r="G33" s="71"/>
      <c r="I33" s="107"/>
      <c r="J33" s="107"/>
      <c r="K33" s="107"/>
      <c r="L33" s="107"/>
    </row>
    <row r="34" spans="1:12" ht="20.25" customHeight="1" x14ac:dyDescent="0.25">
      <c r="A34" s="86"/>
      <c r="B34" s="89" t="s">
        <v>282</v>
      </c>
      <c r="C34" s="103"/>
      <c r="D34" s="103"/>
      <c r="E34" s="103"/>
      <c r="F34" s="103"/>
      <c r="G34" s="71"/>
      <c r="H34" s="71"/>
      <c r="I34" s="99"/>
      <c r="J34" s="99"/>
      <c r="K34" s="99"/>
      <c r="L34" s="99"/>
    </row>
    <row r="35" spans="1:12" ht="20.25" customHeight="1" x14ac:dyDescent="0.25">
      <c r="A35" s="86"/>
      <c r="B35" s="89" t="s">
        <v>283</v>
      </c>
      <c r="C35" s="103"/>
      <c r="D35" s="103"/>
      <c r="E35" s="103"/>
      <c r="F35" s="103"/>
      <c r="G35" s="71"/>
      <c r="H35" s="71"/>
      <c r="I35" s="99"/>
      <c r="J35" s="99"/>
      <c r="K35" s="99"/>
      <c r="L35" s="99"/>
    </row>
    <row r="36" spans="1:12" ht="20.25" customHeight="1" x14ac:dyDescent="0.25">
      <c r="A36" s="424" t="s">
        <v>64</v>
      </c>
      <c r="B36" s="425" t="s">
        <v>290</v>
      </c>
      <c r="C36" s="423">
        <f>C37+C38+C39</f>
        <v>0</v>
      </c>
      <c r="D36" s="423">
        <f t="shared" ref="D36:F36" si="18">D37+D38+D39</f>
        <v>0</v>
      </c>
      <c r="E36" s="423">
        <f t="shared" ref="E36" si="19">E37+E38+E39</f>
        <v>0</v>
      </c>
      <c r="F36" s="423">
        <f t="shared" si="18"/>
        <v>0</v>
      </c>
      <c r="G36" s="421" t="s">
        <v>100</v>
      </c>
      <c r="H36" s="414" t="s">
        <v>237</v>
      </c>
      <c r="I36" s="415">
        <f>SUM(I37:I42)</f>
        <v>0</v>
      </c>
      <c r="J36" s="415">
        <f t="shared" ref="J36:L36" si="20">SUM(J37:J42)</f>
        <v>0</v>
      </c>
      <c r="K36" s="415">
        <f t="shared" ref="K36" si="21">SUM(K37:K42)</f>
        <v>0</v>
      </c>
      <c r="L36" s="415">
        <f t="shared" si="20"/>
        <v>0</v>
      </c>
    </row>
    <row r="37" spans="1:12" ht="30" x14ac:dyDescent="0.25">
      <c r="A37" s="86"/>
      <c r="B37" s="89" t="s">
        <v>291</v>
      </c>
      <c r="C37" s="103"/>
      <c r="D37" s="103"/>
      <c r="E37" s="103"/>
      <c r="F37" s="103"/>
      <c r="G37" s="71"/>
      <c r="H37" s="71" t="s">
        <v>208</v>
      </c>
      <c r="I37" s="108" t="s">
        <v>253</v>
      </c>
      <c r="J37" s="108" t="s">
        <v>253</v>
      </c>
      <c r="K37" s="108" t="s">
        <v>253</v>
      </c>
      <c r="L37" s="108" t="s">
        <v>253</v>
      </c>
    </row>
    <row r="38" spans="1:12" ht="28.5" customHeight="1" x14ac:dyDescent="0.25">
      <c r="A38" s="86"/>
      <c r="B38" s="84" t="s">
        <v>292</v>
      </c>
      <c r="C38" s="103"/>
      <c r="D38" s="103"/>
      <c r="E38" s="103"/>
      <c r="F38" s="103"/>
      <c r="G38" s="71"/>
      <c r="H38" s="71" t="s">
        <v>210</v>
      </c>
      <c r="I38" s="102"/>
      <c r="J38" s="102"/>
      <c r="K38" s="102"/>
      <c r="L38" s="102"/>
    </row>
    <row r="39" spans="1:12" ht="19.5" customHeight="1" x14ac:dyDescent="0.25">
      <c r="A39" s="86"/>
      <c r="B39" s="89" t="s">
        <v>293</v>
      </c>
      <c r="C39" s="103"/>
      <c r="D39" s="103"/>
      <c r="E39" s="103"/>
      <c r="F39" s="103"/>
      <c r="G39" s="71"/>
      <c r="H39" s="71" t="s">
        <v>209</v>
      </c>
      <c r="I39" s="102"/>
      <c r="J39" s="102"/>
      <c r="K39" s="102"/>
      <c r="L39" s="102"/>
    </row>
    <row r="40" spans="1:12" ht="19.5" customHeight="1" x14ac:dyDescent="0.25">
      <c r="A40" s="86"/>
      <c r="B40" s="89"/>
      <c r="C40" s="103"/>
      <c r="D40" s="103"/>
      <c r="E40" s="103"/>
      <c r="F40" s="103"/>
      <c r="G40" s="71"/>
      <c r="H40" s="71" t="s">
        <v>211</v>
      </c>
      <c r="I40" s="102"/>
      <c r="J40" s="102"/>
      <c r="K40" s="102"/>
      <c r="L40" s="102"/>
    </row>
    <row r="41" spans="1:12" ht="19.5" customHeight="1" x14ac:dyDescent="0.25">
      <c r="A41" s="86"/>
      <c r="B41" s="89"/>
      <c r="C41" s="101"/>
      <c r="D41" s="101"/>
      <c r="E41" s="101"/>
      <c r="F41" s="101"/>
      <c r="G41" s="71"/>
      <c r="H41" s="71" t="s">
        <v>377</v>
      </c>
      <c r="I41" s="102"/>
      <c r="J41" s="102"/>
      <c r="K41" s="102"/>
      <c r="L41" s="102"/>
    </row>
    <row r="42" spans="1:12" ht="19.5" customHeight="1" x14ac:dyDescent="0.25">
      <c r="A42" s="86"/>
      <c r="B42" s="89"/>
      <c r="C42" s="101"/>
      <c r="D42" s="101"/>
      <c r="E42" s="101"/>
      <c r="F42" s="101"/>
      <c r="G42" s="71"/>
      <c r="H42" s="71" t="s">
        <v>212</v>
      </c>
      <c r="I42" s="102"/>
      <c r="J42" s="102"/>
      <c r="K42" s="102"/>
      <c r="L42" s="102"/>
    </row>
    <row r="43" spans="1:12" ht="19.5" customHeight="1" x14ac:dyDescent="0.25">
      <c r="A43" s="86"/>
      <c r="B43" s="89"/>
      <c r="C43" s="101"/>
      <c r="D43" s="101"/>
      <c r="E43" s="101"/>
      <c r="F43" s="101"/>
      <c r="G43" s="73"/>
      <c r="H43" s="83"/>
      <c r="I43" s="102"/>
      <c r="J43" s="102"/>
      <c r="K43" s="102"/>
      <c r="L43" s="102"/>
    </row>
    <row r="44" spans="1:12" ht="19.5" customHeight="1" x14ac:dyDescent="0.25">
      <c r="A44" s="86"/>
      <c r="B44" s="89"/>
      <c r="C44" s="101"/>
      <c r="D44" s="101"/>
      <c r="E44" s="101"/>
      <c r="F44" s="101"/>
      <c r="G44" s="71"/>
      <c r="H44" s="71"/>
      <c r="I44" s="102"/>
      <c r="J44" s="102"/>
      <c r="K44" s="102"/>
      <c r="L44" s="102"/>
    </row>
    <row r="45" spans="1:12" ht="19.5" customHeight="1" x14ac:dyDescent="0.25">
      <c r="A45" s="86"/>
      <c r="B45" s="89"/>
      <c r="C45" s="101"/>
      <c r="D45" s="101"/>
      <c r="E45" s="101"/>
      <c r="F45" s="101"/>
      <c r="G45" s="71"/>
      <c r="H45" s="88"/>
      <c r="I45" s="102"/>
      <c r="J45" s="102"/>
      <c r="K45" s="102"/>
      <c r="L45" s="102"/>
    </row>
    <row r="46" spans="1:12" ht="19.5" customHeight="1" x14ac:dyDescent="0.25">
      <c r="A46" s="86"/>
      <c r="B46" s="89"/>
      <c r="C46" s="101"/>
      <c r="D46" s="101"/>
      <c r="E46" s="101"/>
      <c r="F46" s="101"/>
      <c r="G46" s="71"/>
      <c r="H46" s="71"/>
      <c r="I46" s="102"/>
      <c r="J46" s="102"/>
      <c r="K46" s="102"/>
      <c r="L46" s="102"/>
    </row>
    <row r="47" spans="1:12" ht="19.5" customHeight="1" x14ac:dyDescent="0.25">
      <c r="A47" s="86"/>
      <c r="B47" s="89"/>
      <c r="C47" s="101"/>
      <c r="D47" s="101"/>
      <c r="E47" s="101"/>
      <c r="F47" s="101"/>
      <c r="G47" s="71"/>
      <c r="H47" s="71"/>
      <c r="I47" s="102"/>
      <c r="J47" s="102"/>
      <c r="K47" s="102"/>
      <c r="L47" s="102"/>
    </row>
    <row r="48" spans="1:12" ht="19.5" customHeight="1" x14ac:dyDescent="0.25">
      <c r="A48" s="86"/>
      <c r="B48" s="89"/>
      <c r="C48" s="101"/>
      <c r="D48" s="101"/>
      <c r="E48" s="101"/>
      <c r="F48" s="101"/>
      <c r="G48" s="71"/>
      <c r="H48" s="71"/>
      <c r="I48" s="102"/>
      <c r="J48" s="102"/>
      <c r="K48" s="102"/>
      <c r="L48" s="102"/>
    </row>
    <row r="49" spans="1:12" ht="19.5" customHeight="1" x14ac:dyDescent="0.25">
      <c r="A49" s="86"/>
      <c r="B49" s="89"/>
      <c r="C49" s="101"/>
      <c r="D49" s="101"/>
      <c r="E49" s="101"/>
      <c r="F49" s="101"/>
      <c r="G49" s="71"/>
      <c r="H49" s="71"/>
      <c r="I49" s="102"/>
      <c r="J49" s="102"/>
      <c r="K49" s="102"/>
      <c r="L49" s="102"/>
    </row>
    <row r="50" spans="1:12" ht="19.5" customHeight="1" x14ac:dyDescent="0.25">
      <c r="A50" s="86"/>
      <c r="B50" s="87"/>
      <c r="C50" s="101"/>
      <c r="D50" s="101"/>
      <c r="E50" s="101"/>
      <c r="F50" s="101"/>
      <c r="G50" s="73"/>
      <c r="H50" s="83"/>
      <c r="I50" s="102"/>
      <c r="J50" s="102"/>
      <c r="K50" s="102"/>
      <c r="L50" s="102"/>
    </row>
    <row r="51" spans="1:12" ht="21.75" customHeight="1" x14ac:dyDescent="0.25">
      <c r="A51" s="86"/>
      <c r="B51" s="89"/>
      <c r="C51" s="101"/>
      <c r="D51" s="101"/>
      <c r="E51" s="101"/>
      <c r="F51" s="101"/>
      <c r="G51" s="71"/>
      <c r="H51" s="71"/>
      <c r="I51" s="108"/>
      <c r="J51" s="108"/>
      <c r="K51" s="108"/>
      <c r="L51" s="108"/>
    </row>
    <row r="52" spans="1:12" ht="21.75" customHeight="1" x14ac:dyDescent="0.25">
      <c r="A52" s="86"/>
      <c r="B52" s="84"/>
      <c r="C52" s="101"/>
      <c r="D52" s="101"/>
      <c r="E52" s="101"/>
      <c r="F52" s="101"/>
      <c r="G52" s="71"/>
      <c r="H52" s="71"/>
      <c r="I52" s="102"/>
      <c r="J52" s="102"/>
      <c r="K52" s="102"/>
      <c r="L52" s="102"/>
    </row>
    <row r="53" spans="1:12" ht="19.5" customHeight="1" x14ac:dyDescent="0.25">
      <c r="A53" s="86"/>
      <c r="B53" s="89"/>
      <c r="C53" s="101"/>
      <c r="D53" s="101"/>
      <c r="E53" s="101"/>
      <c r="F53" s="101"/>
      <c r="G53" s="71"/>
      <c r="H53" s="71"/>
      <c r="I53" s="102"/>
      <c r="J53" s="102"/>
      <c r="K53" s="102"/>
      <c r="L53" s="102"/>
    </row>
    <row r="54" spans="1:12" ht="19.5" customHeight="1" x14ac:dyDescent="0.25">
      <c r="A54" s="86"/>
      <c r="B54" s="89"/>
      <c r="C54" s="101"/>
      <c r="D54" s="101"/>
      <c r="E54" s="101"/>
      <c r="F54" s="101"/>
      <c r="G54" s="71"/>
      <c r="H54" s="71"/>
      <c r="I54" s="102"/>
      <c r="J54" s="102"/>
      <c r="K54" s="102"/>
      <c r="L54" s="102"/>
    </row>
    <row r="55" spans="1:12" ht="19.5" customHeight="1" x14ac:dyDescent="0.25">
      <c r="A55" s="86"/>
      <c r="B55" s="89"/>
      <c r="C55" s="101"/>
      <c r="D55" s="101"/>
      <c r="E55" s="101"/>
      <c r="F55" s="101"/>
      <c r="G55" s="71"/>
      <c r="H55" s="71"/>
      <c r="I55" s="102"/>
      <c r="J55" s="102"/>
      <c r="K55" s="102"/>
      <c r="L55" s="102"/>
    </row>
    <row r="56" spans="1:12" ht="20.25" customHeight="1" x14ac:dyDescent="0.25">
      <c r="A56" s="86"/>
      <c r="B56" s="89"/>
      <c r="C56" s="101"/>
      <c r="D56" s="101"/>
      <c r="E56" s="101"/>
      <c r="F56" s="101"/>
      <c r="G56" s="71"/>
      <c r="H56" s="71"/>
      <c r="I56" s="102"/>
      <c r="J56" s="102"/>
      <c r="K56" s="102"/>
      <c r="L56" s="102"/>
    </row>
    <row r="57" spans="1:12" ht="20.25" customHeight="1" x14ac:dyDescent="0.25">
      <c r="A57" s="418"/>
      <c r="B57" s="418" t="s">
        <v>192</v>
      </c>
      <c r="C57" s="418">
        <f>C58+C64+C70</f>
        <v>0</v>
      </c>
      <c r="D57" s="418">
        <f t="shared" ref="D57:F57" si="22">D58+D64+D70</f>
        <v>0</v>
      </c>
      <c r="E57" s="418">
        <f t="shared" ref="E57" si="23">E58+E64+E70</f>
        <v>0</v>
      </c>
      <c r="F57" s="418">
        <f t="shared" si="22"/>
        <v>0</v>
      </c>
      <c r="G57" s="418"/>
      <c r="H57" s="419" t="s">
        <v>200</v>
      </c>
      <c r="I57" s="420">
        <f>I58+I66+I71</f>
        <v>370.5</v>
      </c>
      <c r="J57" s="420">
        <f t="shared" ref="J57:L57" si="24">J58+J66+J71</f>
        <v>0</v>
      </c>
      <c r="K57" s="420">
        <f t="shared" ref="K57" si="25">K58+K66+K71</f>
        <v>0</v>
      </c>
      <c r="L57" s="420">
        <f t="shared" si="24"/>
        <v>370.5</v>
      </c>
    </row>
    <row r="58" spans="1:12" ht="20.25" customHeight="1" x14ac:dyDescent="0.25">
      <c r="A58" s="424" t="s">
        <v>100</v>
      </c>
      <c r="B58" s="422" t="s">
        <v>260</v>
      </c>
      <c r="C58" s="423">
        <f>SUM(C59:C63)</f>
        <v>0</v>
      </c>
      <c r="D58" s="423">
        <f t="shared" ref="D58:F58" si="26">SUM(D59:D63)</f>
        <v>0</v>
      </c>
      <c r="E58" s="423">
        <f t="shared" ref="E58" si="27">SUM(E59:E63)</f>
        <v>0</v>
      </c>
      <c r="F58" s="423">
        <f t="shared" si="26"/>
        <v>0</v>
      </c>
      <c r="G58" s="421" t="s">
        <v>181</v>
      </c>
      <c r="H58" s="414" t="s">
        <v>217</v>
      </c>
      <c r="I58" s="415">
        <f>SUM(I59:I65)</f>
        <v>370.5</v>
      </c>
      <c r="J58" s="415">
        <f t="shared" ref="J58:L58" si="28">SUM(J59:J65)</f>
        <v>0</v>
      </c>
      <c r="K58" s="415">
        <f t="shared" ref="K58" si="29">SUM(K59:K65)</f>
        <v>0</v>
      </c>
      <c r="L58" s="415">
        <f t="shared" si="28"/>
        <v>370.5</v>
      </c>
    </row>
    <row r="59" spans="1:12" ht="20.25" customHeight="1" x14ac:dyDescent="0.25">
      <c r="A59" s="86"/>
      <c r="B59" s="84" t="s">
        <v>261</v>
      </c>
      <c r="C59" s="103"/>
      <c r="D59" s="103"/>
      <c r="E59" s="103"/>
      <c r="F59" s="103"/>
      <c r="G59" s="86"/>
      <c r="H59" s="92" t="s">
        <v>218</v>
      </c>
      <c r="I59" s="97"/>
      <c r="J59" s="97"/>
      <c r="K59" s="97"/>
      <c r="L59" s="97"/>
    </row>
    <row r="60" spans="1:12" ht="29.25" customHeight="1" x14ac:dyDescent="0.25">
      <c r="A60" s="86"/>
      <c r="B60" s="84" t="s">
        <v>262</v>
      </c>
      <c r="C60" s="103"/>
      <c r="D60" s="103"/>
      <c r="E60" s="103"/>
      <c r="F60" s="103"/>
      <c r="G60" s="86"/>
      <c r="H60" s="92" t="s">
        <v>219</v>
      </c>
      <c r="I60" s="97"/>
      <c r="J60" s="97"/>
      <c r="K60" s="97"/>
      <c r="L60" s="97"/>
    </row>
    <row r="61" spans="1:12" ht="29.25" customHeight="1" x14ac:dyDescent="0.25">
      <c r="A61" s="86"/>
      <c r="B61" s="84" t="s">
        <v>263</v>
      </c>
      <c r="C61" s="103"/>
      <c r="D61" s="103"/>
      <c r="E61" s="103"/>
      <c r="F61" s="103"/>
      <c r="G61" s="71"/>
      <c r="H61" s="71" t="s">
        <v>220</v>
      </c>
      <c r="I61" s="100">
        <f>'4.a műv.ház részletes'!I85</f>
        <v>150</v>
      </c>
      <c r="J61" s="100">
        <f>'4.a műv.ház részletes'!J85</f>
        <v>0</v>
      </c>
      <c r="K61" s="100">
        <f>'4.a műv.ház részletes'!K85</f>
        <v>0</v>
      </c>
      <c r="L61" s="100">
        <f>'4.a műv.ház részletes'!L85</f>
        <v>150</v>
      </c>
    </row>
    <row r="62" spans="1:12" ht="29.25" customHeight="1" x14ac:dyDescent="0.25">
      <c r="A62" s="86"/>
      <c r="B62" s="84" t="s">
        <v>264</v>
      </c>
      <c r="C62" s="103"/>
      <c r="D62" s="103"/>
      <c r="E62" s="103"/>
      <c r="F62" s="103"/>
      <c r="G62" s="71"/>
      <c r="H62" s="71" t="s">
        <v>221</v>
      </c>
      <c r="I62" s="100">
        <f>'4.a műv.ház részletes'!I86</f>
        <v>141.73228346456693</v>
      </c>
      <c r="J62" s="100">
        <f>'4.a műv.ház részletes'!J86</f>
        <v>0</v>
      </c>
      <c r="K62" s="100">
        <f>'4.a műv.ház részletes'!K86</f>
        <v>0</v>
      </c>
      <c r="L62" s="100">
        <f>'4.a műv.ház részletes'!L86</f>
        <v>141.73228346456693</v>
      </c>
    </row>
    <row r="63" spans="1:12" ht="21" customHeight="1" x14ac:dyDescent="0.25">
      <c r="A63" s="86"/>
      <c r="B63" s="84" t="s">
        <v>265</v>
      </c>
      <c r="C63" s="103"/>
      <c r="D63" s="103"/>
      <c r="E63" s="103"/>
      <c r="F63" s="103"/>
      <c r="G63" s="71"/>
      <c r="H63" s="71" t="s">
        <v>222</v>
      </c>
      <c r="I63" s="100"/>
      <c r="J63" s="100"/>
      <c r="K63" s="100"/>
      <c r="L63" s="100"/>
    </row>
    <row r="64" spans="1:12" ht="20.25" customHeight="1" x14ac:dyDescent="0.25">
      <c r="A64" s="424" t="s">
        <v>181</v>
      </c>
      <c r="B64" s="414" t="s">
        <v>284</v>
      </c>
      <c r="C64" s="423">
        <f>SUM(C65:C69)</f>
        <v>0</v>
      </c>
      <c r="D64" s="423">
        <f t="shared" ref="D64:F64" si="30">SUM(D65:D69)</f>
        <v>0</v>
      </c>
      <c r="E64" s="423">
        <f t="shared" ref="E64" si="31">SUM(E65:E69)</f>
        <v>0</v>
      </c>
      <c r="F64" s="423">
        <f t="shared" si="30"/>
        <v>0</v>
      </c>
      <c r="G64" s="71"/>
      <c r="H64" s="71" t="s">
        <v>223</v>
      </c>
      <c r="I64" s="100"/>
      <c r="J64" s="100"/>
      <c r="K64" s="100"/>
      <c r="L64" s="100"/>
    </row>
    <row r="65" spans="1:12" ht="20.25" customHeight="1" x14ac:dyDescent="0.25">
      <c r="A65" s="86"/>
      <c r="B65" s="89" t="s">
        <v>285</v>
      </c>
      <c r="C65" s="103"/>
      <c r="D65" s="103"/>
      <c r="E65" s="103"/>
      <c r="F65" s="103"/>
      <c r="G65" s="71"/>
      <c r="H65" s="71" t="s">
        <v>224</v>
      </c>
      <c r="I65" s="100">
        <f>'4.a műv.ház részletes'!I89</f>
        <v>78.767716535433081</v>
      </c>
      <c r="J65" s="100">
        <f>'4.a műv.ház részletes'!J89</f>
        <v>0</v>
      </c>
      <c r="K65" s="100">
        <f>'4.a műv.ház részletes'!K89</f>
        <v>0</v>
      </c>
      <c r="L65" s="100">
        <f>'4.a műv.ház részletes'!L89</f>
        <v>78.767716535433081</v>
      </c>
    </row>
    <row r="66" spans="1:12" ht="20.25" customHeight="1" x14ac:dyDescent="0.25">
      <c r="A66" s="86"/>
      <c r="B66" s="89" t="s">
        <v>286</v>
      </c>
      <c r="C66" s="103"/>
      <c r="D66" s="103"/>
      <c r="E66" s="103"/>
      <c r="F66" s="103"/>
      <c r="G66" s="416" t="s">
        <v>191</v>
      </c>
      <c r="H66" s="416" t="s">
        <v>225</v>
      </c>
      <c r="I66" s="417">
        <f>SUM(I67:I70)</f>
        <v>0</v>
      </c>
      <c r="J66" s="417">
        <f t="shared" ref="J66:L66" si="32">SUM(J67:J70)</f>
        <v>0</v>
      </c>
      <c r="K66" s="417">
        <f t="shared" ref="K66" si="33">SUM(K67:K70)</f>
        <v>0</v>
      </c>
      <c r="L66" s="417">
        <f t="shared" si="32"/>
        <v>0</v>
      </c>
    </row>
    <row r="67" spans="1:12" ht="20.25" customHeight="1" x14ac:dyDescent="0.25">
      <c r="A67" s="86"/>
      <c r="B67" s="89" t="s">
        <v>287</v>
      </c>
      <c r="C67" s="103"/>
      <c r="D67" s="103"/>
      <c r="E67" s="103"/>
      <c r="F67" s="103"/>
      <c r="G67" s="71"/>
      <c r="H67" s="71" t="s">
        <v>226</v>
      </c>
      <c r="I67" s="100"/>
      <c r="J67" s="100"/>
      <c r="K67" s="100"/>
      <c r="L67" s="100"/>
    </row>
    <row r="68" spans="1:12" ht="20.25" customHeight="1" x14ac:dyDescent="0.25">
      <c r="A68" s="86"/>
      <c r="B68" s="89" t="s">
        <v>288</v>
      </c>
      <c r="C68" s="103"/>
      <c r="D68" s="103"/>
      <c r="E68" s="103"/>
      <c r="F68" s="103"/>
      <c r="G68" s="71"/>
      <c r="H68" s="71" t="s">
        <v>227</v>
      </c>
      <c r="I68" s="100"/>
      <c r="J68" s="100"/>
      <c r="K68" s="100"/>
      <c r="L68" s="100"/>
    </row>
    <row r="69" spans="1:12" ht="20.25" customHeight="1" x14ac:dyDescent="0.25">
      <c r="A69" s="86"/>
      <c r="B69" s="89" t="s">
        <v>289</v>
      </c>
      <c r="C69" s="103"/>
      <c r="D69" s="103"/>
      <c r="E69" s="103"/>
      <c r="F69" s="103"/>
      <c r="G69" s="71"/>
      <c r="H69" s="71" t="s">
        <v>228</v>
      </c>
      <c r="I69" s="100"/>
      <c r="J69" s="100"/>
      <c r="K69" s="100"/>
      <c r="L69" s="100"/>
    </row>
    <row r="70" spans="1:12" ht="20.25" customHeight="1" x14ac:dyDescent="0.25">
      <c r="A70" s="424" t="s">
        <v>191</v>
      </c>
      <c r="B70" s="425" t="s">
        <v>294</v>
      </c>
      <c r="C70" s="423">
        <f>C71+C72+C73</f>
        <v>0</v>
      </c>
      <c r="D70" s="423">
        <f t="shared" ref="D70:F70" si="34">D71+D72+D73</f>
        <v>0</v>
      </c>
      <c r="E70" s="423">
        <f t="shared" ref="E70" si="35">E71+E72+E73</f>
        <v>0</v>
      </c>
      <c r="F70" s="423">
        <f t="shared" si="34"/>
        <v>0</v>
      </c>
      <c r="G70" s="71"/>
      <c r="H70" s="71" t="s">
        <v>229</v>
      </c>
      <c r="I70" s="100"/>
      <c r="J70" s="100"/>
      <c r="K70" s="100"/>
      <c r="L70" s="100"/>
    </row>
    <row r="71" spans="1:12" ht="25.5" customHeight="1" x14ac:dyDescent="0.25">
      <c r="A71" s="86"/>
      <c r="B71" s="89" t="s">
        <v>295</v>
      </c>
      <c r="C71" s="103"/>
      <c r="D71" s="103"/>
      <c r="E71" s="103"/>
      <c r="F71" s="103"/>
      <c r="G71" s="416" t="s">
        <v>199</v>
      </c>
      <c r="H71" s="416" t="s">
        <v>230</v>
      </c>
      <c r="I71" s="417"/>
      <c r="J71" s="417"/>
      <c r="K71" s="417"/>
      <c r="L71" s="417"/>
    </row>
    <row r="72" spans="1:12" ht="29.25" customHeight="1" x14ac:dyDescent="0.25">
      <c r="A72" s="86"/>
      <c r="B72" s="84" t="s">
        <v>296</v>
      </c>
      <c r="C72" s="103"/>
      <c r="D72" s="103"/>
      <c r="E72" s="103"/>
      <c r="F72" s="103"/>
      <c r="G72" s="71"/>
      <c r="H72" s="71"/>
      <c r="I72" s="100"/>
      <c r="J72" s="100"/>
      <c r="K72" s="100"/>
      <c r="L72" s="100"/>
    </row>
    <row r="73" spans="1:12" ht="21" customHeight="1" x14ac:dyDescent="0.25">
      <c r="A73" s="86"/>
      <c r="B73" s="89" t="s">
        <v>297</v>
      </c>
      <c r="C73" s="103"/>
      <c r="D73" s="103"/>
      <c r="E73" s="103"/>
      <c r="F73" s="103"/>
      <c r="G73" s="71"/>
      <c r="H73" s="71"/>
      <c r="I73" s="100"/>
      <c r="J73" s="100"/>
      <c r="K73" s="100"/>
      <c r="L73" s="100"/>
    </row>
    <row r="74" spans="1:12" ht="20.25" customHeight="1" x14ac:dyDescent="0.25">
      <c r="A74" s="419"/>
      <c r="B74" s="419" t="s">
        <v>298</v>
      </c>
      <c r="C74" s="419">
        <f>C84+C95</f>
        <v>16761</v>
      </c>
      <c r="D74" s="419">
        <f t="shared" ref="D74:F74" si="36">D84+D95</f>
        <v>0</v>
      </c>
      <c r="E74" s="419">
        <f t="shared" ref="E74" si="37">E84+E95</f>
        <v>0</v>
      </c>
      <c r="F74" s="419">
        <f t="shared" si="36"/>
        <v>16761</v>
      </c>
      <c r="G74" s="418"/>
      <c r="H74" s="419" t="s">
        <v>299</v>
      </c>
      <c r="I74" s="420">
        <f>I83+I94</f>
        <v>0</v>
      </c>
      <c r="J74" s="420">
        <f t="shared" ref="J74:L74" si="38">J83+J94</f>
        <v>0</v>
      </c>
      <c r="K74" s="420">
        <f t="shared" ref="K74" si="39">K83+K94</f>
        <v>0</v>
      </c>
      <c r="L74" s="420">
        <f t="shared" si="38"/>
        <v>0</v>
      </c>
    </row>
    <row r="75" spans="1:12" ht="21" customHeight="1" x14ac:dyDescent="0.25">
      <c r="A75" s="75"/>
      <c r="B75" s="94" t="s">
        <v>300</v>
      </c>
      <c r="C75" s="103"/>
      <c r="D75" s="103"/>
      <c r="E75" s="103"/>
      <c r="F75" s="103"/>
      <c r="G75" s="75"/>
      <c r="H75" s="94" t="s">
        <v>231</v>
      </c>
      <c r="I75" s="103"/>
      <c r="J75" s="103"/>
      <c r="K75" s="103"/>
      <c r="L75" s="103"/>
    </row>
    <row r="76" spans="1:12" ht="20.25" customHeight="1" x14ac:dyDescent="0.25">
      <c r="A76" s="75"/>
      <c r="B76" s="94" t="s">
        <v>301</v>
      </c>
      <c r="C76" s="103"/>
      <c r="D76" s="103"/>
      <c r="E76" s="103"/>
      <c r="F76" s="103"/>
      <c r="G76" s="75"/>
      <c r="H76" s="94" t="s">
        <v>232</v>
      </c>
      <c r="I76" s="103"/>
      <c r="J76" s="103"/>
      <c r="K76" s="103"/>
      <c r="L76" s="103"/>
    </row>
    <row r="77" spans="1:12" ht="20.25" customHeight="1" x14ac:dyDescent="0.25">
      <c r="A77" s="75"/>
      <c r="B77" s="94" t="s">
        <v>302</v>
      </c>
      <c r="C77" s="103"/>
      <c r="D77" s="103"/>
      <c r="E77" s="103"/>
      <c r="F77" s="103"/>
      <c r="G77" s="75"/>
      <c r="H77" s="94" t="s">
        <v>233</v>
      </c>
      <c r="I77" s="103"/>
      <c r="J77" s="103"/>
      <c r="K77" s="103"/>
      <c r="L77" s="103"/>
    </row>
    <row r="78" spans="1:12" ht="20.25" customHeight="1" x14ac:dyDescent="0.25">
      <c r="A78" s="75"/>
      <c r="B78" s="95" t="s">
        <v>303</v>
      </c>
      <c r="C78" s="103">
        <f>C75+C76+C77</f>
        <v>0</v>
      </c>
      <c r="D78" s="103">
        <f t="shared" ref="D78:F78" si="40">D75+D76+D77</f>
        <v>0</v>
      </c>
      <c r="E78" s="103">
        <f t="shared" ref="E78" si="41">E75+E76+E77</f>
        <v>0</v>
      </c>
      <c r="F78" s="103">
        <f t="shared" si="40"/>
        <v>0</v>
      </c>
      <c r="G78" s="75"/>
      <c r="H78" s="95" t="s">
        <v>243</v>
      </c>
      <c r="I78" s="103">
        <f>I75+I76+I77</f>
        <v>0</v>
      </c>
      <c r="J78" s="103">
        <f t="shared" ref="J78:L78" si="42">J75+J76+J77</f>
        <v>0</v>
      </c>
      <c r="K78" s="103">
        <f t="shared" ref="K78" si="43">K75+K76+K77</f>
        <v>0</v>
      </c>
      <c r="L78" s="103">
        <f t="shared" si="42"/>
        <v>0</v>
      </c>
    </row>
    <row r="79" spans="1:12" ht="20.25" customHeight="1" x14ac:dyDescent="0.25">
      <c r="A79" s="75"/>
      <c r="B79" s="69" t="s">
        <v>304</v>
      </c>
      <c r="C79" s="103"/>
      <c r="D79" s="103"/>
      <c r="E79" s="103"/>
      <c r="F79" s="103"/>
      <c r="G79" s="75"/>
      <c r="H79" s="94" t="s">
        <v>235</v>
      </c>
      <c r="I79" s="103"/>
      <c r="J79" s="103"/>
      <c r="K79" s="103"/>
      <c r="L79" s="103"/>
    </row>
    <row r="80" spans="1:12" ht="20.25" customHeight="1" x14ac:dyDescent="0.25">
      <c r="A80" s="75"/>
      <c r="B80" s="69" t="s">
        <v>305</v>
      </c>
      <c r="C80" s="103"/>
      <c r="D80" s="103"/>
      <c r="E80" s="103"/>
      <c r="F80" s="103"/>
      <c r="G80" s="75"/>
      <c r="H80" s="94" t="s">
        <v>234</v>
      </c>
      <c r="I80" s="103"/>
      <c r="J80" s="103"/>
      <c r="K80" s="103"/>
      <c r="L80" s="103"/>
    </row>
    <row r="81" spans="1:12" ht="20.25" customHeight="1" x14ac:dyDescent="0.25">
      <c r="A81" s="75"/>
      <c r="B81" s="70" t="s">
        <v>306</v>
      </c>
      <c r="C81" s="103">
        <f>C79+C80</f>
        <v>0</v>
      </c>
      <c r="D81" s="103">
        <f t="shared" ref="D81:F81" si="44">D79+D80</f>
        <v>0</v>
      </c>
      <c r="E81" s="103">
        <f t="shared" ref="E81" si="45">E79+E80</f>
        <v>0</v>
      </c>
      <c r="F81" s="103">
        <f t="shared" si="44"/>
        <v>0</v>
      </c>
      <c r="G81" s="75"/>
      <c r="H81" s="95" t="s">
        <v>244</v>
      </c>
      <c r="I81" s="103">
        <f>I79+I80</f>
        <v>0</v>
      </c>
      <c r="J81" s="103">
        <f t="shared" ref="J81:L81" si="46">J79+J80</f>
        <v>0</v>
      </c>
      <c r="K81" s="103">
        <f t="shared" ref="K81" si="47">K79+K80</f>
        <v>0</v>
      </c>
      <c r="L81" s="103">
        <f t="shared" si="46"/>
        <v>0</v>
      </c>
    </row>
    <row r="82" spans="1:12" ht="20.25" customHeight="1" x14ac:dyDescent="0.25">
      <c r="A82" s="75"/>
      <c r="B82" s="70" t="s">
        <v>307</v>
      </c>
      <c r="C82" s="103">
        <f>'4.a műv.ház részletes'!C106</f>
        <v>8</v>
      </c>
      <c r="D82" s="103">
        <f>'4.a műv.ház részletes'!D106</f>
        <v>0</v>
      </c>
      <c r="E82" s="103">
        <f>'4.a műv.ház részletes'!E106</f>
        <v>270</v>
      </c>
      <c r="F82" s="103">
        <f>'4.a műv.ház részletes'!F106</f>
        <v>278</v>
      </c>
      <c r="G82" s="75"/>
      <c r="H82" s="95" t="s">
        <v>236</v>
      </c>
      <c r="I82" s="103"/>
      <c r="J82" s="103"/>
      <c r="K82" s="103"/>
      <c r="L82" s="103"/>
    </row>
    <row r="83" spans="1:12" ht="20.25" customHeight="1" x14ac:dyDescent="0.25">
      <c r="A83" s="75"/>
      <c r="B83" s="70" t="s">
        <v>308</v>
      </c>
      <c r="C83" s="103">
        <f>'4.a műv.ház részletes'!C107</f>
        <v>16382</v>
      </c>
      <c r="D83" s="103">
        <f>'4.a műv.ház részletes'!D107</f>
        <v>0</v>
      </c>
      <c r="E83" s="103">
        <f>'4.a műv.ház részletes'!E107</f>
        <v>-270</v>
      </c>
      <c r="F83" s="103">
        <f>'4.a műv.ház részletes'!F107</f>
        <v>16112</v>
      </c>
      <c r="G83" s="75"/>
      <c r="H83" s="75" t="s">
        <v>245</v>
      </c>
      <c r="I83" s="113">
        <f>I78+I81+I82</f>
        <v>0</v>
      </c>
      <c r="J83" s="113">
        <f t="shared" ref="J83:L83" si="48">J78+J81+J82</f>
        <v>0</v>
      </c>
      <c r="K83" s="113">
        <f t="shared" ref="K83" si="49">K78+K81+K82</f>
        <v>0</v>
      </c>
      <c r="L83" s="113">
        <f t="shared" si="48"/>
        <v>0</v>
      </c>
    </row>
    <row r="84" spans="1:12" ht="20.25" customHeight="1" x14ac:dyDescent="0.25">
      <c r="A84" s="421"/>
      <c r="B84" s="421" t="s">
        <v>309</v>
      </c>
      <c r="C84" s="423">
        <f>C78+C81+C82+C83</f>
        <v>16390</v>
      </c>
      <c r="D84" s="423">
        <f t="shared" ref="D84:F84" si="50">D78+D81+D82+D83</f>
        <v>0</v>
      </c>
      <c r="E84" s="423">
        <f t="shared" ref="E84" si="51">E78+E81+E82+E83</f>
        <v>0</v>
      </c>
      <c r="F84" s="423">
        <f t="shared" si="50"/>
        <v>16390</v>
      </c>
      <c r="G84" s="75"/>
      <c r="H84" s="95"/>
      <c r="I84" s="103"/>
      <c r="J84" s="103"/>
      <c r="K84" s="103"/>
      <c r="L84" s="103"/>
    </row>
    <row r="85" spans="1:12" ht="20.25" customHeight="1" x14ac:dyDescent="0.25">
      <c r="A85" s="90"/>
      <c r="B85" s="79"/>
      <c r="C85" s="104"/>
      <c r="D85" s="104"/>
      <c r="E85" s="104"/>
      <c r="F85" s="104"/>
      <c r="G85" s="90"/>
      <c r="H85" s="90"/>
      <c r="I85" s="104"/>
      <c r="J85" s="104"/>
      <c r="K85" s="104"/>
      <c r="L85" s="104"/>
    </row>
    <row r="86" spans="1:12" ht="20.25" customHeight="1" x14ac:dyDescent="0.25">
      <c r="A86" s="75"/>
      <c r="B86" s="94" t="s">
        <v>300</v>
      </c>
      <c r="C86" s="103"/>
      <c r="D86" s="103"/>
      <c r="E86" s="103"/>
      <c r="F86" s="103"/>
      <c r="G86" s="75"/>
      <c r="H86" s="94" t="s">
        <v>231</v>
      </c>
      <c r="I86" s="103"/>
      <c r="J86" s="103"/>
      <c r="K86" s="103"/>
      <c r="L86" s="103"/>
    </row>
    <row r="87" spans="1:12" ht="20.25" customHeight="1" x14ac:dyDescent="0.25">
      <c r="A87" s="75"/>
      <c r="B87" s="94" t="s">
        <v>301</v>
      </c>
      <c r="C87" s="103"/>
      <c r="D87" s="103"/>
      <c r="E87" s="103"/>
      <c r="F87" s="103"/>
      <c r="G87" s="75"/>
      <c r="H87" s="94" t="s">
        <v>232</v>
      </c>
      <c r="I87" s="103"/>
      <c r="J87" s="103"/>
      <c r="K87" s="103"/>
      <c r="L87" s="103"/>
    </row>
    <row r="88" spans="1:12" ht="20.25" customHeight="1" x14ac:dyDescent="0.25">
      <c r="A88" s="75"/>
      <c r="B88" s="94" t="s">
        <v>302</v>
      </c>
      <c r="C88" s="103"/>
      <c r="D88" s="103"/>
      <c r="E88" s="103"/>
      <c r="F88" s="103"/>
      <c r="G88" s="75"/>
      <c r="H88" s="94" t="s">
        <v>233</v>
      </c>
      <c r="I88" s="103"/>
      <c r="J88" s="103"/>
      <c r="K88" s="103"/>
      <c r="L88" s="103"/>
    </row>
    <row r="89" spans="1:12" ht="20.25" customHeight="1" x14ac:dyDescent="0.25">
      <c r="A89" s="75"/>
      <c r="B89" s="95" t="s">
        <v>303</v>
      </c>
      <c r="C89" s="103">
        <f>C86+C87+C88</f>
        <v>0</v>
      </c>
      <c r="D89" s="103">
        <f t="shared" ref="D89:F89" si="52">D86+D87+D88</f>
        <v>0</v>
      </c>
      <c r="E89" s="103">
        <f t="shared" ref="E89" si="53">E86+E87+E88</f>
        <v>0</v>
      </c>
      <c r="F89" s="103">
        <f t="shared" si="52"/>
        <v>0</v>
      </c>
      <c r="G89" s="75"/>
      <c r="H89" s="95" t="s">
        <v>243</v>
      </c>
      <c r="I89" s="103">
        <f>I86+I87+I88</f>
        <v>0</v>
      </c>
      <c r="J89" s="103">
        <f t="shared" ref="J89:L89" si="54">J86+J87+J88</f>
        <v>0</v>
      </c>
      <c r="K89" s="103">
        <f t="shared" ref="K89" si="55">K86+K87+K88</f>
        <v>0</v>
      </c>
      <c r="L89" s="103">
        <f t="shared" si="54"/>
        <v>0</v>
      </c>
    </row>
    <row r="90" spans="1:12" ht="20.25" customHeight="1" x14ac:dyDescent="0.25">
      <c r="A90" s="75"/>
      <c r="B90" s="69" t="s">
        <v>304</v>
      </c>
      <c r="C90" s="103"/>
      <c r="D90" s="103"/>
      <c r="E90" s="103"/>
      <c r="F90" s="103"/>
      <c r="G90" s="75"/>
      <c r="H90" s="94" t="s">
        <v>235</v>
      </c>
      <c r="I90" s="103"/>
      <c r="J90" s="103"/>
      <c r="K90" s="103"/>
      <c r="L90" s="103"/>
    </row>
    <row r="91" spans="1:12" ht="20.25" customHeight="1" x14ac:dyDescent="0.25">
      <c r="A91" s="75"/>
      <c r="B91" s="69" t="s">
        <v>305</v>
      </c>
      <c r="C91" s="103"/>
      <c r="D91" s="103"/>
      <c r="E91" s="103"/>
      <c r="F91" s="103"/>
      <c r="G91" s="75"/>
      <c r="H91" s="94" t="s">
        <v>234</v>
      </c>
      <c r="I91" s="103"/>
      <c r="J91" s="103"/>
      <c r="K91" s="103"/>
      <c r="L91" s="103"/>
    </row>
    <row r="92" spans="1:12" ht="20.25" customHeight="1" x14ac:dyDescent="0.25">
      <c r="A92" s="75"/>
      <c r="B92" s="70" t="s">
        <v>306</v>
      </c>
      <c r="C92" s="103">
        <f>C90+C91</f>
        <v>0</v>
      </c>
      <c r="D92" s="103">
        <f t="shared" ref="D92:F92" si="56">D90+D91</f>
        <v>0</v>
      </c>
      <c r="E92" s="103">
        <f t="shared" ref="E92" si="57">E90+E91</f>
        <v>0</v>
      </c>
      <c r="F92" s="103">
        <f t="shared" si="56"/>
        <v>0</v>
      </c>
      <c r="G92" s="75"/>
      <c r="H92" s="95" t="s">
        <v>244</v>
      </c>
      <c r="I92" s="103">
        <f>I90+I91</f>
        <v>0</v>
      </c>
      <c r="J92" s="103">
        <f t="shared" ref="J92:L92" si="58">J90+J91</f>
        <v>0</v>
      </c>
      <c r="K92" s="103">
        <f t="shared" ref="K92" si="59">K90+K91</f>
        <v>0</v>
      </c>
      <c r="L92" s="103">
        <f t="shared" si="58"/>
        <v>0</v>
      </c>
    </row>
    <row r="93" spans="1:12" ht="20.25" customHeight="1" x14ac:dyDescent="0.25">
      <c r="A93" s="75"/>
      <c r="B93" s="70" t="s">
        <v>311</v>
      </c>
      <c r="C93" s="103"/>
      <c r="D93" s="103"/>
      <c r="E93" s="103"/>
      <c r="F93" s="103"/>
      <c r="G93" s="75"/>
      <c r="H93" s="95" t="s">
        <v>236</v>
      </c>
      <c r="I93" s="103"/>
      <c r="J93" s="103"/>
      <c r="K93" s="103"/>
      <c r="L93" s="103"/>
    </row>
    <row r="94" spans="1:12" ht="20.25" customHeight="1" x14ac:dyDescent="0.25">
      <c r="A94" s="75"/>
      <c r="B94" s="70" t="s">
        <v>308</v>
      </c>
      <c r="C94" s="103">
        <f>'4.a műv.ház részletes'!C118</f>
        <v>371</v>
      </c>
      <c r="D94" s="103">
        <f>'4.a műv.ház részletes'!D118</f>
        <v>0</v>
      </c>
      <c r="E94" s="103">
        <f>'4.a műv.ház részletes'!E118</f>
        <v>0</v>
      </c>
      <c r="F94" s="103">
        <f>'4.a műv.ház részletes'!F118</f>
        <v>371</v>
      </c>
      <c r="G94" s="75"/>
      <c r="H94" s="75" t="s">
        <v>246</v>
      </c>
      <c r="I94" s="113">
        <f>I89+I92+I93</f>
        <v>0</v>
      </c>
      <c r="J94" s="113">
        <f t="shared" ref="J94:L94" si="60">J89+J92+J93</f>
        <v>0</v>
      </c>
      <c r="K94" s="113">
        <f t="shared" ref="K94" si="61">K89+K92+K93</f>
        <v>0</v>
      </c>
      <c r="L94" s="113">
        <f t="shared" si="60"/>
        <v>0</v>
      </c>
    </row>
    <row r="95" spans="1:12" ht="20.25" customHeight="1" x14ac:dyDescent="0.25">
      <c r="A95" s="426"/>
      <c r="B95" s="421" t="s">
        <v>310</v>
      </c>
      <c r="C95" s="423">
        <f>C89+C92+C93+C94</f>
        <v>371</v>
      </c>
      <c r="D95" s="423">
        <f t="shared" ref="D95:F95" si="62">D89+D92+D93+D94</f>
        <v>0</v>
      </c>
      <c r="E95" s="423">
        <f t="shared" ref="E95" si="63">E89+E92+E93+E94</f>
        <v>0</v>
      </c>
      <c r="F95" s="423">
        <f t="shared" si="62"/>
        <v>371</v>
      </c>
      <c r="G95" s="110"/>
      <c r="H95" s="95"/>
      <c r="I95" s="103"/>
      <c r="J95" s="103"/>
      <c r="K95" s="103"/>
      <c r="L95" s="103"/>
    </row>
    <row r="96" spans="1:12" ht="20.25" customHeight="1" x14ac:dyDescent="0.25">
      <c r="A96" s="740" t="s">
        <v>143</v>
      </c>
      <c r="B96" s="741"/>
      <c r="C96" s="428">
        <f>C2+C57+C74</f>
        <v>19911</v>
      </c>
      <c r="D96" s="428">
        <f t="shared" ref="D96:F96" si="64">D2+D57+D74</f>
        <v>0</v>
      </c>
      <c r="E96" s="428">
        <f t="shared" ref="E96" si="65">E2+E57+E74</f>
        <v>0</v>
      </c>
      <c r="F96" s="428">
        <f t="shared" si="64"/>
        <v>19911</v>
      </c>
      <c r="G96" s="740" t="s">
        <v>144</v>
      </c>
      <c r="H96" s="741"/>
      <c r="I96" s="428">
        <f>I2+I57+I74</f>
        <v>19910.952487999999</v>
      </c>
      <c r="J96" s="428">
        <f t="shared" ref="J96:L96" si="66">J2+J57+J74</f>
        <v>0</v>
      </c>
      <c r="K96" s="428">
        <f t="shared" ref="K96" si="67">K2+K57+K74</f>
        <v>0</v>
      </c>
      <c r="L96" s="428">
        <f t="shared" si="66"/>
        <v>19910.952487999999</v>
      </c>
    </row>
    <row r="97" spans="9:12" x14ac:dyDescent="0.25">
      <c r="I97" s="117">
        <f>C96-I96</f>
        <v>4.7512000001006527E-2</v>
      </c>
      <c r="J97" s="117">
        <f>D96-J96</f>
        <v>0</v>
      </c>
      <c r="K97" s="117">
        <f t="shared" ref="K97" si="68">F96-K96</f>
        <v>19911</v>
      </c>
      <c r="L97" s="117">
        <f>F96-L96</f>
        <v>4.7512000001006527E-2</v>
      </c>
    </row>
  </sheetData>
  <mergeCells count="2">
    <mergeCell ref="A96:B96"/>
    <mergeCell ref="G96:H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&amp;CTaksony Nagyközség Önkormányzat 2016. évi költségvetés 
2. sz. módosítás&amp;R4.sz. melléklet</oddHeader>
    <oddFooter xml:space="preserve">&amp;LKészült: &amp;D
&amp;R/:Kreisz László://:Dr.Micheller Anita:/       </oddFooter>
  </headerFooter>
  <rowBreaks count="1" manualBreakCount="1">
    <brk id="56" max="9" man="1"/>
  </rowBreaks>
  <colBreaks count="1" manualBreakCount="1">
    <brk id="6" max="9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L128"/>
  <sheetViews>
    <sheetView view="pageBreakPreview" zoomScale="70" zoomScaleNormal="90" zoomScaleSheetLayoutView="70" workbookViewId="0">
      <pane ySplit="1" topLeftCell="A2" activePane="bottomLeft" state="frozen"/>
      <selection activeCell="H131" sqref="H131:H132"/>
      <selection pane="bottomLeft" activeCell="C12" sqref="C12"/>
    </sheetView>
  </sheetViews>
  <sheetFormatPr defaultRowHeight="15" x14ac:dyDescent="0.25"/>
  <cols>
    <col min="1" max="1" width="6.7109375" style="21" customWidth="1"/>
    <col min="2" max="2" width="71.5703125" style="21" customWidth="1"/>
    <col min="3" max="3" width="20.85546875" style="21" customWidth="1"/>
    <col min="4" max="4" width="15.85546875" style="21" customWidth="1"/>
    <col min="5" max="5" width="16.42578125" style="21" customWidth="1"/>
    <col min="6" max="6" width="20.85546875" style="21" customWidth="1"/>
    <col min="7" max="7" width="6.7109375" style="21" customWidth="1"/>
    <col min="8" max="8" width="65.85546875" style="21" customWidth="1"/>
    <col min="9" max="9" width="20.7109375" style="21" customWidth="1"/>
    <col min="10" max="10" width="17.42578125" style="21" customWidth="1"/>
    <col min="11" max="11" width="16.85546875" style="21" customWidth="1"/>
    <col min="12" max="12" width="20.7109375" style="21" customWidth="1"/>
    <col min="13" max="16384" width="9.140625" style="21"/>
  </cols>
  <sheetData>
    <row r="1" spans="1:12" ht="40.5" customHeight="1" x14ac:dyDescent="0.25">
      <c r="A1" s="76"/>
      <c r="B1" s="77" t="s">
        <v>512</v>
      </c>
      <c r="C1" s="76" t="s">
        <v>1101</v>
      </c>
      <c r="D1" s="76" t="s">
        <v>1106</v>
      </c>
      <c r="E1" s="657" t="s">
        <v>1110</v>
      </c>
      <c r="F1" s="76" t="s">
        <v>1102</v>
      </c>
      <c r="G1" s="76"/>
      <c r="H1" s="77" t="s">
        <v>513</v>
      </c>
      <c r="I1" s="76" t="s">
        <v>1101</v>
      </c>
      <c r="J1" s="76" t="s">
        <v>1106</v>
      </c>
      <c r="K1" s="657" t="s">
        <v>1110</v>
      </c>
      <c r="L1" s="76" t="s">
        <v>1102</v>
      </c>
    </row>
    <row r="2" spans="1:12" ht="20.25" customHeight="1" x14ac:dyDescent="0.25">
      <c r="A2" s="689"/>
      <c r="B2" s="690" t="s">
        <v>180</v>
      </c>
      <c r="C2" s="691">
        <f>C3+C22+C24+C58</f>
        <v>3150</v>
      </c>
      <c r="D2" s="691">
        <f t="shared" ref="D2:F2" si="0">D3+D22+D24+D58</f>
        <v>0</v>
      </c>
      <c r="E2" s="691">
        <f t="shared" ref="E2" si="1">E3+E22+E24+E58</f>
        <v>0</v>
      </c>
      <c r="F2" s="691">
        <f t="shared" si="0"/>
        <v>3150</v>
      </c>
      <c r="G2" s="689"/>
      <c r="H2" s="690" t="s">
        <v>196</v>
      </c>
      <c r="I2" s="691">
        <f>I3+I17+I22+I67+I74</f>
        <v>19540.452487999999</v>
      </c>
      <c r="J2" s="691">
        <f t="shared" ref="J2:L2" si="2">J3+J17+J22+J67+J74</f>
        <v>0</v>
      </c>
      <c r="K2" s="691">
        <f t="shared" ref="K2" si="3">K3+K17+K22+K67+K74</f>
        <v>0</v>
      </c>
      <c r="L2" s="691">
        <f t="shared" si="2"/>
        <v>19540.452487999999</v>
      </c>
    </row>
    <row r="3" spans="1:12" ht="20.25" customHeight="1" x14ac:dyDescent="0.25">
      <c r="A3" s="421" t="s">
        <v>23</v>
      </c>
      <c r="B3" s="422" t="s">
        <v>405</v>
      </c>
      <c r="C3" s="423">
        <f>C4+C12+C13+C14+C15+C16</f>
        <v>0</v>
      </c>
      <c r="D3" s="423">
        <f t="shared" ref="D3:F3" si="4">D4+D12+D13+D14+D15+D16</f>
        <v>0</v>
      </c>
      <c r="E3" s="423">
        <f t="shared" ref="E3" si="5">E4+E12+E13+E14+E15+E16</f>
        <v>0</v>
      </c>
      <c r="F3" s="423">
        <f t="shared" si="4"/>
        <v>0</v>
      </c>
      <c r="G3" s="421" t="s">
        <v>23</v>
      </c>
      <c r="H3" s="414" t="s">
        <v>313</v>
      </c>
      <c r="I3" s="415">
        <f>I12+I16</f>
        <v>4331</v>
      </c>
      <c r="J3" s="415">
        <f t="shared" ref="J3:L3" si="6">J12+J16</f>
        <v>130</v>
      </c>
      <c r="K3" s="415">
        <f t="shared" ref="K3" si="7">K12+K16</f>
        <v>130</v>
      </c>
      <c r="L3" s="415">
        <f t="shared" si="6"/>
        <v>4461</v>
      </c>
    </row>
    <row r="4" spans="1:12" ht="20.25" customHeight="1" x14ac:dyDescent="0.25">
      <c r="A4" s="70"/>
      <c r="B4" s="111" t="s">
        <v>446</v>
      </c>
      <c r="C4" s="109">
        <f>SUM(C5:C8)</f>
        <v>0</v>
      </c>
      <c r="D4" s="109">
        <f t="shared" ref="D4:F4" si="8">SUM(D5:D8)</f>
        <v>0</v>
      </c>
      <c r="E4" s="109">
        <f t="shared" ref="E4" si="9">SUM(E5:E8)</f>
        <v>0</v>
      </c>
      <c r="F4" s="109">
        <f t="shared" si="8"/>
        <v>0</v>
      </c>
      <c r="G4" s="80"/>
      <c r="H4" s="69" t="s">
        <v>922</v>
      </c>
      <c r="I4" s="97">
        <v>4060</v>
      </c>
      <c r="J4" s="97"/>
      <c r="K4" s="97"/>
      <c r="L4" s="97">
        <f>I4+J4</f>
        <v>4060</v>
      </c>
    </row>
    <row r="5" spans="1:12" ht="24" customHeight="1" x14ac:dyDescent="0.25">
      <c r="A5" s="80"/>
      <c r="B5" s="84" t="s">
        <v>407</v>
      </c>
      <c r="C5" s="109"/>
      <c r="D5" s="109"/>
      <c r="E5" s="109"/>
      <c r="F5" s="109"/>
      <c r="G5" s="80"/>
      <c r="H5" s="69" t="s">
        <v>314</v>
      </c>
      <c r="I5" s="97"/>
      <c r="J5" s="97"/>
      <c r="K5" s="97"/>
      <c r="L5" s="97">
        <f t="shared" ref="L5:L68" si="10">I5+J5</f>
        <v>0</v>
      </c>
    </row>
    <row r="6" spans="1:12" ht="24" customHeight="1" x14ac:dyDescent="0.25">
      <c r="A6" s="80"/>
      <c r="B6" s="84" t="s">
        <v>408</v>
      </c>
      <c r="C6" s="109"/>
      <c r="D6" s="109"/>
      <c r="E6" s="109"/>
      <c r="F6" s="109"/>
      <c r="G6" s="80"/>
      <c r="H6" s="69" t="s">
        <v>315</v>
      </c>
      <c r="I6" s="97"/>
      <c r="J6" s="97"/>
      <c r="K6" s="97"/>
      <c r="L6" s="97">
        <f t="shared" si="10"/>
        <v>0</v>
      </c>
    </row>
    <row r="7" spans="1:12" ht="30" x14ac:dyDescent="0.25">
      <c r="A7" s="80"/>
      <c r="B7" s="84" t="s">
        <v>1044</v>
      </c>
      <c r="C7" s="109"/>
      <c r="D7" s="109"/>
      <c r="E7" s="109"/>
      <c r="F7" s="109"/>
      <c r="G7" s="80"/>
      <c r="H7" s="69" t="s">
        <v>316</v>
      </c>
      <c r="I7" s="97"/>
      <c r="J7" s="97"/>
      <c r="K7" s="97"/>
      <c r="L7" s="97">
        <f t="shared" si="10"/>
        <v>0</v>
      </c>
    </row>
    <row r="8" spans="1:12" ht="22.5" customHeight="1" x14ac:dyDescent="0.25">
      <c r="A8" s="80"/>
      <c r="B8" s="84" t="s">
        <v>409</v>
      </c>
      <c r="C8" s="109"/>
      <c r="D8" s="109"/>
      <c r="E8" s="109"/>
      <c r="F8" s="109"/>
      <c r="G8" s="80"/>
      <c r="H8" s="69" t="s">
        <v>317</v>
      </c>
      <c r="I8" s="97">
        <f>2*6*12+55</f>
        <v>199</v>
      </c>
      <c r="J8" s="97"/>
      <c r="K8" s="97"/>
      <c r="L8" s="97">
        <f t="shared" si="10"/>
        <v>199</v>
      </c>
    </row>
    <row r="9" spans="1:12" ht="24.75" customHeight="1" x14ac:dyDescent="0.25">
      <c r="A9" s="80"/>
      <c r="B9" s="84" t="s">
        <v>1045</v>
      </c>
      <c r="C9" s="82" t="s">
        <v>253</v>
      </c>
      <c r="D9" s="82"/>
      <c r="E9" s="82"/>
      <c r="F9" s="82"/>
      <c r="G9" s="80"/>
      <c r="H9" s="69" t="s">
        <v>318</v>
      </c>
      <c r="I9" s="97">
        <v>72</v>
      </c>
      <c r="J9" s="97"/>
      <c r="K9" s="97"/>
      <c r="L9" s="97">
        <f t="shared" si="10"/>
        <v>72</v>
      </c>
    </row>
    <row r="10" spans="1:12" ht="18" customHeight="1" x14ac:dyDescent="0.25">
      <c r="A10" s="80"/>
      <c r="B10" s="84" t="s">
        <v>1046</v>
      </c>
      <c r="C10" s="82" t="s">
        <v>253</v>
      </c>
      <c r="D10" s="82"/>
      <c r="E10" s="82"/>
      <c r="F10" s="82"/>
      <c r="G10" s="85"/>
      <c r="H10" s="69" t="s">
        <v>319</v>
      </c>
      <c r="I10" s="314"/>
      <c r="J10" s="314"/>
      <c r="K10" s="314"/>
      <c r="L10" s="97">
        <f t="shared" si="10"/>
        <v>0</v>
      </c>
    </row>
    <row r="11" spans="1:12" ht="20.25" customHeight="1" x14ac:dyDescent="0.25">
      <c r="A11" s="80"/>
      <c r="B11" s="115"/>
      <c r="C11" s="88"/>
      <c r="D11" s="88"/>
      <c r="E11" s="88"/>
      <c r="F11" s="88"/>
      <c r="G11" s="85"/>
      <c r="H11" s="69" t="s">
        <v>320</v>
      </c>
      <c r="I11" s="99"/>
      <c r="J11" s="99">
        <v>10</v>
      </c>
      <c r="K11" s="99">
        <v>10</v>
      </c>
      <c r="L11" s="97">
        <f t="shared" si="10"/>
        <v>10</v>
      </c>
    </row>
    <row r="12" spans="1:12" ht="20.25" customHeight="1" x14ac:dyDescent="0.25">
      <c r="A12" s="80"/>
      <c r="B12" s="84" t="s">
        <v>412</v>
      </c>
      <c r="C12" s="88"/>
      <c r="D12" s="88"/>
      <c r="E12" s="88"/>
      <c r="F12" s="88"/>
      <c r="G12" s="85"/>
      <c r="H12" s="70" t="s">
        <v>321</v>
      </c>
      <c r="I12" s="107">
        <f>I4+I5+I6+I7+I8+I9+I10+I11</f>
        <v>4331</v>
      </c>
      <c r="J12" s="107">
        <f t="shared" ref="J12:K12" si="11">J4+J5+J6+J7+J8+J9+J10+J11</f>
        <v>10</v>
      </c>
      <c r="K12" s="107">
        <f t="shared" si="11"/>
        <v>10</v>
      </c>
      <c r="L12" s="97">
        <f t="shared" si="10"/>
        <v>4341</v>
      </c>
    </row>
    <row r="13" spans="1:12" ht="30" x14ac:dyDescent="0.25">
      <c r="A13" s="70"/>
      <c r="B13" s="84" t="s">
        <v>413</v>
      </c>
      <c r="C13" s="109"/>
      <c r="D13" s="109"/>
      <c r="E13" s="109"/>
      <c r="F13" s="109"/>
      <c r="G13" s="85"/>
      <c r="H13" s="69" t="s">
        <v>322</v>
      </c>
      <c r="I13" s="99"/>
      <c r="J13" s="99"/>
      <c r="K13" s="99"/>
      <c r="L13" s="97">
        <f t="shared" si="10"/>
        <v>0</v>
      </c>
    </row>
    <row r="14" spans="1:12" ht="29.25" customHeight="1" x14ac:dyDescent="0.25">
      <c r="A14" s="70"/>
      <c r="B14" s="84" t="s">
        <v>414</v>
      </c>
      <c r="C14" s="109"/>
      <c r="D14" s="109"/>
      <c r="E14" s="109"/>
      <c r="F14" s="109"/>
      <c r="G14" s="85"/>
      <c r="H14" s="69" t="s">
        <v>323</v>
      </c>
      <c r="I14" s="99"/>
      <c r="J14" s="99"/>
      <c r="K14" s="99"/>
      <c r="L14" s="97">
        <f t="shared" si="10"/>
        <v>0</v>
      </c>
    </row>
    <row r="15" spans="1:12" ht="29.25" customHeight="1" x14ac:dyDescent="0.25">
      <c r="A15" s="70"/>
      <c r="B15" s="84" t="s">
        <v>415</v>
      </c>
      <c r="C15" s="109"/>
      <c r="D15" s="109"/>
      <c r="E15" s="109"/>
      <c r="F15" s="109"/>
      <c r="G15" s="85"/>
      <c r="H15" s="69" t="s">
        <v>324</v>
      </c>
      <c r="I15" s="99"/>
      <c r="J15" s="107">
        <v>120</v>
      </c>
      <c r="K15" s="107">
        <v>120</v>
      </c>
      <c r="L15" s="97">
        <f t="shared" si="10"/>
        <v>120</v>
      </c>
    </row>
    <row r="16" spans="1:12" ht="21" customHeight="1" x14ac:dyDescent="0.25">
      <c r="A16" s="70"/>
      <c r="B16" s="84" t="s">
        <v>416</v>
      </c>
      <c r="C16" s="109"/>
      <c r="D16" s="109"/>
      <c r="E16" s="109"/>
      <c r="F16" s="109"/>
      <c r="G16" s="85"/>
      <c r="H16" s="70" t="s">
        <v>325</v>
      </c>
      <c r="I16" s="107">
        <f>I13+I14+I15</f>
        <v>0</v>
      </c>
      <c r="J16" s="107">
        <f t="shared" ref="J16:K16" si="12">J13+J14+J15</f>
        <v>120</v>
      </c>
      <c r="K16" s="107">
        <f t="shared" si="12"/>
        <v>120</v>
      </c>
      <c r="L16" s="97">
        <f t="shared" si="10"/>
        <v>120</v>
      </c>
    </row>
    <row r="17" spans="1:12" ht="18.75" customHeight="1" x14ac:dyDescent="0.25">
      <c r="A17" s="70"/>
      <c r="B17" s="84"/>
      <c r="C17" s="109"/>
      <c r="D17" s="109"/>
      <c r="E17" s="109"/>
      <c r="F17" s="109"/>
      <c r="G17" s="421" t="s">
        <v>45</v>
      </c>
      <c r="H17" s="414" t="s">
        <v>326</v>
      </c>
      <c r="I17" s="415">
        <f>SUM(I18:I20)</f>
        <v>1193.382488</v>
      </c>
      <c r="J17" s="415">
        <f t="shared" ref="J17:L17" si="13">SUM(J18:J20)</f>
        <v>0</v>
      </c>
      <c r="K17" s="415">
        <f t="shared" ref="K17" si="14">SUM(K18:K20)</f>
        <v>0</v>
      </c>
      <c r="L17" s="415">
        <f t="shared" si="13"/>
        <v>1193.382488</v>
      </c>
    </row>
    <row r="18" spans="1:12" ht="18.75" customHeight="1" x14ac:dyDescent="0.25">
      <c r="A18" s="70"/>
      <c r="B18" s="84"/>
      <c r="C18" s="109"/>
      <c r="D18" s="109"/>
      <c r="E18" s="109"/>
      <c r="F18" s="109"/>
      <c r="G18" s="80"/>
      <c r="H18" s="94" t="s">
        <v>854</v>
      </c>
      <c r="I18" s="107">
        <v>1096</v>
      </c>
      <c r="J18" s="107"/>
      <c r="K18" s="107"/>
      <c r="L18" s="97">
        <f t="shared" si="10"/>
        <v>1096</v>
      </c>
    </row>
    <row r="19" spans="1:12" ht="18.75" customHeight="1" x14ac:dyDescent="0.25">
      <c r="A19" s="70"/>
      <c r="B19" s="84"/>
      <c r="C19" s="109"/>
      <c r="D19" s="109"/>
      <c r="E19" s="109"/>
      <c r="F19" s="109"/>
      <c r="G19" s="80"/>
      <c r="H19" s="94" t="s">
        <v>855</v>
      </c>
      <c r="I19" s="107">
        <f>I8*1.19*14%+I37*127%*20%*27%</f>
        <v>50.435560000000009</v>
      </c>
      <c r="J19" s="107"/>
      <c r="K19" s="107"/>
      <c r="L19" s="97">
        <f t="shared" si="10"/>
        <v>50.435560000000009</v>
      </c>
    </row>
    <row r="20" spans="1:12" ht="18.75" customHeight="1" x14ac:dyDescent="0.25">
      <c r="A20" s="70"/>
      <c r="B20" s="84"/>
      <c r="C20" s="109"/>
      <c r="D20" s="109"/>
      <c r="E20" s="109"/>
      <c r="F20" s="109"/>
      <c r="G20" s="80"/>
      <c r="H20" s="94" t="s">
        <v>856</v>
      </c>
      <c r="I20" s="107">
        <f>I8*1.19*15%+I37*127%*20%*1.19*15%</f>
        <v>46.946928</v>
      </c>
      <c r="J20" s="107"/>
      <c r="K20" s="107"/>
      <c r="L20" s="97">
        <f t="shared" si="10"/>
        <v>46.946928</v>
      </c>
    </row>
    <row r="21" spans="1:12" ht="18.75" customHeight="1" x14ac:dyDescent="0.25">
      <c r="A21" s="70"/>
      <c r="B21" s="84"/>
      <c r="C21" s="109"/>
      <c r="D21" s="109"/>
      <c r="E21" s="109"/>
      <c r="F21" s="109"/>
      <c r="G21" s="80"/>
      <c r="H21" s="83"/>
      <c r="I21" s="99"/>
      <c r="J21" s="99"/>
      <c r="K21" s="99"/>
      <c r="L21" s="97">
        <f t="shared" si="10"/>
        <v>0</v>
      </c>
    </row>
    <row r="22" spans="1:12" ht="20.25" customHeight="1" x14ac:dyDescent="0.25">
      <c r="A22" s="70" t="s">
        <v>45</v>
      </c>
      <c r="B22" s="84" t="s">
        <v>448</v>
      </c>
      <c r="C22" s="106">
        <f>0</f>
        <v>0</v>
      </c>
      <c r="D22" s="106">
        <f>0</f>
        <v>0</v>
      </c>
      <c r="E22" s="106">
        <f>0</f>
        <v>0</v>
      </c>
      <c r="F22" s="106">
        <f>0</f>
        <v>0</v>
      </c>
      <c r="G22" s="424" t="s">
        <v>56</v>
      </c>
      <c r="H22" s="422" t="s">
        <v>327</v>
      </c>
      <c r="I22" s="415">
        <f>I35+I38+I55+I58+I66</f>
        <v>14016.07</v>
      </c>
      <c r="J22" s="415">
        <f t="shared" ref="J22:L22" si="15">J35+J38+J55+J58+J66</f>
        <v>-130</v>
      </c>
      <c r="K22" s="415">
        <f t="shared" ref="K22" si="16">K35+K38+K55+K58+K66</f>
        <v>-130</v>
      </c>
      <c r="L22" s="415">
        <f t="shared" si="15"/>
        <v>13886.07</v>
      </c>
    </row>
    <row r="23" spans="1:12" ht="20.25" customHeight="1" x14ac:dyDescent="0.25">
      <c r="A23" s="70"/>
      <c r="B23" s="84"/>
      <c r="C23" s="97"/>
      <c r="D23" s="97"/>
      <c r="E23" s="97"/>
      <c r="F23" s="97"/>
      <c r="G23" s="71"/>
      <c r="H23" s="71" t="s">
        <v>328</v>
      </c>
      <c r="I23" s="107">
        <f>SUM(I24:I26)</f>
        <v>698.90476190476193</v>
      </c>
      <c r="J23" s="107">
        <f t="shared" ref="J23:K23" si="17">SUM(J24:J26)</f>
        <v>0</v>
      </c>
      <c r="K23" s="107">
        <f t="shared" si="17"/>
        <v>0</v>
      </c>
      <c r="L23" s="97">
        <f t="shared" si="10"/>
        <v>698.90476190476193</v>
      </c>
    </row>
    <row r="24" spans="1:12" ht="20.25" customHeight="1" x14ac:dyDescent="0.25">
      <c r="A24" s="70" t="s">
        <v>56</v>
      </c>
      <c r="B24" s="84" t="s">
        <v>447</v>
      </c>
      <c r="C24" s="106">
        <f>C25+C26+C32+C33+C34+C40+C41+C42+C43+C44</f>
        <v>3150</v>
      </c>
      <c r="D24" s="106">
        <f t="shared" ref="D24:F24" si="18">D25+D26+D32+D33+D34+D40+D41+D42+D43+D44</f>
        <v>0</v>
      </c>
      <c r="E24" s="106">
        <f t="shared" ref="E24" si="19">E25+E26+E32+E33+E34+E40+E41+E42+E43+E44</f>
        <v>0</v>
      </c>
      <c r="F24" s="106">
        <f t="shared" si="18"/>
        <v>3150</v>
      </c>
      <c r="G24" s="71"/>
      <c r="H24" s="71" t="s">
        <v>329</v>
      </c>
      <c r="I24" s="107">
        <v>15</v>
      </c>
      <c r="J24" s="107"/>
      <c r="K24" s="107"/>
      <c r="L24" s="97">
        <f t="shared" si="10"/>
        <v>15</v>
      </c>
    </row>
    <row r="25" spans="1:12" ht="20.25" customHeight="1" x14ac:dyDescent="0.25">
      <c r="A25" s="86"/>
      <c r="B25" s="89" t="s">
        <v>449</v>
      </c>
      <c r="C25" s="103"/>
      <c r="D25" s="103"/>
      <c r="E25" s="103"/>
      <c r="F25" s="103"/>
      <c r="G25" s="71"/>
      <c r="H25" s="71" t="s">
        <v>330</v>
      </c>
      <c r="I25" s="107">
        <f>7181*10%/105%</f>
        <v>683.90476190476193</v>
      </c>
      <c r="J25" s="107"/>
      <c r="K25" s="107"/>
      <c r="L25" s="97">
        <f t="shared" si="10"/>
        <v>683.90476190476193</v>
      </c>
    </row>
    <row r="26" spans="1:12" ht="20.25" customHeight="1" x14ac:dyDescent="0.25">
      <c r="A26" s="86"/>
      <c r="B26" s="89" t="s">
        <v>450</v>
      </c>
      <c r="C26" s="103">
        <f>SUM(C27:C31)</f>
        <v>3150</v>
      </c>
      <c r="D26" s="103"/>
      <c r="E26" s="103"/>
      <c r="F26" s="103">
        <f>C26+D26</f>
        <v>3150</v>
      </c>
      <c r="G26" s="71"/>
      <c r="H26" s="71" t="s">
        <v>331</v>
      </c>
      <c r="I26" s="107">
        <v>0</v>
      </c>
      <c r="J26" s="107"/>
      <c r="K26" s="107"/>
      <c r="L26" s="97">
        <f t="shared" si="10"/>
        <v>0</v>
      </c>
    </row>
    <row r="27" spans="1:12" ht="20.25" customHeight="1" x14ac:dyDescent="0.25">
      <c r="A27" s="86"/>
      <c r="B27" s="89" t="s">
        <v>469</v>
      </c>
      <c r="C27" s="103">
        <v>3150</v>
      </c>
      <c r="D27" s="103"/>
      <c r="E27" s="103"/>
      <c r="F27" s="103">
        <f>C27+D27</f>
        <v>3150</v>
      </c>
      <c r="G27" s="71"/>
      <c r="H27" s="71" t="s">
        <v>338</v>
      </c>
      <c r="I27" s="107">
        <f>SUM(I28:I33)</f>
        <v>540</v>
      </c>
      <c r="J27" s="107">
        <f t="shared" ref="J27:K27" si="20">SUM(J28:J33)</f>
        <v>0</v>
      </c>
      <c r="K27" s="107">
        <f t="shared" si="20"/>
        <v>0</v>
      </c>
      <c r="L27" s="97">
        <f t="shared" si="10"/>
        <v>540</v>
      </c>
    </row>
    <row r="28" spans="1:12" ht="20.25" customHeight="1" x14ac:dyDescent="0.25">
      <c r="A28" s="86"/>
      <c r="B28" s="89" t="s">
        <v>467</v>
      </c>
      <c r="C28" s="103"/>
      <c r="D28" s="103"/>
      <c r="E28" s="103"/>
      <c r="F28" s="103"/>
      <c r="G28" s="71"/>
      <c r="H28" s="71" t="s">
        <v>332</v>
      </c>
      <c r="I28" s="107"/>
      <c r="J28" s="107"/>
      <c r="K28" s="107"/>
      <c r="L28" s="97">
        <f t="shared" si="10"/>
        <v>0</v>
      </c>
    </row>
    <row r="29" spans="1:12" ht="20.25" customHeight="1" x14ac:dyDescent="0.25">
      <c r="A29" s="86"/>
      <c r="B29" s="21" t="s">
        <v>468</v>
      </c>
      <c r="C29" s="103"/>
      <c r="D29" s="103"/>
      <c r="E29" s="103"/>
      <c r="F29" s="103"/>
      <c r="G29" s="71"/>
      <c r="H29" s="71" t="s">
        <v>333</v>
      </c>
      <c r="I29" s="107">
        <v>40</v>
      </c>
      <c r="J29" s="107"/>
      <c r="K29" s="107"/>
      <c r="L29" s="97">
        <f t="shared" si="10"/>
        <v>40</v>
      </c>
    </row>
    <row r="30" spans="1:12" ht="20.25" customHeight="1" x14ac:dyDescent="0.25">
      <c r="A30" s="86"/>
      <c r="B30" s="89" t="s">
        <v>500</v>
      </c>
      <c r="C30" s="103"/>
      <c r="D30" s="103"/>
      <c r="E30" s="103"/>
      <c r="F30" s="103"/>
      <c r="G30" s="71"/>
      <c r="H30" s="71" t="s">
        <v>334</v>
      </c>
      <c r="I30" s="107">
        <v>100</v>
      </c>
      <c r="J30" s="107"/>
      <c r="K30" s="107"/>
      <c r="L30" s="97">
        <f t="shared" si="10"/>
        <v>100</v>
      </c>
    </row>
    <row r="31" spans="1:12" ht="20.25" customHeight="1" x14ac:dyDescent="0.25">
      <c r="A31" s="86"/>
      <c r="B31" s="89" t="s">
        <v>501</v>
      </c>
      <c r="C31" s="103"/>
      <c r="D31" s="103"/>
      <c r="E31" s="103"/>
      <c r="F31" s="103"/>
      <c r="G31" s="71"/>
      <c r="H31" s="71" t="s">
        <v>335</v>
      </c>
      <c r="I31" s="99"/>
      <c r="J31" s="99"/>
      <c r="K31" s="99"/>
      <c r="L31" s="97">
        <f t="shared" si="10"/>
        <v>0</v>
      </c>
    </row>
    <row r="32" spans="1:12" ht="20.25" customHeight="1" x14ac:dyDescent="0.25">
      <c r="A32" s="86"/>
      <c r="B32" s="89" t="s">
        <v>451</v>
      </c>
      <c r="C32" s="103"/>
      <c r="D32" s="103"/>
      <c r="E32" s="103"/>
      <c r="F32" s="103"/>
      <c r="G32" s="71"/>
      <c r="H32" s="71" t="s">
        <v>336</v>
      </c>
      <c r="I32" s="99"/>
      <c r="J32" s="99"/>
      <c r="K32" s="99"/>
      <c r="L32" s="97">
        <f t="shared" si="10"/>
        <v>0</v>
      </c>
    </row>
    <row r="33" spans="1:12" ht="20.25" customHeight="1" x14ac:dyDescent="0.25">
      <c r="A33" s="86"/>
      <c r="B33" s="89" t="s">
        <v>452</v>
      </c>
      <c r="C33" s="103"/>
      <c r="D33" s="103"/>
      <c r="E33" s="103"/>
      <c r="F33" s="103"/>
      <c r="G33" s="71"/>
      <c r="H33" s="71" t="s">
        <v>337</v>
      </c>
      <c r="I33" s="107">
        <v>400</v>
      </c>
      <c r="J33" s="107"/>
      <c r="K33" s="107"/>
      <c r="L33" s="97">
        <f t="shared" si="10"/>
        <v>400</v>
      </c>
    </row>
    <row r="34" spans="1:12" ht="20.25" customHeight="1" x14ac:dyDescent="0.25">
      <c r="A34" s="86"/>
      <c r="B34" s="89" t="s">
        <v>453</v>
      </c>
      <c r="C34" s="103">
        <f>SUM(C35:C39)</f>
        <v>0</v>
      </c>
      <c r="D34" s="103">
        <f t="shared" ref="D34:F34" si="21">SUM(D35:D39)</f>
        <v>0</v>
      </c>
      <c r="E34" s="103">
        <f t="shared" ref="E34" si="22">SUM(E35:E39)</f>
        <v>0</v>
      </c>
      <c r="F34" s="103">
        <f t="shared" si="21"/>
        <v>0</v>
      </c>
      <c r="G34" s="71"/>
      <c r="H34" s="71" t="s">
        <v>339</v>
      </c>
      <c r="I34" s="99"/>
      <c r="J34" s="99"/>
      <c r="K34" s="99"/>
      <c r="L34" s="97">
        <f t="shared" si="10"/>
        <v>0</v>
      </c>
    </row>
    <row r="35" spans="1:12" ht="20.25" customHeight="1" x14ac:dyDescent="0.25">
      <c r="A35" s="86"/>
      <c r="B35" s="21" t="s">
        <v>497</v>
      </c>
      <c r="C35" s="103"/>
      <c r="D35" s="103"/>
      <c r="E35" s="103"/>
      <c r="F35" s="103"/>
      <c r="G35" s="71"/>
      <c r="H35" s="72" t="s">
        <v>340</v>
      </c>
      <c r="I35" s="107">
        <f>I23+I27+I34</f>
        <v>1238.9047619047619</v>
      </c>
      <c r="J35" s="107">
        <f t="shared" ref="J35:K35" si="23">J23+J27+J34</f>
        <v>0</v>
      </c>
      <c r="K35" s="107">
        <f t="shared" si="23"/>
        <v>0</v>
      </c>
      <c r="L35" s="97">
        <f t="shared" si="10"/>
        <v>1238.9047619047619</v>
      </c>
    </row>
    <row r="36" spans="1:12" ht="20.25" customHeight="1" x14ac:dyDescent="0.25">
      <c r="A36" s="86"/>
      <c r="B36" s="88" t="s">
        <v>498</v>
      </c>
      <c r="C36" s="103"/>
      <c r="D36" s="103"/>
      <c r="E36" s="103"/>
      <c r="F36" s="103"/>
      <c r="G36" s="71"/>
      <c r="H36" s="71" t="s">
        <v>923</v>
      </c>
      <c r="I36" s="107">
        <v>40</v>
      </c>
      <c r="J36" s="107"/>
      <c r="K36" s="107"/>
      <c r="L36" s="97">
        <f t="shared" si="10"/>
        <v>40</v>
      </c>
    </row>
    <row r="37" spans="1:12" ht="20.25" customHeight="1" x14ac:dyDescent="0.25">
      <c r="A37" s="86"/>
      <c r="B37" s="88" t="s">
        <v>496</v>
      </c>
      <c r="C37" s="103"/>
      <c r="D37" s="103"/>
      <c r="E37" s="103"/>
      <c r="F37" s="103"/>
      <c r="G37" s="71"/>
      <c r="H37" s="71" t="s">
        <v>492</v>
      </c>
      <c r="I37" s="107">
        <f>6*12+15*12</f>
        <v>252</v>
      </c>
      <c r="J37" s="107">
        <v>-10</v>
      </c>
      <c r="K37" s="107">
        <v>-10</v>
      </c>
      <c r="L37" s="97">
        <f t="shared" si="10"/>
        <v>242</v>
      </c>
    </row>
    <row r="38" spans="1:12" ht="20.25" customHeight="1" x14ac:dyDescent="0.25">
      <c r="A38" s="86"/>
      <c r="B38" s="88" t="s">
        <v>454</v>
      </c>
      <c r="C38" s="103"/>
      <c r="D38" s="103"/>
      <c r="E38" s="103"/>
      <c r="F38" s="103"/>
      <c r="G38" s="71"/>
      <c r="H38" s="72" t="s">
        <v>341</v>
      </c>
      <c r="I38" s="107">
        <f>I36+I37</f>
        <v>292</v>
      </c>
      <c r="J38" s="107">
        <f t="shared" ref="J38:K38" si="24">J36+J37</f>
        <v>-10</v>
      </c>
      <c r="K38" s="107">
        <f t="shared" si="24"/>
        <v>-10</v>
      </c>
      <c r="L38" s="97">
        <f t="shared" si="10"/>
        <v>282</v>
      </c>
    </row>
    <row r="39" spans="1:12" ht="20.25" customHeight="1" x14ac:dyDescent="0.25">
      <c r="A39" s="86"/>
      <c r="B39" s="21" t="s">
        <v>499</v>
      </c>
      <c r="C39" s="103"/>
      <c r="D39" s="103"/>
      <c r="E39" s="103"/>
      <c r="F39" s="103"/>
      <c r="G39" s="71"/>
      <c r="H39" s="71" t="s">
        <v>345</v>
      </c>
      <c r="I39" s="107">
        <f>SUM(I40:I42)</f>
        <v>5450</v>
      </c>
      <c r="J39" s="107">
        <f t="shared" ref="J39:K39" si="25">SUM(J40:J42)</f>
        <v>0</v>
      </c>
      <c r="K39" s="107">
        <f t="shared" si="25"/>
        <v>0</v>
      </c>
      <c r="L39" s="97">
        <f t="shared" si="10"/>
        <v>5450</v>
      </c>
    </row>
    <row r="40" spans="1:12" ht="20.25" customHeight="1" x14ac:dyDescent="0.25">
      <c r="A40" s="86"/>
      <c r="B40" s="89" t="s">
        <v>455</v>
      </c>
      <c r="C40" s="103">
        <v>0</v>
      </c>
      <c r="D40" s="103"/>
      <c r="E40" s="103"/>
      <c r="F40" s="103"/>
      <c r="G40" s="71"/>
      <c r="H40" s="71" t="s">
        <v>346</v>
      </c>
      <c r="I40" s="107">
        <f>800+3000</f>
        <v>3800</v>
      </c>
      <c r="J40" s="107"/>
      <c r="K40" s="107"/>
      <c r="L40" s="97">
        <f t="shared" si="10"/>
        <v>3800</v>
      </c>
    </row>
    <row r="41" spans="1:12" ht="20.25" customHeight="1" x14ac:dyDescent="0.25">
      <c r="A41" s="88"/>
      <c r="B41" s="89" t="s">
        <v>456</v>
      </c>
      <c r="C41" s="88"/>
      <c r="D41" s="88"/>
      <c r="E41" s="88"/>
      <c r="F41" s="88"/>
      <c r="G41" s="71"/>
      <c r="H41" s="71" t="s">
        <v>348</v>
      </c>
      <c r="I41" s="107">
        <v>1300</v>
      </c>
      <c r="J41" s="107"/>
      <c r="K41" s="107"/>
      <c r="L41" s="97">
        <f t="shared" si="10"/>
        <v>1300</v>
      </c>
    </row>
    <row r="42" spans="1:12" ht="20.25" customHeight="1" x14ac:dyDescent="0.25">
      <c r="A42" s="88"/>
      <c r="B42" s="89" t="s">
        <v>1048</v>
      </c>
      <c r="C42" s="88"/>
      <c r="D42" s="88"/>
      <c r="E42" s="88"/>
      <c r="F42" s="88"/>
      <c r="G42" s="71"/>
      <c r="H42" s="71" t="s">
        <v>347</v>
      </c>
      <c r="I42" s="107">
        <v>350</v>
      </c>
      <c r="J42" s="107"/>
      <c r="K42" s="107"/>
      <c r="L42" s="97">
        <f t="shared" si="10"/>
        <v>350</v>
      </c>
    </row>
    <row r="43" spans="1:12" ht="20.25" customHeight="1" x14ac:dyDescent="0.25">
      <c r="A43" s="88"/>
      <c r="B43" s="89" t="s">
        <v>458</v>
      </c>
      <c r="C43" s="88"/>
      <c r="D43" s="88"/>
      <c r="E43" s="88"/>
      <c r="F43" s="88"/>
      <c r="G43" s="71"/>
      <c r="H43" s="71" t="s">
        <v>349</v>
      </c>
      <c r="I43" s="99"/>
      <c r="J43" s="99"/>
      <c r="K43" s="99"/>
      <c r="L43" s="97">
        <f t="shared" si="10"/>
        <v>0</v>
      </c>
    </row>
    <row r="44" spans="1:12" ht="20.25" customHeight="1" x14ac:dyDescent="0.25">
      <c r="A44" s="88"/>
      <c r="B44" s="89" t="s">
        <v>459</v>
      </c>
      <c r="C44" s="88">
        <f>SUM(C45:C47)</f>
        <v>0</v>
      </c>
      <c r="D44" s="88">
        <f t="shared" ref="D44:F44" si="26">SUM(D45:D47)</f>
        <v>0</v>
      </c>
      <c r="E44" s="88">
        <f t="shared" ref="E44" si="27">SUM(E45:E47)</f>
        <v>0</v>
      </c>
      <c r="F44" s="88">
        <f t="shared" si="26"/>
        <v>0</v>
      </c>
      <c r="G44" s="71"/>
      <c r="H44" s="71" t="s">
        <v>350</v>
      </c>
      <c r="I44" s="99"/>
      <c r="J44" s="99"/>
      <c r="K44" s="99"/>
      <c r="L44" s="97">
        <f t="shared" si="10"/>
        <v>0</v>
      </c>
    </row>
    <row r="45" spans="1:12" ht="20.25" customHeight="1" x14ac:dyDescent="0.25">
      <c r="A45" s="88"/>
      <c r="B45" s="88" t="s">
        <v>460</v>
      </c>
      <c r="C45" s="88"/>
      <c r="D45" s="88"/>
      <c r="E45" s="88"/>
      <c r="F45" s="88"/>
      <c r="G45" s="71"/>
      <c r="H45" s="71" t="s">
        <v>351</v>
      </c>
      <c r="I45" s="107">
        <v>0</v>
      </c>
      <c r="J45" s="107">
        <v>4</v>
      </c>
      <c r="K45" s="107">
        <v>4</v>
      </c>
      <c r="L45" s="97">
        <f t="shared" si="10"/>
        <v>4</v>
      </c>
    </row>
    <row r="46" spans="1:12" ht="20.25" customHeight="1" x14ac:dyDescent="0.25">
      <c r="A46" s="88"/>
      <c r="B46" s="88" t="s">
        <v>461</v>
      </c>
      <c r="C46" s="88"/>
      <c r="D46" s="88"/>
      <c r="E46" s="88"/>
      <c r="F46" s="88"/>
      <c r="G46" s="71"/>
      <c r="H46" s="71" t="s">
        <v>352</v>
      </c>
      <c r="I46" s="107"/>
      <c r="J46" s="107"/>
      <c r="K46" s="107"/>
      <c r="L46" s="97">
        <f t="shared" si="10"/>
        <v>0</v>
      </c>
    </row>
    <row r="47" spans="1:12" ht="20.25" customHeight="1" x14ac:dyDescent="0.25">
      <c r="A47" s="86"/>
      <c r="B47" s="88" t="s">
        <v>462</v>
      </c>
      <c r="C47" s="103"/>
      <c r="D47" s="103"/>
      <c r="E47" s="103"/>
      <c r="F47" s="103"/>
      <c r="G47" s="71"/>
      <c r="H47" s="71" t="s">
        <v>353</v>
      </c>
      <c r="I47" s="107">
        <f>SUM(I48:I48)</f>
        <v>480</v>
      </c>
      <c r="J47" s="107">
        <f t="shared" ref="J47:K47" si="28">SUM(J48:J48)</f>
        <v>0</v>
      </c>
      <c r="K47" s="107">
        <f t="shared" si="28"/>
        <v>0</v>
      </c>
      <c r="L47" s="97">
        <f t="shared" si="10"/>
        <v>480</v>
      </c>
    </row>
    <row r="48" spans="1:12" ht="20.25" customHeight="1" x14ac:dyDescent="0.25">
      <c r="A48" s="86"/>
      <c r="B48" s="88"/>
      <c r="C48" s="103"/>
      <c r="D48" s="103"/>
      <c r="E48" s="103"/>
      <c r="F48" s="103"/>
      <c r="G48" s="71"/>
      <c r="H48" s="71" t="s">
        <v>857</v>
      </c>
      <c r="I48" s="107">
        <v>480</v>
      </c>
      <c r="J48" s="107"/>
      <c r="K48" s="107"/>
      <c r="L48" s="97">
        <f t="shared" si="10"/>
        <v>480</v>
      </c>
    </row>
    <row r="49" spans="1:12" ht="20.25" customHeight="1" x14ac:dyDescent="0.25">
      <c r="A49" s="88"/>
      <c r="B49" s="89"/>
      <c r="C49" s="88"/>
      <c r="D49" s="88"/>
      <c r="E49" s="88"/>
      <c r="F49" s="88"/>
      <c r="G49" s="71"/>
      <c r="H49" s="71" t="s">
        <v>354</v>
      </c>
      <c r="I49" s="107">
        <f>SUM(I50:I54)</f>
        <v>910</v>
      </c>
      <c r="J49" s="107">
        <f t="shared" ref="J49:K49" si="29">SUM(J50:J54)</f>
        <v>-4</v>
      </c>
      <c r="K49" s="107">
        <f t="shared" si="29"/>
        <v>-4</v>
      </c>
      <c r="L49" s="97">
        <f t="shared" si="10"/>
        <v>906</v>
      </c>
    </row>
    <row r="50" spans="1:12" ht="20.25" customHeight="1" x14ac:dyDescent="0.25">
      <c r="A50" s="88"/>
      <c r="B50" s="89"/>
      <c r="C50" s="88"/>
      <c r="D50" s="88"/>
      <c r="E50" s="88"/>
      <c r="F50" s="88"/>
      <c r="G50" s="71"/>
      <c r="H50" s="71" t="s">
        <v>355</v>
      </c>
      <c r="I50" s="107">
        <v>30</v>
      </c>
      <c r="J50" s="107"/>
      <c r="K50" s="107"/>
      <c r="L50" s="97">
        <f t="shared" si="10"/>
        <v>30</v>
      </c>
    </row>
    <row r="51" spans="1:12" ht="20.25" customHeight="1" x14ac:dyDescent="0.25">
      <c r="A51" s="88"/>
      <c r="B51" s="89"/>
      <c r="C51" s="88"/>
      <c r="D51" s="88"/>
      <c r="E51" s="88"/>
      <c r="F51" s="88"/>
      <c r="G51" s="71"/>
      <c r="H51" s="71" t="s">
        <v>1076</v>
      </c>
      <c r="I51" s="107">
        <f>70+10+250</f>
        <v>330</v>
      </c>
      <c r="J51" s="107">
        <v>-4</v>
      </c>
      <c r="K51" s="107">
        <v>-4</v>
      </c>
      <c r="L51" s="97">
        <f t="shared" si="10"/>
        <v>326</v>
      </c>
    </row>
    <row r="52" spans="1:12" ht="20.25" customHeight="1" x14ac:dyDescent="0.25">
      <c r="A52" s="88"/>
      <c r="B52" s="89"/>
      <c r="C52" s="88"/>
      <c r="D52" s="88"/>
      <c r="E52" s="88"/>
      <c r="F52" s="88"/>
      <c r="G52" s="71"/>
      <c r="H52" s="71" t="s">
        <v>858</v>
      </c>
      <c r="I52" s="107">
        <v>50</v>
      </c>
      <c r="J52" s="107"/>
      <c r="K52" s="107"/>
      <c r="L52" s="97">
        <f t="shared" si="10"/>
        <v>50</v>
      </c>
    </row>
    <row r="53" spans="1:12" ht="20.25" customHeight="1" x14ac:dyDescent="0.25">
      <c r="A53" s="88"/>
      <c r="B53" s="89"/>
      <c r="C53" s="88"/>
      <c r="D53" s="88"/>
      <c r="E53" s="88"/>
      <c r="F53" s="88"/>
      <c r="G53" s="71"/>
      <c r="H53" s="71" t="s">
        <v>859</v>
      </c>
      <c r="I53" s="107">
        <v>500</v>
      </c>
      <c r="J53" s="107"/>
      <c r="K53" s="107"/>
      <c r="L53" s="97">
        <f t="shared" si="10"/>
        <v>500</v>
      </c>
    </row>
    <row r="54" spans="1:12" ht="20.25" customHeight="1" x14ac:dyDescent="0.25">
      <c r="A54" s="88"/>
      <c r="B54" s="88"/>
      <c r="C54" s="88"/>
      <c r="D54" s="88"/>
      <c r="E54" s="88"/>
      <c r="F54" s="88"/>
      <c r="G54" s="71"/>
      <c r="H54" s="71"/>
      <c r="I54" s="99"/>
      <c r="J54" s="99"/>
      <c r="K54" s="99"/>
      <c r="L54" s="97">
        <f t="shared" si="10"/>
        <v>0</v>
      </c>
    </row>
    <row r="55" spans="1:12" ht="20.25" customHeight="1" x14ac:dyDescent="0.25">
      <c r="A55" s="88"/>
      <c r="B55" s="88"/>
      <c r="C55" s="88"/>
      <c r="D55" s="88"/>
      <c r="E55" s="88"/>
      <c r="F55" s="88"/>
      <c r="G55" s="71"/>
      <c r="H55" s="72" t="s">
        <v>344</v>
      </c>
      <c r="I55" s="107">
        <f>I39+I43+I44+I45+I46+I47+I49</f>
        <v>6840</v>
      </c>
      <c r="J55" s="107">
        <f t="shared" ref="J55:K55" si="30">J39+J43+J44+J45+J46+J47+J49</f>
        <v>0</v>
      </c>
      <c r="K55" s="107">
        <f t="shared" si="30"/>
        <v>0</v>
      </c>
      <c r="L55" s="97">
        <f t="shared" si="10"/>
        <v>6840</v>
      </c>
    </row>
    <row r="56" spans="1:12" ht="20.25" customHeight="1" x14ac:dyDescent="0.25">
      <c r="A56" s="88"/>
      <c r="B56" s="88"/>
      <c r="C56" s="88"/>
      <c r="D56" s="88"/>
      <c r="E56" s="88"/>
      <c r="F56" s="88"/>
      <c r="G56" s="71"/>
      <c r="H56" s="71" t="s">
        <v>357</v>
      </c>
      <c r="I56" s="107">
        <v>30</v>
      </c>
      <c r="J56" s="107"/>
      <c r="K56" s="107"/>
      <c r="L56" s="97">
        <f t="shared" si="10"/>
        <v>30</v>
      </c>
    </row>
    <row r="57" spans="1:12" ht="20.25" customHeight="1" x14ac:dyDescent="0.25">
      <c r="A57" s="88"/>
      <c r="B57" s="88"/>
      <c r="C57" s="88"/>
      <c r="D57" s="88"/>
      <c r="E57" s="88"/>
      <c r="F57" s="88"/>
      <c r="G57" s="71"/>
      <c r="H57" s="71" t="s">
        <v>358</v>
      </c>
      <c r="I57" s="107">
        <f>4645-480-250-7-500-1500</f>
        <v>1908</v>
      </c>
      <c r="J57" s="107">
        <v>-120</v>
      </c>
      <c r="K57" s="107">
        <v>-120</v>
      </c>
      <c r="L57" s="97">
        <f t="shared" si="10"/>
        <v>1788</v>
      </c>
    </row>
    <row r="58" spans="1:12" ht="20.25" customHeight="1" x14ac:dyDescent="0.25">
      <c r="A58" s="86" t="s">
        <v>64</v>
      </c>
      <c r="B58" s="87" t="s">
        <v>463</v>
      </c>
      <c r="C58" s="113">
        <f>C59+C60+C61</f>
        <v>0</v>
      </c>
      <c r="D58" s="113">
        <f t="shared" ref="D58:F58" si="31">D59+D60+D61</f>
        <v>0</v>
      </c>
      <c r="E58" s="113">
        <f t="shared" ref="E58" si="32">E59+E60+E61</f>
        <v>0</v>
      </c>
      <c r="F58" s="113">
        <f t="shared" si="31"/>
        <v>0</v>
      </c>
      <c r="G58" s="71"/>
      <c r="H58" s="72" t="s">
        <v>359</v>
      </c>
      <c r="I58" s="107">
        <f>I56+I57</f>
        <v>1938</v>
      </c>
      <c r="J58" s="107">
        <f t="shared" ref="J58:K58" si="33">J56+J57</f>
        <v>-120</v>
      </c>
      <c r="K58" s="107">
        <f t="shared" si="33"/>
        <v>-120</v>
      </c>
      <c r="L58" s="97">
        <f t="shared" si="10"/>
        <v>1818</v>
      </c>
    </row>
    <row r="59" spans="1:12" ht="30" x14ac:dyDescent="0.25">
      <c r="A59" s="86"/>
      <c r="B59" s="89" t="s">
        <v>464</v>
      </c>
      <c r="C59" s="103"/>
      <c r="D59" s="103"/>
      <c r="E59" s="103"/>
      <c r="F59" s="103"/>
      <c r="G59" s="71"/>
      <c r="H59" s="71" t="s">
        <v>361</v>
      </c>
      <c r="I59" s="107">
        <f>(I35+I38+I55+I57+I63-I25-I65)*0.27+I25*5%</f>
        <v>2791.1652380952382</v>
      </c>
      <c r="J59" s="107"/>
      <c r="K59" s="107"/>
      <c r="L59" s="97">
        <f t="shared" si="10"/>
        <v>2791.1652380952382</v>
      </c>
    </row>
    <row r="60" spans="1:12" ht="28.5" customHeight="1" x14ac:dyDescent="0.25">
      <c r="A60" s="86"/>
      <c r="B60" s="84" t="s">
        <v>465</v>
      </c>
      <c r="C60" s="103"/>
      <c r="D60" s="103"/>
      <c r="E60" s="103"/>
      <c r="F60" s="103"/>
      <c r="G60" s="71"/>
      <c r="H60" s="71" t="s">
        <v>362</v>
      </c>
      <c r="I60" s="107"/>
      <c r="J60" s="107"/>
      <c r="K60" s="107"/>
      <c r="L60" s="97">
        <f t="shared" si="10"/>
        <v>0</v>
      </c>
    </row>
    <row r="61" spans="1:12" ht="19.5" customHeight="1" x14ac:dyDescent="0.25">
      <c r="A61" s="86"/>
      <c r="B61" s="89" t="s">
        <v>466</v>
      </c>
      <c r="C61" s="103"/>
      <c r="D61" s="103"/>
      <c r="E61" s="103"/>
      <c r="F61" s="103"/>
      <c r="G61" s="71"/>
      <c r="H61" s="71" t="s">
        <v>363</v>
      </c>
      <c r="I61" s="99"/>
      <c r="J61" s="107">
        <v>1</v>
      </c>
      <c r="K61" s="107">
        <v>1</v>
      </c>
      <c r="L61" s="97">
        <f t="shared" si="10"/>
        <v>1</v>
      </c>
    </row>
    <row r="62" spans="1:12" ht="19.5" customHeight="1" x14ac:dyDescent="0.25">
      <c r="A62" s="86"/>
      <c r="B62" s="89"/>
      <c r="C62" s="103"/>
      <c r="D62" s="103"/>
      <c r="E62" s="103"/>
      <c r="F62" s="103"/>
      <c r="G62" s="71"/>
      <c r="H62" s="71" t="s">
        <v>364</v>
      </c>
      <c r="I62" s="99"/>
      <c r="J62" s="99"/>
      <c r="K62" s="99"/>
      <c r="L62" s="97">
        <f t="shared" si="10"/>
        <v>0</v>
      </c>
    </row>
    <row r="63" spans="1:12" ht="30" customHeight="1" x14ac:dyDescent="0.25">
      <c r="A63" s="86"/>
      <c r="B63" s="89"/>
      <c r="C63" s="101"/>
      <c r="D63" s="101"/>
      <c r="E63" s="101"/>
      <c r="F63" s="101"/>
      <c r="G63" s="71"/>
      <c r="H63" s="116" t="s">
        <v>365</v>
      </c>
      <c r="I63" s="108">
        <f>SUM(I64:I65)</f>
        <v>916</v>
      </c>
      <c r="J63" s="108">
        <f>SUM(J64:J65)</f>
        <v>-1</v>
      </c>
      <c r="K63" s="108">
        <f>SUM(K64:K65)</f>
        <v>-1</v>
      </c>
      <c r="L63" s="97">
        <f t="shared" si="10"/>
        <v>915</v>
      </c>
    </row>
    <row r="64" spans="1:12" x14ac:dyDescent="0.25">
      <c r="A64" s="86"/>
      <c r="B64" s="89"/>
      <c r="C64" s="101"/>
      <c r="D64" s="101"/>
      <c r="E64" s="101"/>
      <c r="F64" s="101"/>
      <c r="G64" s="71"/>
      <c r="H64" s="116" t="s">
        <v>1077</v>
      </c>
      <c r="I64" s="107">
        <f>500+23+86+7</f>
        <v>616</v>
      </c>
      <c r="J64" s="107">
        <v>-1</v>
      </c>
      <c r="K64" s="107">
        <v>-1</v>
      </c>
      <c r="L64" s="97">
        <f t="shared" si="10"/>
        <v>615</v>
      </c>
    </row>
    <row r="65" spans="1:12" x14ac:dyDescent="0.25">
      <c r="A65" s="86"/>
      <c r="B65" s="89"/>
      <c r="C65" s="101"/>
      <c r="D65" s="101"/>
      <c r="E65" s="101"/>
      <c r="F65" s="101"/>
      <c r="G65" s="71"/>
      <c r="H65" s="116" t="s">
        <v>862</v>
      </c>
      <c r="I65" s="108">
        <f>2*150</f>
        <v>300</v>
      </c>
      <c r="J65" s="108"/>
      <c r="K65" s="108"/>
      <c r="L65" s="97">
        <f t="shared" si="10"/>
        <v>300</v>
      </c>
    </row>
    <row r="66" spans="1:12" ht="19.5" customHeight="1" x14ac:dyDescent="0.25">
      <c r="A66" s="86"/>
      <c r="B66" s="89"/>
      <c r="C66" s="101"/>
      <c r="D66" s="101"/>
      <c r="E66" s="101"/>
      <c r="F66" s="101"/>
      <c r="G66" s="71"/>
      <c r="H66" s="72" t="s">
        <v>360</v>
      </c>
      <c r="I66" s="108">
        <f>SUM(I59:I63)</f>
        <v>3707.1652380952382</v>
      </c>
      <c r="J66" s="108"/>
      <c r="K66" s="108"/>
      <c r="L66" s="97">
        <f t="shared" si="10"/>
        <v>3707.1652380952382</v>
      </c>
    </row>
    <row r="67" spans="1:12" ht="19.5" customHeight="1" x14ac:dyDescent="0.25">
      <c r="A67" s="86"/>
      <c r="B67" s="89"/>
      <c r="C67" s="101"/>
      <c r="D67" s="101"/>
      <c r="E67" s="101"/>
      <c r="F67" s="101"/>
      <c r="G67" s="73" t="s">
        <v>64</v>
      </c>
      <c r="H67" s="83" t="s">
        <v>366</v>
      </c>
      <c r="I67" s="102">
        <f>SUM(I68:I73)</f>
        <v>0</v>
      </c>
      <c r="J67" s="102">
        <f t="shared" ref="J67:K67" si="34">SUM(J68:J73)</f>
        <v>0</v>
      </c>
      <c r="K67" s="102">
        <f t="shared" si="34"/>
        <v>0</v>
      </c>
      <c r="L67" s="97">
        <f t="shared" si="10"/>
        <v>0</v>
      </c>
    </row>
    <row r="68" spans="1:12" ht="19.5" customHeight="1" x14ac:dyDescent="0.25">
      <c r="A68" s="86"/>
      <c r="B68" s="89"/>
      <c r="C68" s="101"/>
      <c r="D68" s="101"/>
      <c r="E68" s="101"/>
      <c r="F68" s="101"/>
      <c r="G68" s="71"/>
      <c r="H68" s="71" t="s">
        <v>367</v>
      </c>
      <c r="I68" s="102"/>
      <c r="J68" s="102"/>
      <c r="K68" s="102"/>
      <c r="L68" s="97">
        <f t="shared" si="10"/>
        <v>0</v>
      </c>
    </row>
    <row r="69" spans="1:12" ht="19.5" customHeight="1" x14ac:dyDescent="0.25">
      <c r="A69" s="86"/>
      <c r="B69" s="89"/>
      <c r="C69" s="101"/>
      <c r="D69" s="101"/>
      <c r="E69" s="101"/>
      <c r="F69" s="101"/>
      <c r="G69" s="71"/>
      <c r="H69" s="88" t="s">
        <v>368</v>
      </c>
      <c r="I69" s="102"/>
      <c r="J69" s="102"/>
      <c r="K69" s="102"/>
      <c r="L69" s="97">
        <f t="shared" ref="L69:L80" si="35">I69+J69</f>
        <v>0</v>
      </c>
    </row>
    <row r="70" spans="1:12" ht="19.5" customHeight="1" x14ac:dyDescent="0.25">
      <c r="A70" s="86"/>
      <c r="B70" s="89"/>
      <c r="C70" s="101"/>
      <c r="D70" s="101"/>
      <c r="E70" s="101"/>
      <c r="F70" s="101"/>
      <c r="G70" s="71"/>
      <c r="H70" s="71" t="s">
        <v>369</v>
      </c>
      <c r="I70" s="102"/>
      <c r="J70" s="102"/>
      <c r="K70" s="102"/>
      <c r="L70" s="97">
        <f t="shared" si="35"/>
        <v>0</v>
      </c>
    </row>
    <row r="71" spans="1:12" ht="19.5" customHeight="1" x14ac:dyDescent="0.25">
      <c r="A71" s="86"/>
      <c r="B71" s="89"/>
      <c r="C71" s="101"/>
      <c r="D71" s="101"/>
      <c r="E71" s="101"/>
      <c r="F71" s="101"/>
      <c r="G71" s="71"/>
      <c r="H71" s="71" t="s">
        <v>370</v>
      </c>
      <c r="I71" s="102"/>
      <c r="J71" s="102"/>
      <c r="K71" s="102"/>
      <c r="L71" s="97">
        <f t="shared" si="35"/>
        <v>0</v>
      </c>
    </row>
    <row r="72" spans="1:12" ht="19.5" customHeight="1" x14ac:dyDescent="0.25">
      <c r="A72" s="86"/>
      <c r="B72" s="89"/>
      <c r="C72" s="101"/>
      <c r="D72" s="101"/>
      <c r="E72" s="101"/>
      <c r="F72" s="101"/>
      <c r="G72" s="71"/>
      <c r="H72" s="71" t="s">
        <v>371</v>
      </c>
      <c r="I72" s="102"/>
      <c r="J72" s="102"/>
      <c r="K72" s="102"/>
      <c r="L72" s="97">
        <f t="shared" si="35"/>
        <v>0</v>
      </c>
    </row>
    <row r="73" spans="1:12" ht="19.5" customHeight="1" x14ac:dyDescent="0.25">
      <c r="A73" s="86"/>
      <c r="B73" s="89"/>
      <c r="C73" s="101"/>
      <c r="D73" s="101"/>
      <c r="E73" s="101"/>
      <c r="F73" s="101"/>
      <c r="G73" s="71"/>
      <c r="H73" s="71" t="s">
        <v>372</v>
      </c>
      <c r="I73" s="102"/>
      <c r="J73" s="102"/>
      <c r="K73" s="102"/>
      <c r="L73" s="97">
        <f t="shared" si="35"/>
        <v>0</v>
      </c>
    </row>
    <row r="74" spans="1:12" ht="19.5" customHeight="1" x14ac:dyDescent="0.25">
      <c r="A74" s="86"/>
      <c r="B74" s="87"/>
      <c r="C74" s="101"/>
      <c r="D74" s="101"/>
      <c r="E74" s="101"/>
      <c r="F74" s="101"/>
      <c r="G74" s="73" t="s">
        <v>100</v>
      </c>
      <c r="H74" s="83" t="s">
        <v>502</v>
      </c>
      <c r="I74" s="102">
        <f>SUM(I75:I80)</f>
        <v>0</v>
      </c>
      <c r="J74" s="102">
        <f t="shared" ref="J74:K74" si="36">SUM(J75:J80)</f>
        <v>0</v>
      </c>
      <c r="K74" s="102">
        <f t="shared" si="36"/>
        <v>0</v>
      </c>
      <c r="L74" s="97">
        <f t="shared" si="35"/>
        <v>0</v>
      </c>
    </row>
    <row r="75" spans="1:12" ht="21.75" customHeight="1" x14ac:dyDescent="0.25">
      <c r="A75" s="86"/>
      <c r="B75" s="89"/>
      <c r="C75" s="101"/>
      <c r="D75" s="101"/>
      <c r="E75" s="101"/>
      <c r="F75" s="101"/>
      <c r="G75" s="71"/>
      <c r="H75" s="71" t="s">
        <v>373</v>
      </c>
      <c r="I75" s="108" t="s">
        <v>253</v>
      </c>
      <c r="J75" s="108"/>
      <c r="K75" s="108"/>
      <c r="L75" s="97"/>
    </row>
    <row r="76" spans="1:12" ht="21.75" customHeight="1" x14ac:dyDescent="0.25">
      <c r="A76" s="86"/>
      <c r="B76" s="84"/>
      <c r="C76" s="101"/>
      <c r="D76" s="101"/>
      <c r="E76" s="101"/>
      <c r="F76" s="101"/>
      <c r="G76" s="71"/>
      <c r="H76" s="71" t="s">
        <v>374</v>
      </c>
      <c r="I76" s="102"/>
      <c r="J76" s="102"/>
      <c r="K76" s="102"/>
      <c r="L76" s="97">
        <f t="shared" si="35"/>
        <v>0</v>
      </c>
    </row>
    <row r="77" spans="1:12" ht="19.5" customHeight="1" x14ac:dyDescent="0.25">
      <c r="A77" s="86"/>
      <c r="B77" s="89"/>
      <c r="C77" s="101"/>
      <c r="D77" s="101"/>
      <c r="E77" s="101"/>
      <c r="F77" s="101"/>
      <c r="G77" s="71"/>
      <c r="H77" s="71" t="s">
        <v>375</v>
      </c>
      <c r="I77" s="102"/>
      <c r="J77" s="102"/>
      <c r="K77" s="102"/>
      <c r="L77" s="97">
        <f t="shared" si="35"/>
        <v>0</v>
      </c>
    </row>
    <row r="78" spans="1:12" ht="19.5" customHeight="1" x14ac:dyDescent="0.25">
      <c r="A78" s="86"/>
      <c r="B78" s="89"/>
      <c r="C78" s="101"/>
      <c r="D78" s="101"/>
      <c r="E78" s="101"/>
      <c r="F78" s="101"/>
      <c r="G78" s="71"/>
      <c r="H78" s="71" t="s">
        <v>376</v>
      </c>
      <c r="I78" s="102"/>
      <c r="J78" s="102"/>
      <c r="K78" s="102"/>
      <c r="L78" s="97">
        <f t="shared" si="35"/>
        <v>0</v>
      </c>
    </row>
    <row r="79" spans="1:12" ht="19.5" customHeight="1" x14ac:dyDescent="0.25">
      <c r="A79" s="86"/>
      <c r="B79" s="89"/>
      <c r="C79" s="101"/>
      <c r="D79" s="101"/>
      <c r="E79" s="101"/>
      <c r="F79" s="101"/>
      <c r="G79" s="71"/>
      <c r="H79" s="71" t="s">
        <v>1043</v>
      </c>
      <c r="I79" s="102"/>
      <c r="J79" s="102"/>
      <c r="K79" s="102"/>
      <c r="L79" s="97">
        <f t="shared" si="35"/>
        <v>0</v>
      </c>
    </row>
    <row r="80" spans="1:12" ht="20.25" customHeight="1" x14ac:dyDescent="0.25">
      <c r="A80" s="86"/>
      <c r="B80" s="89"/>
      <c r="C80" s="101"/>
      <c r="D80" s="101"/>
      <c r="E80" s="101"/>
      <c r="F80" s="101"/>
      <c r="G80" s="71"/>
      <c r="H80" s="71" t="s">
        <v>1053</v>
      </c>
      <c r="I80" s="102"/>
      <c r="J80" s="102"/>
      <c r="K80" s="102"/>
      <c r="L80" s="97">
        <f t="shared" si="35"/>
        <v>0</v>
      </c>
    </row>
    <row r="81" spans="1:12" ht="20.25" customHeight="1" x14ac:dyDescent="0.25">
      <c r="A81" s="693"/>
      <c r="B81" s="690" t="s">
        <v>192</v>
      </c>
      <c r="C81" s="691">
        <f>C82+C88+C94</f>
        <v>0</v>
      </c>
      <c r="D81" s="691">
        <f t="shared" ref="D81:F81" si="37">D82+D88+D94</f>
        <v>0</v>
      </c>
      <c r="E81" s="691">
        <f t="shared" ref="E81" si="38">E82+E88+E94</f>
        <v>0</v>
      </c>
      <c r="F81" s="691">
        <f t="shared" si="37"/>
        <v>0</v>
      </c>
      <c r="G81" s="689"/>
      <c r="H81" s="690" t="s">
        <v>200</v>
      </c>
      <c r="I81" s="691">
        <f>I82+I90+I95</f>
        <v>370.5</v>
      </c>
      <c r="J81" s="691">
        <f t="shared" ref="J81:L81" si="39">J82+J90+J95</f>
        <v>0</v>
      </c>
      <c r="K81" s="691">
        <f t="shared" ref="K81" si="40">K82+K90+K95</f>
        <v>0</v>
      </c>
      <c r="L81" s="691">
        <f t="shared" si="39"/>
        <v>370.5</v>
      </c>
    </row>
    <row r="82" spans="1:12" ht="20.25" customHeight="1" x14ac:dyDescent="0.25">
      <c r="A82" s="86" t="s">
        <v>100</v>
      </c>
      <c r="B82" s="91" t="s">
        <v>417</v>
      </c>
      <c r="C82" s="113">
        <f>SUM(C83:C87)</f>
        <v>0</v>
      </c>
      <c r="D82" s="113">
        <f t="shared" ref="D82:F82" si="41">SUM(D83:D87)</f>
        <v>0</v>
      </c>
      <c r="E82" s="113">
        <f t="shared" ref="E82" si="42">SUM(E83:E87)</f>
        <v>0</v>
      </c>
      <c r="F82" s="113">
        <f t="shared" si="41"/>
        <v>0</v>
      </c>
      <c r="G82" s="86" t="s">
        <v>181</v>
      </c>
      <c r="H82" s="91" t="s">
        <v>380</v>
      </c>
      <c r="I82" s="106">
        <f>SUM(I83:I89)</f>
        <v>370.5</v>
      </c>
      <c r="J82" s="106">
        <f t="shared" ref="J82:L82" si="43">SUM(J83:J89)</f>
        <v>0</v>
      </c>
      <c r="K82" s="106">
        <f t="shared" ref="K82" si="44">SUM(K83:K89)</f>
        <v>0</v>
      </c>
      <c r="L82" s="106">
        <f t="shared" si="43"/>
        <v>370.5</v>
      </c>
    </row>
    <row r="83" spans="1:12" ht="20.25" customHeight="1" x14ac:dyDescent="0.25">
      <c r="A83" s="86"/>
      <c r="B83" s="84" t="s">
        <v>418</v>
      </c>
      <c r="C83" s="103"/>
      <c r="D83" s="103"/>
      <c r="E83" s="103"/>
      <c r="F83" s="103"/>
      <c r="G83" s="86"/>
      <c r="H83" s="92" t="s">
        <v>378</v>
      </c>
      <c r="I83" s="97"/>
      <c r="J83" s="97"/>
      <c r="K83" s="97"/>
      <c r="L83" s="97">
        <f t="shared" ref="L83:L89" si="45">I83+J83</f>
        <v>0</v>
      </c>
    </row>
    <row r="84" spans="1:12" ht="29.25" customHeight="1" x14ac:dyDescent="0.25">
      <c r="A84" s="86"/>
      <c r="B84" s="84" t="s">
        <v>419</v>
      </c>
      <c r="C84" s="103"/>
      <c r="D84" s="103"/>
      <c r="E84" s="103"/>
      <c r="F84" s="103"/>
      <c r="G84" s="86"/>
      <c r="H84" s="92" t="s">
        <v>379</v>
      </c>
      <c r="I84" s="97"/>
      <c r="J84" s="97"/>
      <c r="K84" s="97"/>
      <c r="L84" s="97">
        <f t="shared" si="45"/>
        <v>0</v>
      </c>
    </row>
    <row r="85" spans="1:12" ht="29.25" customHeight="1" x14ac:dyDescent="0.25">
      <c r="A85" s="86"/>
      <c r="B85" s="84" t="s">
        <v>420</v>
      </c>
      <c r="C85" s="103"/>
      <c r="D85" s="103"/>
      <c r="E85" s="103"/>
      <c r="F85" s="103"/>
      <c r="G85" s="71"/>
      <c r="H85" s="71" t="s">
        <v>861</v>
      </c>
      <c r="I85" s="100">
        <v>150</v>
      </c>
      <c r="J85" s="100"/>
      <c r="K85" s="100"/>
      <c r="L85" s="97">
        <f t="shared" si="45"/>
        <v>150</v>
      </c>
    </row>
    <row r="86" spans="1:12" ht="29.25" customHeight="1" x14ac:dyDescent="0.25">
      <c r="A86" s="86"/>
      <c r="B86" s="84" t="s">
        <v>421</v>
      </c>
      <c r="C86" s="103"/>
      <c r="D86" s="103"/>
      <c r="E86" s="103"/>
      <c r="F86" s="103"/>
      <c r="G86" s="71"/>
      <c r="H86" s="71" t="s">
        <v>860</v>
      </c>
      <c r="I86" s="109">
        <f>(60+120)/127%</f>
        <v>141.73228346456693</v>
      </c>
      <c r="J86" s="109"/>
      <c r="K86" s="109"/>
      <c r="L86" s="97">
        <f t="shared" si="45"/>
        <v>141.73228346456693</v>
      </c>
    </row>
    <row r="87" spans="1:12" ht="21" customHeight="1" x14ac:dyDescent="0.25">
      <c r="A87" s="86"/>
      <c r="B87" s="84" t="s">
        <v>422</v>
      </c>
      <c r="C87" s="103"/>
      <c r="D87" s="103"/>
      <c r="E87" s="103"/>
      <c r="F87" s="103"/>
      <c r="G87" s="71"/>
      <c r="H87" s="71" t="s">
        <v>383</v>
      </c>
      <c r="I87" s="100"/>
      <c r="J87" s="100"/>
      <c r="K87" s="100"/>
      <c r="L87" s="97">
        <f t="shared" si="45"/>
        <v>0</v>
      </c>
    </row>
    <row r="88" spans="1:12" ht="20.25" customHeight="1" x14ac:dyDescent="0.25">
      <c r="A88" s="86" t="s">
        <v>181</v>
      </c>
      <c r="B88" s="93" t="s">
        <v>423</v>
      </c>
      <c r="C88" s="113">
        <f>SUM(C89:C93)</f>
        <v>0</v>
      </c>
      <c r="D88" s="113">
        <f t="shared" ref="D88:F88" si="46">SUM(D89:D93)</f>
        <v>0</v>
      </c>
      <c r="E88" s="113">
        <f t="shared" ref="E88" si="47">SUM(E89:E93)</f>
        <v>0</v>
      </c>
      <c r="F88" s="113">
        <f t="shared" si="46"/>
        <v>0</v>
      </c>
      <c r="G88" s="71"/>
      <c r="H88" s="71" t="s">
        <v>384</v>
      </c>
      <c r="I88" s="100"/>
      <c r="J88" s="100"/>
      <c r="K88" s="100"/>
      <c r="L88" s="97">
        <f t="shared" si="45"/>
        <v>0</v>
      </c>
    </row>
    <row r="89" spans="1:12" ht="20.25" customHeight="1" x14ac:dyDescent="0.25">
      <c r="A89" s="86"/>
      <c r="B89" s="89" t="s">
        <v>424</v>
      </c>
      <c r="C89" s="103"/>
      <c r="D89" s="103"/>
      <c r="E89" s="103"/>
      <c r="F89" s="103"/>
      <c r="G89" s="71"/>
      <c r="H89" s="71" t="s">
        <v>385</v>
      </c>
      <c r="I89" s="100">
        <f>(I85+I86)*0.27</f>
        <v>78.767716535433081</v>
      </c>
      <c r="J89" s="100">
        <f t="shared" ref="J89:K89" si="48">(J85+J86)*0.27</f>
        <v>0</v>
      </c>
      <c r="K89" s="100">
        <f t="shared" si="48"/>
        <v>0</v>
      </c>
      <c r="L89" s="97">
        <f t="shared" si="45"/>
        <v>78.767716535433081</v>
      </c>
    </row>
    <row r="90" spans="1:12" ht="20.25" customHeight="1" x14ac:dyDescent="0.25">
      <c r="A90" s="86"/>
      <c r="B90" s="89" t="s">
        <v>425</v>
      </c>
      <c r="C90" s="103"/>
      <c r="D90" s="103"/>
      <c r="E90" s="103"/>
      <c r="F90" s="103"/>
      <c r="G90" s="74" t="s">
        <v>191</v>
      </c>
      <c r="H90" s="74" t="s">
        <v>386</v>
      </c>
      <c r="I90" s="114">
        <f>SUM(I91:I94)</f>
        <v>0</v>
      </c>
      <c r="J90" s="114">
        <f t="shared" ref="J90:L90" si="49">SUM(J91:J94)</f>
        <v>0</v>
      </c>
      <c r="K90" s="114">
        <f t="shared" ref="K90" si="50">SUM(K91:K94)</f>
        <v>0</v>
      </c>
      <c r="L90" s="114">
        <f t="shared" si="49"/>
        <v>0</v>
      </c>
    </row>
    <row r="91" spans="1:12" ht="20.25" customHeight="1" x14ac:dyDescent="0.25">
      <c r="A91" s="86"/>
      <c r="B91" s="89" t="s">
        <v>426</v>
      </c>
      <c r="C91" s="103"/>
      <c r="D91" s="103"/>
      <c r="E91" s="103"/>
      <c r="F91" s="103"/>
      <c r="G91" s="71"/>
      <c r="H91" s="71" t="s">
        <v>387</v>
      </c>
      <c r="I91" s="100"/>
      <c r="J91" s="100"/>
      <c r="K91" s="100"/>
      <c r="L91" s="100"/>
    </row>
    <row r="92" spans="1:12" ht="20.25" customHeight="1" x14ac:dyDescent="0.25">
      <c r="A92" s="86"/>
      <c r="B92" s="89" t="s">
        <v>427</v>
      </c>
      <c r="C92" s="103"/>
      <c r="D92" s="103"/>
      <c r="E92" s="103"/>
      <c r="F92" s="103"/>
      <c r="G92" s="71"/>
      <c r="H92" s="71" t="s">
        <v>388</v>
      </c>
      <c r="I92" s="100"/>
      <c r="J92" s="100"/>
      <c r="K92" s="100"/>
      <c r="L92" s="100"/>
    </row>
    <row r="93" spans="1:12" ht="20.25" customHeight="1" x14ac:dyDescent="0.25">
      <c r="A93" s="86"/>
      <c r="B93" s="89" t="s">
        <v>428</v>
      </c>
      <c r="C93" s="103"/>
      <c r="D93" s="103"/>
      <c r="E93" s="103"/>
      <c r="F93" s="103"/>
      <c r="G93" s="71"/>
      <c r="H93" s="71" t="s">
        <v>389</v>
      </c>
      <c r="I93" s="100"/>
      <c r="J93" s="100"/>
      <c r="K93" s="100"/>
      <c r="L93" s="100"/>
    </row>
    <row r="94" spans="1:12" ht="20.25" customHeight="1" x14ac:dyDescent="0.25">
      <c r="A94" s="86" t="s">
        <v>191</v>
      </c>
      <c r="B94" s="87" t="s">
        <v>429</v>
      </c>
      <c r="C94" s="113">
        <f>C95+C96+C97</f>
        <v>0</v>
      </c>
      <c r="D94" s="113">
        <f t="shared" ref="D94:F94" si="51">D95+D96+D97</f>
        <v>0</v>
      </c>
      <c r="E94" s="113">
        <f t="shared" ref="E94" si="52">E95+E96+E97</f>
        <v>0</v>
      </c>
      <c r="F94" s="113">
        <f t="shared" si="51"/>
        <v>0</v>
      </c>
      <c r="G94" s="71"/>
      <c r="H94" s="71" t="s">
        <v>390</v>
      </c>
      <c r="I94" s="100"/>
      <c r="J94" s="100"/>
      <c r="K94" s="100"/>
      <c r="L94" s="100"/>
    </row>
    <row r="95" spans="1:12" ht="29.25" customHeight="1" x14ac:dyDescent="0.25">
      <c r="A95" s="86"/>
      <c r="B95" s="89" t="s">
        <v>430</v>
      </c>
      <c r="C95" s="103"/>
      <c r="D95" s="103"/>
      <c r="E95" s="103"/>
      <c r="F95" s="103"/>
      <c r="G95" s="74" t="s">
        <v>199</v>
      </c>
      <c r="H95" s="74" t="s">
        <v>391</v>
      </c>
      <c r="I95" s="114">
        <f>I96+I97</f>
        <v>0</v>
      </c>
      <c r="J95" s="114">
        <f t="shared" ref="J95:L95" si="53">J96+J97</f>
        <v>0</v>
      </c>
      <c r="K95" s="114">
        <f t="shared" ref="K95" si="54">K96+K97</f>
        <v>0</v>
      </c>
      <c r="L95" s="114">
        <f t="shared" si="53"/>
        <v>0</v>
      </c>
    </row>
    <row r="96" spans="1:12" ht="29.25" customHeight="1" x14ac:dyDescent="0.25">
      <c r="A96" s="86"/>
      <c r="B96" s="84" t="s">
        <v>1050</v>
      </c>
      <c r="C96" s="103"/>
      <c r="D96" s="103"/>
      <c r="E96" s="103"/>
      <c r="F96" s="103"/>
      <c r="G96" s="71"/>
      <c r="H96" s="71" t="s">
        <v>393</v>
      </c>
      <c r="I96" s="100"/>
      <c r="J96" s="100"/>
      <c r="K96" s="100"/>
      <c r="L96" s="100"/>
    </row>
    <row r="97" spans="1:12" ht="21" customHeight="1" x14ac:dyDescent="0.25">
      <c r="A97" s="86"/>
      <c r="B97" s="89"/>
      <c r="C97" s="103"/>
      <c r="D97" s="103"/>
      <c r="E97" s="103"/>
      <c r="F97" s="103"/>
      <c r="G97" s="71"/>
      <c r="H97" s="71" t="s">
        <v>392</v>
      </c>
      <c r="I97" s="100"/>
      <c r="J97" s="100"/>
      <c r="K97" s="100"/>
      <c r="L97" s="100"/>
    </row>
    <row r="98" spans="1:12" ht="20.25" customHeight="1" x14ac:dyDescent="0.25">
      <c r="A98" s="693"/>
      <c r="B98" s="690" t="s">
        <v>433</v>
      </c>
      <c r="C98" s="691">
        <f>C108+C119</f>
        <v>16761</v>
      </c>
      <c r="D98" s="691">
        <f t="shared" ref="D98:F98" si="55">D108+D119</f>
        <v>0</v>
      </c>
      <c r="E98" s="691">
        <f t="shared" ref="E98" si="56">E108+E119</f>
        <v>0</v>
      </c>
      <c r="F98" s="691">
        <f t="shared" si="55"/>
        <v>16761</v>
      </c>
      <c r="G98" s="689"/>
      <c r="H98" s="690" t="s">
        <v>397</v>
      </c>
      <c r="I98" s="691">
        <f>I107+I118</f>
        <v>0</v>
      </c>
      <c r="J98" s="691">
        <f t="shared" ref="J98:L98" si="57">J107+J118</f>
        <v>0</v>
      </c>
      <c r="K98" s="691">
        <f t="shared" ref="K98" si="58">K107+K118</f>
        <v>0</v>
      </c>
      <c r="L98" s="691">
        <f t="shared" si="57"/>
        <v>0</v>
      </c>
    </row>
    <row r="99" spans="1:12" ht="21" customHeight="1" x14ac:dyDescent="0.25">
      <c r="A99" s="75"/>
      <c r="B99" s="94" t="s">
        <v>434</v>
      </c>
      <c r="C99" s="103"/>
      <c r="D99" s="103"/>
      <c r="E99" s="103"/>
      <c r="F99" s="103"/>
      <c r="G99" s="75"/>
      <c r="H99" s="94" t="s">
        <v>394</v>
      </c>
      <c r="I99" s="103"/>
      <c r="J99" s="103"/>
      <c r="K99" s="103"/>
      <c r="L99" s="103"/>
    </row>
    <row r="100" spans="1:12" ht="20.25" customHeight="1" x14ac:dyDescent="0.25">
      <c r="A100" s="75"/>
      <c r="B100" s="94" t="s">
        <v>435</v>
      </c>
      <c r="C100" s="103"/>
      <c r="D100" s="103"/>
      <c r="E100" s="103"/>
      <c r="F100" s="103"/>
      <c r="G100" s="75"/>
      <c r="H100" s="94" t="s">
        <v>395</v>
      </c>
      <c r="I100" s="103"/>
      <c r="J100" s="103"/>
      <c r="K100" s="103"/>
      <c r="L100" s="103"/>
    </row>
    <row r="101" spans="1:12" ht="20.25" customHeight="1" x14ac:dyDescent="0.25">
      <c r="A101" s="75"/>
      <c r="B101" s="94" t="s">
        <v>436</v>
      </c>
      <c r="C101" s="103"/>
      <c r="D101" s="103"/>
      <c r="E101" s="103"/>
      <c r="F101" s="103"/>
      <c r="G101" s="75"/>
      <c r="H101" s="94" t="s">
        <v>396</v>
      </c>
      <c r="I101" s="103"/>
      <c r="J101" s="103"/>
      <c r="K101" s="103"/>
      <c r="L101" s="103"/>
    </row>
    <row r="102" spans="1:12" ht="20.25" customHeight="1" x14ac:dyDescent="0.25">
      <c r="A102" s="75"/>
      <c r="B102" s="95" t="s">
        <v>437</v>
      </c>
      <c r="C102" s="103">
        <f>C99+C100+C101</f>
        <v>0</v>
      </c>
      <c r="D102" s="103">
        <f t="shared" ref="D102:F102" si="59">D99+D100+D101</f>
        <v>0</v>
      </c>
      <c r="E102" s="103">
        <f t="shared" ref="E102" si="60">E99+E100+E101</f>
        <v>0</v>
      </c>
      <c r="F102" s="103">
        <f t="shared" si="59"/>
        <v>0</v>
      </c>
      <c r="G102" s="75"/>
      <c r="H102" s="95" t="s">
        <v>398</v>
      </c>
      <c r="I102" s="103">
        <f>I99+I100+I101</f>
        <v>0</v>
      </c>
      <c r="J102" s="103">
        <f t="shared" ref="J102:L102" si="61">J99+J100+J101</f>
        <v>0</v>
      </c>
      <c r="K102" s="103">
        <f t="shared" ref="K102" si="62">K99+K100+K101</f>
        <v>0</v>
      </c>
      <c r="L102" s="103">
        <f t="shared" si="61"/>
        <v>0</v>
      </c>
    </row>
    <row r="103" spans="1:12" ht="20.25" customHeight="1" x14ac:dyDescent="0.25">
      <c r="A103" s="75"/>
      <c r="B103" s="69" t="s">
        <v>438</v>
      </c>
      <c r="C103" s="103"/>
      <c r="D103" s="103"/>
      <c r="E103" s="103"/>
      <c r="F103" s="103"/>
      <c r="G103" s="75"/>
      <c r="H103" s="94" t="s">
        <v>399</v>
      </c>
      <c r="I103" s="103"/>
      <c r="J103" s="103"/>
      <c r="K103" s="103"/>
      <c r="L103" s="103"/>
    </row>
    <row r="104" spans="1:12" ht="20.25" customHeight="1" x14ac:dyDescent="0.25">
      <c r="A104" s="75"/>
      <c r="B104" s="69" t="s">
        <v>439</v>
      </c>
      <c r="C104" s="103"/>
      <c r="D104" s="103"/>
      <c r="E104" s="103"/>
      <c r="F104" s="103"/>
      <c r="G104" s="75"/>
      <c r="H104" s="94" t="s">
        <v>400</v>
      </c>
      <c r="I104" s="103"/>
      <c r="J104" s="103"/>
      <c r="K104" s="103"/>
      <c r="L104" s="103"/>
    </row>
    <row r="105" spans="1:12" ht="20.25" customHeight="1" x14ac:dyDescent="0.25">
      <c r="A105" s="75"/>
      <c r="B105" s="70" t="s">
        <v>440</v>
      </c>
      <c r="C105" s="103">
        <f>C103+C104</f>
        <v>0</v>
      </c>
      <c r="D105" s="103">
        <f t="shared" ref="D105:F105" si="63">D103+D104</f>
        <v>0</v>
      </c>
      <c r="E105" s="103">
        <f t="shared" ref="E105" si="64">E103+E104</f>
        <v>0</v>
      </c>
      <c r="F105" s="103">
        <f t="shared" si="63"/>
        <v>0</v>
      </c>
      <c r="G105" s="75"/>
      <c r="H105" s="95" t="s">
        <v>401</v>
      </c>
      <c r="I105" s="103">
        <f>I103+I104</f>
        <v>0</v>
      </c>
      <c r="J105" s="103">
        <f t="shared" ref="J105:L105" si="65">J103+J104</f>
        <v>0</v>
      </c>
      <c r="K105" s="103">
        <f t="shared" ref="K105" si="66">K103+K104</f>
        <v>0</v>
      </c>
      <c r="L105" s="103">
        <f t="shared" si="65"/>
        <v>0</v>
      </c>
    </row>
    <row r="106" spans="1:12" ht="20.25" customHeight="1" x14ac:dyDescent="0.25">
      <c r="A106" s="75"/>
      <c r="B106" s="70" t="s">
        <v>441</v>
      </c>
      <c r="C106" s="103">
        <v>8</v>
      </c>
      <c r="D106" s="103"/>
      <c r="E106" s="103">
        <v>270</v>
      </c>
      <c r="F106" s="103">
        <f>C106+D106+E106</f>
        <v>278</v>
      </c>
      <c r="G106" s="75"/>
      <c r="H106" s="95" t="s">
        <v>402</v>
      </c>
      <c r="I106" s="103"/>
      <c r="J106" s="103"/>
      <c r="K106" s="103"/>
      <c r="L106" s="103"/>
    </row>
    <row r="107" spans="1:12" ht="20.25" customHeight="1" x14ac:dyDescent="0.25">
      <c r="A107" s="75"/>
      <c r="B107" s="70" t="s">
        <v>442</v>
      </c>
      <c r="C107" s="103">
        <v>16382</v>
      </c>
      <c r="D107" s="103"/>
      <c r="E107" s="103">
        <v>-270</v>
      </c>
      <c r="F107" s="103">
        <f>C107+D107+E107</f>
        <v>16112</v>
      </c>
      <c r="G107" s="75"/>
      <c r="H107" s="75" t="s">
        <v>403</v>
      </c>
      <c r="I107" s="113">
        <f>I102+I105+I106</f>
        <v>0</v>
      </c>
      <c r="J107" s="113">
        <f t="shared" ref="J107:L107" si="67">J102+J105+J106</f>
        <v>0</v>
      </c>
      <c r="K107" s="113">
        <f t="shared" ref="K107" si="68">K102+K105+K106</f>
        <v>0</v>
      </c>
      <c r="L107" s="113">
        <f t="shared" si="67"/>
        <v>0</v>
      </c>
    </row>
    <row r="108" spans="1:12" ht="20.25" customHeight="1" x14ac:dyDescent="0.25">
      <c r="A108" s="75"/>
      <c r="B108" s="80" t="s">
        <v>443</v>
      </c>
      <c r="C108" s="113">
        <f>C102+C105+C106+C107</f>
        <v>16390</v>
      </c>
      <c r="D108" s="113">
        <f t="shared" ref="D108:F108" si="69">D102+D105+D106+D107</f>
        <v>0</v>
      </c>
      <c r="E108" s="113">
        <f t="shared" ref="E108" si="70">E102+E105+E106+E107</f>
        <v>0</v>
      </c>
      <c r="F108" s="113">
        <f t="shared" si="69"/>
        <v>16390</v>
      </c>
      <c r="G108" s="75"/>
      <c r="H108" s="95"/>
      <c r="I108" s="103"/>
      <c r="J108" s="103"/>
      <c r="K108" s="103"/>
      <c r="L108" s="103"/>
    </row>
    <row r="109" spans="1:12" ht="20.25" customHeight="1" x14ac:dyDescent="0.25">
      <c r="A109" s="90"/>
      <c r="B109" s="79"/>
      <c r="C109" s="104"/>
      <c r="D109" s="104"/>
      <c r="E109" s="104"/>
      <c r="F109" s="104"/>
      <c r="G109" s="90"/>
      <c r="H109" s="90"/>
      <c r="I109" s="104"/>
      <c r="J109" s="104"/>
      <c r="K109" s="104"/>
      <c r="L109" s="104"/>
    </row>
    <row r="110" spans="1:12" ht="20.25" customHeight="1" x14ac:dyDescent="0.25">
      <c r="A110" s="75"/>
      <c r="B110" s="94" t="s">
        <v>434</v>
      </c>
      <c r="C110" s="103"/>
      <c r="D110" s="103"/>
      <c r="E110" s="103"/>
      <c r="F110" s="103"/>
      <c r="G110" s="75"/>
      <c r="H110" s="94" t="s">
        <v>394</v>
      </c>
      <c r="I110" s="103"/>
      <c r="J110" s="103"/>
      <c r="K110" s="103"/>
      <c r="L110" s="103"/>
    </row>
    <row r="111" spans="1:12" ht="20.25" customHeight="1" x14ac:dyDescent="0.25">
      <c r="A111" s="75"/>
      <c r="B111" s="94" t="s">
        <v>435</v>
      </c>
      <c r="C111" s="103"/>
      <c r="D111" s="103"/>
      <c r="E111" s="103"/>
      <c r="F111" s="103"/>
      <c r="G111" s="75"/>
      <c r="H111" s="94" t="s">
        <v>395</v>
      </c>
      <c r="I111" s="103"/>
      <c r="J111" s="103"/>
      <c r="K111" s="103"/>
      <c r="L111" s="103"/>
    </row>
    <row r="112" spans="1:12" ht="20.25" customHeight="1" x14ac:dyDescent="0.25">
      <c r="A112" s="75"/>
      <c r="B112" s="94" t="s">
        <v>436</v>
      </c>
      <c r="C112" s="103"/>
      <c r="D112" s="103"/>
      <c r="E112" s="103"/>
      <c r="F112" s="103"/>
      <c r="G112" s="75"/>
      <c r="H112" s="94" t="s">
        <v>396</v>
      </c>
      <c r="I112" s="103"/>
      <c r="J112" s="103"/>
      <c r="K112" s="103"/>
      <c r="L112" s="103"/>
    </row>
    <row r="113" spans="1:12" ht="20.25" customHeight="1" x14ac:dyDescent="0.25">
      <c r="A113" s="75"/>
      <c r="B113" s="95" t="s">
        <v>437</v>
      </c>
      <c r="C113" s="103">
        <f>C110+C111+C112</f>
        <v>0</v>
      </c>
      <c r="D113" s="103">
        <f t="shared" ref="D113:F113" si="71">D110+D111+D112</f>
        <v>0</v>
      </c>
      <c r="E113" s="103">
        <f t="shared" ref="E113" si="72">E110+E111+E112</f>
        <v>0</v>
      </c>
      <c r="F113" s="103">
        <f t="shared" si="71"/>
        <v>0</v>
      </c>
      <c r="G113" s="75"/>
      <c r="H113" s="95" t="s">
        <v>398</v>
      </c>
      <c r="I113" s="103">
        <f>I110+I111+I112</f>
        <v>0</v>
      </c>
      <c r="J113" s="103">
        <f t="shared" ref="J113:L113" si="73">J110+J111+J112</f>
        <v>0</v>
      </c>
      <c r="K113" s="103">
        <f t="shared" ref="K113" si="74">K110+K111+K112</f>
        <v>0</v>
      </c>
      <c r="L113" s="103">
        <f t="shared" si="73"/>
        <v>0</v>
      </c>
    </row>
    <row r="114" spans="1:12" ht="20.25" customHeight="1" x14ac:dyDescent="0.25">
      <c r="A114" s="75"/>
      <c r="B114" s="69" t="s">
        <v>438</v>
      </c>
      <c r="C114" s="103"/>
      <c r="D114" s="103"/>
      <c r="E114" s="103"/>
      <c r="F114" s="103"/>
      <c r="G114" s="75"/>
      <c r="H114" s="94" t="s">
        <v>399</v>
      </c>
      <c r="I114" s="103"/>
      <c r="J114" s="103"/>
      <c r="K114" s="103"/>
      <c r="L114" s="103"/>
    </row>
    <row r="115" spans="1:12" ht="20.25" customHeight="1" x14ac:dyDescent="0.25">
      <c r="A115" s="75"/>
      <c r="B115" s="69" t="s">
        <v>439</v>
      </c>
      <c r="C115" s="103"/>
      <c r="D115" s="103"/>
      <c r="E115" s="103"/>
      <c r="F115" s="103"/>
      <c r="G115" s="75"/>
      <c r="H115" s="94" t="s">
        <v>400</v>
      </c>
      <c r="I115" s="103"/>
      <c r="J115" s="103"/>
      <c r="K115" s="103"/>
      <c r="L115" s="103"/>
    </row>
    <row r="116" spans="1:12" ht="20.25" customHeight="1" x14ac:dyDescent="0.25">
      <c r="A116" s="75"/>
      <c r="B116" s="70" t="s">
        <v>440</v>
      </c>
      <c r="C116" s="103">
        <f>C114+C115</f>
        <v>0</v>
      </c>
      <c r="D116" s="103">
        <f t="shared" ref="D116:F116" si="75">D114+D115</f>
        <v>0</v>
      </c>
      <c r="E116" s="103">
        <f t="shared" ref="E116" si="76">E114+E115</f>
        <v>0</v>
      </c>
      <c r="F116" s="103">
        <f t="shared" si="75"/>
        <v>0</v>
      </c>
      <c r="G116" s="75"/>
      <c r="H116" s="95" t="s">
        <v>401</v>
      </c>
      <c r="I116" s="103">
        <f>I114+I115</f>
        <v>0</v>
      </c>
      <c r="J116" s="103">
        <f t="shared" ref="J116:L116" si="77">J114+J115</f>
        <v>0</v>
      </c>
      <c r="K116" s="103">
        <f t="shared" ref="K116" si="78">K114+K115</f>
        <v>0</v>
      </c>
      <c r="L116" s="103">
        <f t="shared" si="77"/>
        <v>0</v>
      </c>
    </row>
    <row r="117" spans="1:12" ht="20.25" customHeight="1" x14ac:dyDescent="0.25">
      <c r="A117" s="75"/>
      <c r="B117" s="70" t="s">
        <v>444</v>
      </c>
      <c r="C117" s="103"/>
      <c r="D117" s="103"/>
      <c r="E117" s="103"/>
      <c r="F117" s="103"/>
      <c r="G117" s="75"/>
      <c r="H117" s="95" t="s">
        <v>402</v>
      </c>
      <c r="I117" s="103"/>
      <c r="J117" s="103"/>
      <c r="K117" s="103"/>
      <c r="L117" s="103"/>
    </row>
    <row r="118" spans="1:12" ht="20.25" customHeight="1" x14ac:dyDescent="0.25">
      <c r="A118" s="75"/>
      <c r="B118" s="70" t="s">
        <v>442</v>
      </c>
      <c r="C118" s="109">
        <v>371</v>
      </c>
      <c r="D118" s="109"/>
      <c r="E118" s="109"/>
      <c r="F118" s="103">
        <f>C118+D118</f>
        <v>371</v>
      </c>
      <c r="G118" s="75"/>
      <c r="H118" s="75" t="s">
        <v>404</v>
      </c>
      <c r="I118" s="113">
        <f>I113+I116+I117</f>
        <v>0</v>
      </c>
      <c r="J118" s="113">
        <f t="shared" ref="J118:L118" si="79">J113+J116+J117</f>
        <v>0</v>
      </c>
      <c r="K118" s="113">
        <f t="shared" ref="K118" si="80">K113+K116+K117</f>
        <v>0</v>
      </c>
      <c r="L118" s="113">
        <f t="shared" si="79"/>
        <v>0</v>
      </c>
    </row>
    <row r="119" spans="1:12" ht="20.25" customHeight="1" x14ac:dyDescent="0.25">
      <c r="A119" s="110"/>
      <c r="B119" s="80" t="s">
        <v>445</v>
      </c>
      <c r="C119" s="113">
        <f>C113+C116+C117+C118</f>
        <v>371</v>
      </c>
      <c r="D119" s="113">
        <f t="shared" ref="D119:F119" si="81">D113+D116+D117+D118</f>
        <v>0</v>
      </c>
      <c r="E119" s="113">
        <f t="shared" ref="E119" si="82">E113+E116+E117+E118</f>
        <v>0</v>
      </c>
      <c r="F119" s="113">
        <f t="shared" si="81"/>
        <v>371</v>
      </c>
      <c r="G119" s="110"/>
      <c r="H119" s="95"/>
      <c r="I119" s="103"/>
      <c r="J119" s="103"/>
      <c r="K119" s="103"/>
      <c r="L119" s="103"/>
    </row>
    <row r="120" spans="1:12" ht="20.25" customHeight="1" x14ac:dyDescent="0.25">
      <c r="A120" s="740" t="s">
        <v>143</v>
      </c>
      <c r="B120" s="741"/>
      <c r="C120" s="428">
        <f>C2+C81+C98</f>
        <v>19911</v>
      </c>
      <c r="D120" s="428">
        <f t="shared" ref="D120:F120" si="83">D2+D81+D98</f>
        <v>0</v>
      </c>
      <c r="E120" s="428">
        <f t="shared" ref="E120" si="84">E2+E81+E98</f>
        <v>0</v>
      </c>
      <c r="F120" s="428">
        <f t="shared" si="83"/>
        <v>19911</v>
      </c>
      <c r="G120" s="740" t="s">
        <v>144</v>
      </c>
      <c r="H120" s="741"/>
      <c r="I120" s="428">
        <f>I2+I81+I98</f>
        <v>19910.952487999999</v>
      </c>
      <c r="J120" s="428">
        <f t="shared" ref="J120:L120" si="85">J2+J81+J98</f>
        <v>0</v>
      </c>
      <c r="K120" s="428">
        <f t="shared" ref="K120" si="86">K2+K81+K98</f>
        <v>0</v>
      </c>
      <c r="L120" s="428">
        <f t="shared" si="85"/>
        <v>19910.952487999999</v>
      </c>
    </row>
    <row r="122" spans="1:12" x14ac:dyDescent="0.25">
      <c r="I122" s="429"/>
      <c r="J122" s="429"/>
      <c r="K122" s="429"/>
      <c r="L122" s="429"/>
    </row>
    <row r="123" spans="1:12" x14ac:dyDescent="0.25">
      <c r="I123" s="429"/>
      <c r="J123" s="429"/>
      <c r="K123" s="429"/>
      <c r="L123" s="429"/>
    </row>
    <row r="124" spans="1:12" x14ac:dyDescent="0.25">
      <c r="I124" s="429"/>
      <c r="J124" s="429"/>
      <c r="K124" s="429"/>
      <c r="L124" s="429"/>
    </row>
    <row r="125" spans="1:12" x14ac:dyDescent="0.25">
      <c r="I125" s="429"/>
      <c r="J125" s="429"/>
      <c r="K125" s="429"/>
      <c r="L125" s="429"/>
    </row>
    <row r="126" spans="1:12" x14ac:dyDescent="0.25">
      <c r="I126" s="429"/>
      <c r="J126" s="429"/>
      <c r="K126" s="429"/>
      <c r="L126" s="429"/>
    </row>
    <row r="127" spans="1:12" x14ac:dyDescent="0.25">
      <c r="I127" s="429"/>
      <c r="J127" s="429"/>
      <c r="K127" s="429"/>
      <c r="L127" s="429"/>
    </row>
    <row r="128" spans="1:12" x14ac:dyDescent="0.25">
      <c r="I128" s="429"/>
      <c r="J128" s="429"/>
      <c r="K128" s="429"/>
      <c r="L128" s="429"/>
    </row>
  </sheetData>
  <mergeCells count="2">
    <mergeCell ref="A120:B120"/>
    <mergeCell ref="G120:H1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Header>&amp;CTaksony Nagyközség Önkormányzat 2016. évi költségvetés 
2. sz. módosítás&amp;R4.a.sz. melléklet</oddHeader>
    <oddFooter xml:space="preserve">&amp;LKészült: &amp;D
&amp;R/:Kreisz László://:Dr.Micheller Anita:/       </oddFooter>
  </headerFooter>
  <rowBreaks count="1" manualBreakCount="1">
    <brk id="66" max="9" man="1"/>
  </rowBreaks>
  <colBreaks count="1" manualBreakCount="1">
    <brk id="6" max="119" man="1"/>
  </colBreaks>
  <ignoredErrors>
    <ignoredError sqref="C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40</vt:i4>
      </vt:variant>
    </vt:vector>
  </HeadingPairs>
  <TitlesOfParts>
    <vt:vector size="67" baseType="lpstr">
      <vt:lpstr>bev-kiad.</vt:lpstr>
      <vt:lpstr>2014.</vt:lpstr>
      <vt:lpstr>1. 2016. mindösszesen</vt:lpstr>
      <vt:lpstr>2. 2016. önkormányzat</vt:lpstr>
      <vt:lpstr>2.a önkormányzat részletes</vt:lpstr>
      <vt:lpstr>3. 2016. hivatal</vt:lpstr>
      <vt:lpstr>3.a hivatal részletes</vt:lpstr>
      <vt:lpstr>4. 2016. műv.ház</vt:lpstr>
      <vt:lpstr>4.a műv.ház részletes</vt:lpstr>
      <vt:lpstr>5. 2016. forrás</vt:lpstr>
      <vt:lpstr>5.a forrás részletes</vt:lpstr>
      <vt:lpstr>6. 2016. szociális</vt:lpstr>
      <vt:lpstr>6.a szociális részletes</vt:lpstr>
      <vt:lpstr>19. 2016. bölcsőde</vt:lpstr>
      <vt:lpstr>19.a bölcsőde részletes</vt:lpstr>
      <vt:lpstr>7. központi finanszírozás</vt:lpstr>
      <vt:lpstr>8. beruházások</vt:lpstr>
      <vt:lpstr>9. felújítások</vt:lpstr>
      <vt:lpstr>10. uniós projektek</vt:lpstr>
      <vt:lpstr>11. létszám</vt:lpstr>
      <vt:lpstr>12. mérleg</vt:lpstr>
      <vt:lpstr>13. kötelező feladatok</vt:lpstr>
      <vt:lpstr>14. önként vállalt feladatok</vt:lpstr>
      <vt:lpstr>15. ei.felhaszn.ütemterv</vt:lpstr>
      <vt:lpstr>16. középtávú terv</vt:lpstr>
      <vt:lpstr>17. kormányzati funkció bontás</vt:lpstr>
      <vt:lpstr>18.adosságot kelet ügy.fels hat</vt:lpstr>
      <vt:lpstr>'1. 2016. mindösszesen'!Nyomtatási_cím</vt:lpstr>
      <vt:lpstr>'11. létszám'!Nyomtatási_cím</vt:lpstr>
      <vt:lpstr>'15. ei.felhaszn.ütemterv'!Nyomtatási_cím</vt:lpstr>
      <vt:lpstr>'16. középtávú terv'!Nyomtatási_cím</vt:lpstr>
      <vt:lpstr>'17. kormányzati funkció bontás'!Nyomtatási_cím</vt:lpstr>
      <vt:lpstr>'19. 2016. bölcsőde'!Nyomtatási_cím</vt:lpstr>
      <vt:lpstr>'19.a bölcsőde részletes'!Nyomtatási_cím</vt:lpstr>
      <vt:lpstr>'2. 2016. önkormányzat'!Nyomtatási_cím</vt:lpstr>
      <vt:lpstr>'2.a önkormányzat részletes'!Nyomtatási_cím</vt:lpstr>
      <vt:lpstr>'3. 2016. hivatal'!Nyomtatási_cím</vt:lpstr>
      <vt:lpstr>'3.a hivatal részletes'!Nyomtatási_cím</vt:lpstr>
      <vt:lpstr>'4. 2016. műv.ház'!Nyomtatási_cím</vt:lpstr>
      <vt:lpstr>'4.a műv.ház részletes'!Nyomtatási_cím</vt:lpstr>
      <vt:lpstr>'5. 2016. forrás'!Nyomtatási_cím</vt:lpstr>
      <vt:lpstr>'5.a forrás részletes'!Nyomtatási_cím</vt:lpstr>
      <vt:lpstr>'6. 2016. szociális'!Nyomtatási_cím</vt:lpstr>
      <vt:lpstr>'6.a szociális részletes'!Nyomtatási_cím</vt:lpstr>
      <vt:lpstr>'7. központi finanszírozás'!Nyomtatási_cím</vt:lpstr>
      <vt:lpstr>'1. 2016. mindösszesen'!Nyomtatási_terület</vt:lpstr>
      <vt:lpstr>'11. létszám'!Nyomtatási_terület</vt:lpstr>
      <vt:lpstr>'12. mérleg'!Nyomtatási_terület</vt:lpstr>
      <vt:lpstr>'13. kötelező feladatok'!Nyomtatási_terület</vt:lpstr>
      <vt:lpstr>'14. önként vállalt feladatok'!Nyomtatási_terület</vt:lpstr>
      <vt:lpstr>'15. ei.felhaszn.ütemterv'!Nyomtatási_terület</vt:lpstr>
      <vt:lpstr>'16. középtávú terv'!Nyomtatási_terület</vt:lpstr>
      <vt:lpstr>'17. kormányzati funkció bontás'!Nyomtatási_terület</vt:lpstr>
      <vt:lpstr>'19. 2016. bölcsőde'!Nyomtatási_terület</vt:lpstr>
      <vt:lpstr>'19.a bölcsőde részletes'!Nyomtatási_terület</vt:lpstr>
      <vt:lpstr>'2. 2016. önkormányzat'!Nyomtatási_terület</vt:lpstr>
      <vt:lpstr>'2.a önkormányzat részletes'!Nyomtatási_terület</vt:lpstr>
      <vt:lpstr>'2014.'!Nyomtatási_terület</vt:lpstr>
      <vt:lpstr>'3. 2016. hivatal'!Nyomtatási_terület</vt:lpstr>
      <vt:lpstr>'3.a hivatal részletes'!Nyomtatási_terület</vt:lpstr>
      <vt:lpstr>'4. 2016. műv.ház'!Nyomtatási_terület</vt:lpstr>
      <vt:lpstr>'4.a műv.ház részletes'!Nyomtatási_terület</vt:lpstr>
      <vt:lpstr>'5. 2016. forrás'!Nyomtatási_terület</vt:lpstr>
      <vt:lpstr>'5.a forrás részletes'!Nyomtatási_terület</vt:lpstr>
      <vt:lpstr>'6. 2016. szociális'!Nyomtatási_terület</vt:lpstr>
      <vt:lpstr>'6.a szociális részletes'!Nyomtatási_terület</vt:lpstr>
      <vt:lpstr>'8. beruházások'!Nyomtatási_terület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mikok</dc:creator>
  <cp:lastModifiedBy>Szeleckiné Nagy Andrea</cp:lastModifiedBy>
  <cp:lastPrinted>2016-09-19T14:20:24Z</cp:lastPrinted>
  <dcterms:created xsi:type="dcterms:W3CDTF">2012-01-20T09:15:46Z</dcterms:created>
  <dcterms:modified xsi:type="dcterms:W3CDTF">2016-09-19T14:21:29Z</dcterms:modified>
</cp:coreProperties>
</file>