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05" yWindow="330" windowWidth="15480" windowHeight="8115" tabRatio="671"/>
  </bookViews>
  <sheets>
    <sheet name="bevételek" sheetId="2" r:id="rId1"/>
    <sheet name="kiadások" sheetId="3" r:id="rId2"/>
    <sheet name="3_melléklet" sheetId="4" r:id="rId3"/>
    <sheet name="4_ melléklet" sheetId="6" r:id="rId4"/>
    <sheet name="5_melléklet" sheetId="7" r:id="rId5"/>
    <sheet name="6_melléklet" sheetId="9" r:id="rId6"/>
    <sheet name="7_melléklet" sheetId="10" r:id="rId7"/>
    <sheet name="8_melléklet" sheetId="12" r:id="rId8"/>
    <sheet name="9_melléklet" sheetId="11" r:id="rId9"/>
    <sheet name="10_melléklet" sheetId="13" r:id="rId10"/>
    <sheet name="11_melléklet" sheetId="14" r:id="rId11"/>
    <sheet name="12_melléklet " sheetId="19" r:id="rId12"/>
    <sheet name="13_melléklet" sheetId="15" r:id="rId13"/>
    <sheet name="14_melléklet" sheetId="16" r:id="rId14"/>
    <sheet name="15_melléklet " sheetId="20" r:id="rId15"/>
  </sheets>
  <externalReferences>
    <externalReference r:id="rId16"/>
    <externalReference r:id="rId17"/>
  </externalReferences>
  <definedNames>
    <definedName name="_xlnm._FilterDatabase" localSheetId="2" hidden="1">'3_melléklet'!$A$52:$A$59</definedName>
    <definedName name="Excel_BuiltIn_Print_Titles_9" localSheetId="9">#REF!</definedName>
    <definedName name="Excel_BuiltIn_Print_Titles_9" localSheetId="10">#REF!</definedName>
    <definedName name="Excel_BuiltIn_Print_Titles_9" localSheetId="11">#REF!</definedName>
    <definedName name="Excel_BuiltIn_Print_Titles_9" localSheetId="12">#REF!</definedName>
    <definedName name="Excel_BuiltIn_Print_Titles_9" localSheetId="13">#REF!</definedName>
    <definedName name="Excel_BuiltIn_Print_Titles_9" localSheetId="14">#REF!</definedName>
    <definedName name="Excel_BuiltIn_Print_Titles_9" localSheetId="5">#REF!</definedName>
    <definedName name="Excel_BuiltIn_Print_Titles_9" localSheetId="6">#REF!</definedName>
    <definedName name="Excel_BuiltIn_Print_Titles_9" localSheetId="7">#REF!</definedName>
    <definedName name="Excel_BuiltIn_Print_Titles_9" localSheetId="8">#REF!</definedName>
    <definedName name="Excel_BuiltIn_Print_Titles_9">#REF!</definedName>
    <definedName name="melléklet" localSheetId="9">#REF!</definedName>
    <definedName name="melléklet" localSheetId="10">#REF!</definedName>
    <definedName name="melléklet" localSheetId="11">#REF!</definedName>
    <definedName name="melléklet" localSheetId="12">#REF!</definedName>
    <definedName name="melléklet" localSheetId="13">#REF!</definedName>
    <definedName name="melléklet" localSheetId="14">#REF!</definedName>
    <definedName name="melléklet" localSheetId="5">#REF!</definedName>
    <definedName name="melléklet" localSheetId="6">#REF!</definedName>
    <definedName name="melléklet" localSheetId="7">#REF!</definedName>
    <definedName name="melléklet" localSheetId="8">#REF!</definedName>
    <definedName name="melléklet">#REF!</definedName>
    <definedName name="Mérleg" localSheetId="9">#REF!</definedName>
    <definedName name="Mérleg" localSheetId="10">#REF!</definedName>
    <definedName name="Mérleg" localSheetId="11">#REF!</definedName>
    <definedName name="Mérleg" localSheetId="12">#REF!</definedName>
    <definedName name="Mérleg" localSheetId="13">#REF!</definedName>
    <definedName name="Mérleg" localSheetId="14">#REF!</definedName>
    <definedName name="Mérleg" localSheetId="5">#REF!</definedName>
    <definedName name="Mérleg" localSheetId="6">#REF!</definedName>
    <definedName name="Mérleg" localSheetId="7">#REF!</definedName>
    <definedName name="Mérleg" localSheetId="8">#REF!</definedName>
    <definedName name="Mérleg">#REF!</definedName>
    <definedName name="név">#REF!</definedName>
    <definedName name="név1">#REF!</definedName>
    <definedName name="név2">#REF!</definedName>
  </definedNames>
  <calcPr calcId="125725"/>
</workbook>
</file>

<file path=xl/calcChain.xml><?xml version="1.0" encoding="utf-8"?>
<calcChain xmlns="http://schemas.openxmlformats.org/spreadsheetml/2006/main">
  <c r="B429" i="7"/>
  <c r="C31" i="14"/>
  <c r="B31"/>
  <c r="C29" i="9"/>
  <c r="B94" i="14"/>
  <c r="C25"/>
  <c r="B25"/>
  <c r="E40" i="6"/>
  <c r="E86" i="3"/>
  <c r="E87"/>
  <c r="E88"/>
  <c r="E93" i="2"/>
  <c r="D58" i="3"/>
  <c r="D156" i="9"/>
  <c r="D102"/>
  <c r="E112" i="3"/>
  <c r="AA14" i="12"/>
  <c r="AA13"/>
  <c r="AC13" s="1"/>
  <c r="E30" i="10"/>
  <c r="E29"/>
  <c r="E21"/>
  <c r="E20"/>
  <c r="E15"/>
  <c r="E10"/>
  <c r="E101" i="9"/>
  <c r="E99"/>
  <c r="E98"/>
  <c r="E96"/>
  <c r="E78"/>
  <c r="E58"/>
  <c r="E14"/>
  <c r="E854" i="7"/>
  <c r="E851"/>
  <c r="E829"/>
  <c r="E836"/>
  <c r="E839"/>
  <c r="E840"/>
  <c r="E842"/>
  <c r="E845"/>
  <c r="E823"/>
  <c r="E773"/>
  <c r="E774"/>
  <c r="E778"/>
  <c r="E779"/>
  <c r="E781"/>
  <c r="E784"/>
  <c r="E785"/>
  <c r="E786"/>
  <c r="E788"/>
  <c r="E789"/>
  <c r="E790"/>
  <c r="E792"/>
  <c r="E794"/>
  <c r="E795"/>
  <c r="E796"/>
  <c r="E798"/>
  <c r="E799"/>
  <c r="E800"/>
  <c r="E802"/>
  <c r="E772"/>
  <c r="E742"/>
  <c r="E743"/>
  <c r="E744"/>
  <c r="E745"/>
  <c r="E748"/>
  <c r="E749"/>
  <c r="E750"/>
  <c r="E751"/>
  <c r="E754"/>
  <c r="E755"/>
  <c r="E756"/>
  <c r="E757"/>
  <c r="E759"/>
  <c r="E762"/>
  <c r="E741"/>
  <c r="E707"/>
  <c r="E708"/>
  <c r="E711"/>
  <c r="E713"/>
  <c r="E717"/>
  <c r="E718"/>
  <c r="E719"/>
  <c r="E721"/>
  <c r="E722"/>
  <c r="E724"/>
  <c r="E725"/>
  <c r="E726"/>
  <c r="E727"/>
  <c r="E729"/>
  <c r="E730"/>
  <c r="E705"/>
  <c r="E693"/>
  <c r="E692"/>
  <c r="E667"/>
  <c r="E672"/>
  <c r="E652"/>
  <c r="E611"/>
  <c r="E612"/>
  <c r="E614"/>
  <c r="E617"/>
  <c r="E618"/>
  <c r="E619"/>
  <c r="E620"/>
  <c r="E623"/>
  <c r="E624"/>
  <c r="E625"/>
  <c r="E626"/>
  <c r="E628"/>
  <c r="E629"/>
  <c r="E630"/>
  <c r="E632"/>
  <c r="E633"/>
  <c r="E635"/>
  <c r="E636"/>
  <c r="E637"/>
  <c r="E639"/>
  <c r="E640"/>
  <c r="E641"/>
  <c r="E643"/>
  <c r="E610"/>
  <c r="E588"/>
  <c r="E589"/>
  <c r="E590"/>
  <c r="E592"/>
  <c r="E593"/>
  <c r="E594"/>
  <c r="E597"/>
  <c r="E599"/>
  <c r="E587"/>
  <c r="E546"/>
  <c r="E548"/>
  <c r="E549"/>
  <c r="E553"/>
  <c r="E554"/>
  <c r="E555"/>
  <c r="E556"/>
  <c r="E559"/>
  <c r="E561"/>
  <c r="E563"/>
  <c r="E564"/>
  <c r="E566"/>
  <c r="E567"/>
  <c r="E569"/>
  <c r="E570"/>
  <c r="E571"/>
  <c r="E572"/>
  <c r="E574"/>
  <c r="E575"/>
  <c r="E579"/>
  <c r="E545"/>
  <c r="E505"/>
  <c r="E506"/>
  <c r="E507"/>
  <c r="E508"/>
  <c r="E512"/>
  <c r="E513"/>
  <c r="E514"/>
  <c r="E515"/>
  <c r="E518"/>
  <c r="E519"/>
  <c r="E521"/>
  <c r="E522"/>
  <c r="E523"/>
  <c r="E524"/>
  <c r="E526"/>
  <c r="E527"/>
  <c r="E529"/>
  <c r="E530"/>
  <c r="E531"/>
  <c r="E533"/>
  <c r="E534"/>
  <c r="E536"/>
  <c r="E504"/>
  <c r="E462"/>
  <c r="E463"/>
  <c r="E464"/>
  <c r="E465"/>
  <c r="E466"/>
  <c r="E469"/>
  <c r="E470"/>
  <c r="E471"/>
  <c r="E472"/>
  <c r="E475"/>
  <c r="E476"/>
  <c r="E477"/>
  <c r="E479"/>
  <c r="E480"/>
  <c r="E481"/>
  <c r="E482"/>
  <c r="E484"/>
  <c r="E485"/>
  <c r="E487"/>
  <c r="E488"/>
  <c r="E489"/>
  <c r="E491"/>
  <c r="E492"/>
  <c r="E493"/>
  <c r="E496"/>
  <c r="E461"/>
  <c r="E440"/>
  <c r="E441"/>
  <c r="E442"/>
  <c r="E445"/>
  <c r="E446"/>
  <c r="E447"/>
  <c r="E448"/>
  <c r="E451"/>
  <c r="E452"/>
  <c r="E453"/>
  <c r="E454"/>
  <c r="E455"/>
  <c r="E439"/>
  <c r="E395"/>
  <c r="E396"/>
  <c r="E397"/>
  <c r="E400"/>
  <c r="E401"/>
  <c r="E402"/>
  <c r="E403"/>
  <c r="E406"/>
  <c r="E407"/>
  <c r="E408"/>
  <c r="E410"/>
  <c r="E411"/>
  <c r="E412"/>
  <c r="E413"/>
  <c r="E415"/>
  <c r="E416"/>
  <c r="E418"/>
  <c r="E419"/>
  <c r="E420"/>
  <c r="E421"/>
  <c r="E424"/>
  <c r="E425"/>
  <c r="E426"/>
  <c r="E394"/>
  <c r="E367"/>
  <c r="E370"/>
  <c r="E372"/>
  <c r="E317"/>
  <c r="E318"/>
  <c r="E319"/>
  <c r="E323"/>
  <c r="E324"/>
  <c r="E326"/>
  <c r="E330"/>
  <c r="E331"/>
  <c r="E332"/>
  <c r="E335"/>
  <c r="E336"/>
  <c r="E339"/>
  <c r="E343"/>
  <c r="E345"/>
  <c r="E346"/>
  <c r="E347"/>
  <c r="E349"/>
  <c r="E350"/>
  <c r="E351"/>
  <c r="E352"/>
  <c r="E353"/>
  <c r="E356"/>
  <c r="E313"/>
  <c r="E289"/>
  <c r="E291"/>
  <c r="E292"/>
  <c r="E293"/>
  <c r="E295"/>
  <c r="E296"/>
  <c r="E297"/>
  <c r="E301"/>
  <c r="E252"/>
  <c r="E253"/>
  <c r="E257"/>
  <c r="E258"/>
  <c r="E264"/>
  <c r="E250"/>
  <c r="E231"/>
  <c r="E230"/>
  <c r="E195"/>
  <c r="E196"/>
  <c r="E197"/>
  <c r="E202"/>
  <c r="E203"/>
  <c r="E204"/>
  <c r="E209"/>
  <c r="E213"/>
  <c r="E215"/>
  <c r="E216"/>
  <c r="E217"/>
  <c r="E218"/>
  <c r="E220"/>
  <c r="E221"/>
  <c r="E146"/>
  <c r="E153"/>
  <c r="E154"/>
  <c r="E155"/>
  <c r="E156"/>
  <c r="E159"/>
  <c r="E160"/>
  <c r="E162"/>
  <c r="E166"/>
  <c r="E167"/>
  <c r="E169"/>
  <c r="E170"/>
  <c r="E173"/>
  <c r="E174"/>
  <c r="E177"/>
  <c r="E145"/>
  <c r="E116"/>
  <c r="E117"/>
  <c r="E122"/>
  <c r="E129"/>
  <c r="E130"/>
  <c r="E131"/>
  <c r="E115"/>
  <c r="E104"/>
  <c r="E106"/>
  <c r="E107"/>
  <c r="E108"/>
  <c r="E109"/>
  <c r="E103"/>
  <c r="E79"/>
  <c r="E80"/>
  <c r="E88"/>
  <c r="E74"/>
  <c r="E59"/>
  <c r="E60"/>
  <c r="E61"/>
  <c r="E63"/>
  <c r="E64"/>
  <c r="E65"/>
  <c r="E66"/>
  <c r="E58"/>
  <c r="E32"/>
  <c r="E35"/>
  <c r="E36"/>
  <c r="E37"/>
  <c r="E40"/>
  <c r="E42"/>
  <c r="E43"/>
  <c r="E44"/>
  <c r="E45"/>
  <c r="E47"/>
  <c r="E48"/>
  <c r="E49"/>
  <c r="E29"/>
  <c r="E21"/>
  <c r="E13"/>
  <c r="E12"/>
  <c r="C43" i="10"/>
  <c r="C37"/>
  <c r="C28"/>
  <c r="C24"/>
  <c r="C19"/>
  <c r="C11"/>
  <c r="A62" i="11"/>
  <c r="B62" s="1"/>
  <c r="A37"/>
  <c r="A38"/>
  <c r="A39"/>
  <c r="AA15" i="12" l="1"/>
  <c r="D157" i="9"/>
  <c r="B35" i="11"/>
  <c r="C35"/>
  <c r="A41"/>
  <c r="A40"/>
  <c r="D35"/>
  <c r="E35"/>
  <c r="B14"/>
  <c r="E129" i="9"/>
  <c r="E140" s="1"/>
  <c r="C129"/>
  <c r="C140" s="1"/>
  <c r="E102"/>
  <c r="E73"/>
  <c r="E86" s="1"/>
  <c r="C54"/>
  <c r="E41"/>
  <c r="E47" s="1"/>
  <c r="E48" s="1"/>
  <c r="E29"/>
  <c r="B16" i="20"/>
  <c r="C16"/>
  <c r="D16"/>
  <c r="E16"/>
  <c r="F16"/>
  <c r="G16"/>
  <c r="H16"/>
  <c r="H19"/>
  <c r="H20"/>
  <c r="B21"/>
  <c r="C21"/>
  <c r="D21"/>
  <c r="E21"/>
  <c r="F21"/>
  <c r="G21"/>
  <c r="B36"/>
  <c r="C36"/>
  <c r="D36"/>
  <c r="E36"/>
  <c r="F36"/>
  <c r="G36"/>
  <c r="H36"/>
  <c r="B45"/>
  <c r="C45"/>
  <c r="D45"/>
  <c r="E45"/>
  <c r="F45"/>
  <c r="G45"/>
  <c r="F42" i="16"/>
  <c r="E42"/>
  <c r="D42"/>
  <c r="F36"/>
  <c r="E36"/>
  <c r="D36"/>
  <c r="F24"/>
  <c r="E24"/>
  <c r="D24"/>
  <c r="F23"/>
  <c r="F29" s="1"/>
  <c r="F44" s="1"/>
  <c r="E23"/>
  <c r="D23"/>
  <c r="F21"/>
  <c r="E21"/>
  <c r="F18"/>
  <c r="E18"/>
  <c r="D18"/>
  <c r="D22" s="1"/>
  <c r="E18" i="15"/>
  <c r="F14" i="19"/>
  <c r="G14"/>
  <c r="G26" s="1"/>
  <c r="F16"/>
  <c r="G16"/>
  <c r="G29" s="1"/>
  <c r="G19"/>
  <c r="F23"/>
  <c r="G23"/>
  <c r="B26"/>
  <c r="C26"/>
  <c r="F26"/>
  <c r="B29"/>
  <c r="C29"/>
  <c r="D29"/>
  <c r="E29"/>
  <c r="B40"/>
  <c r="B41"/>
  <c r="B45" s="1"/>
  <c r="B42"/>
  <c r="B43"/>
  <c r="K22" i="13"/>
  <c r="C156" i="9"/>
  <c r="C149"/>
  <c r="C120"/>
  <c r="C102"/>
  <c r="C86"/>
  <c r="C72"/>
  <c r="C63"/>
  <c r="C18"/>
  <c r="C12"/>
  <c r="C22" i="16"/>
  <c r="C29"/>
  <c r="A34"/>
  <c r="A35" s="1"/>
  <c r="A36" s="1"/>
  <c r="A37" s="1"/>
  <c r="A38" s="1"/>
  <c r="A39" s="1"/>
  <c r="A40" s="1"/>
  <c r="A41" s="1"/>
  <c r="A42" s="1"/>
  <c r="A43" s="1"/>
  <c r="A44" s="1"/>
  <c r="C36"/>
  <c r="C42"/>
  <c r="E27" i="15"/>
  <c r="B10" i="14"/>
  <c r="B9" s="1"/>
  <c r="C10"/>
  <c r="C13"/>
  <c r="B19"/>
  <c r="B15" s="1"/>
  <c r="C19"/>
  <c r="C15" s="1"/>
  <c r="B20"/>
  <c r="C24"/>
  <c r="C20" s="1"/>
  <c r="B29"/>
  <c r="C29"/>
  <c r="B30"/>
  <c r="C30"/>
  <c r="B34"/>
  <c r="C34"/>
  <c r="B35"/>
  <c r="C35"/>
  <c r="B37"/>
  <c r="C37"/>
  <c r="B38"/>
  <c r="C38"/>
  <c r="B39"/>
  <c r="C39"/>
  <c r="B43"/>
  <c r="C43"/>
  <c r="B47"/>
  <c r="C47"/>
  <c r="B49"/>
  <c r="C49"/>
  <c r="B54"/>
  <c r="B61"/>
  <c r="B71"/>
  <c r="B82"/>
  <c r="B10" i="13"/>
  <c r="B13"/>
  <c r="B15"/>
  <c r="B16"/>
  <c r="B17"/>
  <c r="B18"/>
  <c r="B19"/>
  <c r="C22"/>
  <c r="D22"/>
  <c r="I22"/>
  <c r="J22"/>
  <c r="B12" i="12"/>
  <c r="B15"/>
  <c r="E11" i="10"/>
  <c r="E19"/>
  <c r="E24"/>
  <c r="E28"/>
  <c r="C31"/>
  <c r="E37"/>
  <c r="E43"/>
  <c r="C44"/>
  <c r="E12" i="9"/>
  <c r="E18"/>
  <c r="E54"/>
  <c r="E63"/>
  <c r="E72"/>
  <c r="E120"/>
  <c r="E149"/>
  <c r="E156"/>
  <c r="D118" i="3"/>
  <c r="I124"/>
  <c r="K112" i="2"/>
  <c r="C869" i="7"/>
  <c r="D827"/>
  <c r="D838"/>
  <c r="D841"/>
  <c r="D844"/>
  <c r="D846"/>
  <c r="D834"/>
  <c r="D832"/>
  <c r="D852"/>
  <c r="D855"/>
  <c r="D859"/>
  <c r="D861" s="1"/>
  <c r="D694"/>
  <c r="D696" s="1"/>
  <c r="D720"/>
  <c r="D723"/>
  <c r="D728"/>
  <c r="D731"/>
  <c r="D732"/>
  <c r="E732" s="1"/>
  <c r="D715"/>
  <c r="D706"/>
  <c r="D758"/>
  <c r="D761"/>
  <c r="E761" s="1"/>
  <c r="D763"/>
  <c r="D752"/>
  <c r="D746"/>
  <c r="D803"/>
  <c r="D801"/>
  <c r="D797"/>
  <c r="D793"/>
  <c r="D791"/>
  <c r="D787"/>
  <c r="D804"/>
  <c r="E804" s="1"/>
  <c r="D782"/>
  <c r="D776"/>
  <c r="H12" i="3"/>
  <c r="H19"/>
  <c r="H26"/>
  <c r="H28"/>
  <c r="H29"/>
  <c r="G32"/>
  <c r="H32" s="1"/>
  <c r="G23"/>
  <c r="H23" s="1"/>
  <c r="D537" i="7"/>
  <c r="D535"/>
  <c r="D532"/>
  <c r="D528"/>
  <c r="D525"/>
  <c r="D520"/>
  <c r="D516"/>
  <c r="D510"/>
  <c r="D601"/>
  <c r="E601" s="1"/>
  <c r="D595"/>
  <c r="D591"/>
  <c r="D580"/>
  <c r="D578"/>
  <c r="D576"/>
  <c r="D573"/>
  <c r="D568"/>
  <c r="D565"/>
  <c r="D557"/>
  <c r="D547"/>
  <c r="D653"/>
  <c r="D654"/>
  <c r="E654" s="1"/>
  <c r="D644"/>
  <c r="D642"/>
  <c r="D638"/>
  <c r="D634"/>
  <c r="D631"/>
  <c r="D627"/>
  <c r="D621"/>
  <c r="D613"/>
  <c r="D478"/>
  <c r="D483"/>
  <c r="D486"/>
  <c r="D490"/>
  <c r="D494"/>
  <c r="D497"/>
  <c r="E497" s="1"/>
  <c r="D473"/>
  <c r="D467"/>
  <c r="D449"/>
  <c r="D443"/>
  <c r="D422"/>
  <c r="D427"/>
  <c r="D430"/>
  <c r="D429"/>
  <c r="E429" s="1"/>
  <c r="D417"/>
  <c r="D414"/>
  <c r="D409"/>
  <c r="D404"/>
  <c r="D398"/>
  <c r="D673"/>
  <c r="D670"/>
  <c r="D663"/>
  <c r="G281"/>
  <c r="G282" s="1"/>
  <c r="D276"/>
  <c r="E276" s="1"/>
  <c r="D274"/>
  <c r="E274" s="1"/>
  <c r="D273"/>
  <c r="D271"/>
  <c r="E271" s="1"/>
  <c r="D268"/>
  <c r="E268" s="1"/>
  <c r="D269"/>
  <c r="D270"/>
  <c r="E270" s="1"/>
  <c r="D266"/>
  <c r="E266" s="1"/>
  <c r="D265"/>
  <c r="D261"/>
  <c r="D255"/>
  <c r="D298"/>
  <c r="D294"/>
  <c r="D299"/>
  <c r="D288"/>
  <c r="D375"/>
  <c r="D373"/>
  <c r="D366"/>
  <c r="D354"/>
  <c r="D357"/>
  <c r="D355"/>
  <c r="E355" s="1"/>
  <c r="D348"/>
  <c r="D342"/>
  <c r="D340"/>
  <c r="D337"/>
  <c r="E337" s="1"/>
  <c r="D333"/>
  <c r="D314"/>
  <c r="E314" s="1"/>
  <c r="D321"/>
  <c r="E321" s="1"/>
  <c r="D322"/>
  <c r="E322" s="1"/>
  <c r="D327"/>
  <c r="E327" s="1"/>
  <c r="D20"/>
  <c r="E20" s="1"/>
  <c r="D232"/>
  <c r="D234" s="1"/>
  <c r="D161"/>
  <c r="E161" s="1"/>
  <c r="D178"/>
  <c r="E178" s="1"/>
  <c r="D172"/>
  <c r="D171"/>
  <c r="E171" s="1"/>
  <c r="D168"/>
  <c r="E168" s="1"/>
  <c r="D163"/>
  <c r="D157"/>
  <c r="E157" s="1"/>
  <c r="D148"/>
  <c r="D147"/>
  <c r="E147" s="1"/>
  <c r="D149"/>
  <c r="E149" s="1"/>
  <c r="D67"/>
  <c r="E67" s="1"/>
  <c r="D62"/>
  <c r="D50"/>
  <c r="E50" s="1"/>
  <c r="D51"/>
  <c r="D52" s="1"/>
  <c r="E52" s="1"/>
  <c r="D46"/>
  <c r="E46" s="1"/>
  <c r="D41"/>
  <c r="E41" s="1"/>
  <c r="D39"/>
  <c r="D33"/>
  <c r="D30"/>
  <c r="D135"/>
  <c r="D132"/>
  <c r="E132" s="1"/>
  <c r="D133"/>
  <c r="E133" s="1"/>
  <c r="D125"/>
  <c r="D127" s="1"/>
  <c r="D123"/>
  <c r="E123" s="1"/>
  <c r="D118"/>
  <c r="D14"/>
  <c r="D15" s="1"/>
  <c r="D95"/>
  <c r="D96" s="1"/>
  <c r="D94"/>
  <c r="C89"/>
  <c r="C94"/>
  <c r="D86"/>
  <c r="D89" s="1"/>
  <c r="D83"/>
  <c r="E83" s="1"/>
  <c r="D77"/>
  <c r="D222"/>
  <c r="D223" s="1"/>
  <c r="D214"/>
  <c r="D210"/>
  <c r="C214"/>
  <c r="B214"/>
  <c r="C210"/>
  <c r="B210"/>
  <c r="D206"/>
  <c r="D200"/>
  <c r="C200"/>
  <c r="D142" i="3"/>
  <c r="C142"/>
  <c r="D140"/>
  <c r="C140"/>
  <c r="C139" s="1"/>
  <c r="I100"/>
  <c r="I103" s="1"/>
  <c r="J105" s="1"/>
  <c r="D119"/>
  <c r="G119"/>
  <c r="D62"/>
  <c r="D56"/>
  <c r="E56" s="1"/>
  <c r="D64"/>
  <c r="E64" s="1"/>
  <c r="E57"/>
  <c r="C9" i="14" l="1"/>
  <c r="F29" i="19"/>
  <c r="D29" i="16"/>
  <c r="D44" s="1"/>
  <c r="H21" i="20"/>
  <c r="E142" i="3"/>
  <c r="C45" i="10"/>
  <c r="E39" i="7"/>
  <c r="E362" s="1"/>
  <c r="D53"/>
  <c r="E140" i="3"/>
  <c r="D805" i="7"/>
  <c r="D866"/>
  <c r="E866" s="1"/>
  <c r="D338"/>
  <c r="D835"/>
  <c r="E834"/>
  <c r="D734"/>
  <c r="D735" s="1"/>
  <c r="E735" s="1"/>
  <c r="D867"/>
  <c r="B91" i="14"/>
  <c r="B98" s="1"/>
  <c r="B14"/>
  <c r="B50" s="1"/>
  <c r="B22" i="13"/>
  <c r="D368" i="7"/>
  <c r="E366"/>
  <c r="D302"/>
  <c r="E299"/>
  <c r="D645"/>
  <c r="D551"/>
  <c r="E547"/>
  <c r="D709"/>
  <c r="E706"/>
  <c r="E200"/>
  <c r="D665"/>
  <c r="D676" s="1"/>
  <c r="E676" s="1"/>
  <c r="E663"/>
  <c r="D806"/>
  <c r="E806" s="1"/>
  <c r="D765"/>
  <c r="E765" s="1"/>
  <c r="D344"/>
  <c r="E342"/>
  <c r="D679"/>
  <c r="D341"/>
  <c r="E340"/>
  <c r="D359"/>
  <c r="E357"/>
  <c r="D376"/>
  <c r="E376" s="1"/>
  <c r="E375"/>
  <c r="E214"/>
  <c r="D655"/>
  <c r="D657" s="1"/>
  <c r="E210"/>
  <c r="D151"/>
  <c r="E151" s="1"/>
  <c r="D182"/>
  <c r="E182" s="1"/>
  <c r="D22"/>
  <c r="D23" s="1"/>
  <c r="D602"/>
  <c r="D605" s="1"/>
  <c r="E605" s="1"/>
  <c r="D615"/>
  <c r="E613"/>
  <c r="D811"/>
  <c r="D17"/>
  <c r="E17" s="1"/>
  <c r="E15"/>
  <c r="D810"/>
  <c r="E810" s="1"/>
  <c r="D120"/>
  <c r="E120" s="1"/>
  <c r="E118"/>
  <c r="D239"/>
  <c r="E33"/>
  <c r="D165"/>
  <c r="E165" s="1"/>
  <c r="E163"/>
  <c r="D235"/>
  <c r="E235" s="1"/>
  <c r="E234"/>
  <c r="D275"/>
  <c r="E275" s="1"/>
  <c r="E273"/>
  <c r="E30"/>
  <c r="D175"/>
  <c r="E175" s="1"/>
  <c r="E172"/>
  <c r="D328"/>
  <c r="D278"/>
  <c r="E278" s="1"/>
  <c r="D290"/>
  <c r="E288"/>
  <c r="D267"/>
  <c r="E265"/>
  <c r="D97"/>
  <c r="E97" s="1"/>
  <c r="E89"/>
  <c r="D381"/>
  <c r="D272"/>
  <c r="E272" s="1"/>
  <c r="E269"/>
  <c r="D431"/>
  <c r="D457"/>
  <c r="E457" s="1"/>
  <c r="D697"/>
  <c r="D863"/>
  <c r="E863" s="1"/>
  <c r="E51"/>
  <c r="D539"/>
  <c r="D541" s="1"/>
  <c r="E541" s="1"/>
  <c r="B16" i="12"/>
  <c r="B24" s="1"/>
  <c r="B26" s="1"/>
  <c r="E44" i="10"/>
  <c r="E31"/>
  <c r="C36" i="11"/>
  <c r="C38" s="1"/>
  <c r="E150" i="9"/>
  <c r="E157" s="1"/>
  <c r="C33"/>
  <c r="C87"/>
  <c r="E87"/>
  <c r="C150"/>
  <c r="C157" s="1"/>
  <c r="E33"/>
  <c r="C43" i="16"/>
  <c r="D43"/>
  <c r="E22"/>
  <c r="E43" s="1"/>
  <c r="C44"/>
  <c r="F22"/>
  <c r="F43" s="1"/>
  <c r="E29"/>
  <c r="E44" s="1"/>
  <c r="C14" i="14"/>
  <c r="C50" s="1"/>
  <c r="D136" i="7"/>
  <c r="D68"/>
  <c r="D560"/>
  <c r="D498"/>
  <c r="E498" s="1"/>
  <c r="D224"/>
  <c r="E80" i="2"/>
  <c r="E75"/>
  <c r="E76"/>
  <c r="D22" i="6"/>
  <c r="D38"/>
  <c r="G21" s="1"/>
  <c r="E108" i="2"/>
  <c r="D107"/>
  <c r="E107" s="1"/>
  <c r="J120"/>
  <c r="I120"/>
  <c r="D89"/>
  <c r="J37"/>
  <c r="D81"/>
  <c r="D78"/>
  <c r="D69"/>
  <c r="E69" s="1"/>
  <c r="E74"/>
  <c r="E73"/>
  <c r="D34"/>
  <c r="D15"/>
  <c r="J7"/>
  <c r="J8" s="1"/>
  <c r="N116" i="4"/>
  <c r="N118" s="1"/>
  <c r="D107"/>
  <c r="D111"/>
  <c r="E82" i="2"/>
  <c r="D97" i="4"/>
  <c r="D90"/>
  <c r="D88"/>
  <c r="D85" s="1"/>
  <c r="E85" s="1"/>
  <c r="N93"/>
  <c r="D72"/>
  <c r="N71"/>
  <c r="D71"/>
  <c r="E71" s="1"/>
  <c r="D77"/>
  <c r="D30" i="2"/>
  <c r="O7" i="4"/>
  <c r="Q7" s="1"/>
  <c r="D44"/>
  <c r="D42" s="1"/>
  <c r="D40" s="1"/>
  <c r="O56"/>
  <c r="D57"/>
  <c r="D55"/>
  <c r="D53"/>
  <c r="D29"/>
  <c r="D45"/>
  <c r="J87" i="2"/>
  <c r="K87" s="1"/>
  <c r="I70"/>
  <c r="I71"/>
  <c r="H33"/>
  <c r="H36" s="1"/>
  <c r="I32"/>
  <c r="I7"/>
  <c r="I8" s="1"/>
  <c r="D8" i="3"/>
  <c r="D9"/>
  <c r="D10"/>
  <c r="D11"/>
  <c r="D107"/>
  <c r="D111"/>
  <c r="C111"/>
  <c r="C107"/>
  <c r="C79"/>
  <c r="C78" s="1"/>
  <c r="C48"/>
  <c r="C47" s="1"/>
  <c r="C10"/>
  <c r="C9"/>
  <c r="C8"/>
  <c r="I17"/>
  <c r="I19" s="1"/>
  <c r="C13" i="6"/>
  <c r="C38"/>
  <c r="C42" i="3" s="1"/>
  <c r="C31" i="6"/>
  <c r="E36"/>
  <c r="C40" i="3"/>
  <c r="C38"/>
  <c r="C855" i="7"/>
  <c r="E855" s="1"/>
  <c r="C852"/>
  <c r="E852" s="1"/>
  <c r="C846"/>
  <c r="E846" s="1"/>
  <c r="C844"/>
  <c r="E844" s="1"/>
  <c r="C841"/>
  <c r="E841" s="1"/>
  <c r="C838"/>
  <c r="E838" s="1"/>
  <c r="C835"/>
  <c r="C832"/>
  <c r="E832" s="1"/>
  <c r="C827"/>
  <c r="E827" s="1"/>
  <c r="C813"/>
  <c r="C805"/>
  <c r="E805" s="1"/>
  <c r="C803"/>
  <c r="E803" s="1"/>
  <c r="C801"/>
  <c r="E801" s="1"/>
  <c r="C797"/>
  <c r="E797" s="1"/>
  <c r="C793"/>
  <c r="E793" s="1"/>
  <c r="C791"/>
  <c r="E791" s="1"/>
  <c r="C787"/>
  <c r="E787" s="1"/>
  <c r="C782"/>
  <c r="E782" s="1"/>
  <c r="C776"/>
  <c r="E776" s="1"/>
  <c r="C763"/>
  <c r="E763" s="1"/>
  <c r="C758"/>
  <c r="E758" s="1"/>
  <c r="C752"/>
  <c r="E752" s="1"/>
  <c r="C746"/>
  <c r="E746" s="1"/>
  <c r="C734"/>
  <c r="E734" s="1"/>
  <c r="C731"/>
  <c r="E731" s="1"/>
  <c r="C728"/>
  <c r="E728" s="1"/>
  <c r="C723"/>
  <c r="E723" s="1"/>
  <c r="C720"/>
  <c r="E720" s="1"/>
  <c r="C715"/>
  <c r="E715" s="1"/>
  <c r="C709"/>
  <c r="C694"/>
  <c r="C696" s="1"/>
  <c r="C697" s="1"/>
  <c r="C681"/>
  <c r="C673"/>
  <c r="E673" s="1"/>
  <c r="C670"/>
  <c r="E670" s="1"/>
  <c r="C665"/>
  <c r="C655"/>
  <c r="C653"/>
  <c r="E653" s="1"/>
  <c r="C644"/>
  <c r="E644" s="1"/>
  <c r="C642"/>
  <c r="E642" s="1"/>
  <c r="C638"/>
  <c r="E638" s="1"/>
  <c r="C634"/>
  <c r="E634" s="1"/>
  <c r="C631"/>
  <c r="E631" s="1"/>
  <c r="C627"/>
  <c r="E627" s="1"/>
  <c r="C621"/>
  <c r="E621" s="1"/>
  <c r="C615"/>
  <c r="C602"/>
  <c r="C603" s="1"/>
  <c r="C595"/>
  <c r="E595" s="1"/>
  <c r="C591"/>
  <c r="E591" s="1"/>
  <c r="C580"/>
  <c r="E580" s="1"/>
  <c r="C578"/>
  <c r="C576"/>
  <c r="E576" s="1"/>
  <c r="C573"/>
  <c r="E573" s="1"/>
  <c r="C568"/>
  <c r="E568" s="1"/>
  <c r="C565"/>
  <c r="E565" s="1"/>
  <c r="C560"/>
  <c r="C557"/>
  <c r="E557" s="1"/>
  <c r="C551"/>
  <c r="C537"/>
  <c r="E537" s="1"/>
  <c r="C535"/>
  <c r="E535" s="1"/>
  <c r="C532"/>
  <c r="E532" s="1"/>
  <c r="C528"/>
  <c r="E528" s="1"/>
  <c r="C525"/>
  <c r="E525" s="1"/>
  <c r="C520"/>
  <c r="E520" s="1"/>
  <c r="C516"/>
  <c r="E516" s="1"/>
  <c r="C510"/>
  <c r="E510" s="1"/>
  <c r="C494"/>
  <c r="E494" s="1"/>
  <c r="C490"/>
  <c r="E490" s="1"/>
  <c r="C486"/>
  <c r="E486" s="1"/>
  <c r="C483"/>
  <c r="E483" s="1"/>
  <c r="C478"/>
  <c r="E478" s="1"/>
  <c r="C473"/>
  <c r="E473" s="1"/>
  <c r="C467"/>
  <c r="E467" s="1"/>
  <c r="C449"/>
  <c r="E449" s="1"/>
  <c r="C443"/>
  <c r="E443" s="1"/>
  <c r="C427"/>
  <c r="E427" s="1"/>
  <c r="C422"/>
  <c r="E422" s="1"/>
  <c r="C417"/>
  <c r="E417" s="1"/>
  <c r="C414"/>
  <c r="E414" s="1"/>
  <c r="C409"/>
  <c r="E409" s="1"/>
  <c r="C404"/>
  <c r="E404" s="1"/>
  <c r="C398"/>
  <c r="E398" s="1"/>
  <c r="C373"/>
  <c r="E373" s="1"/>
  <c r="C368"/>
  <c r="C359"/>
  <c r="C354"/>
  <c r="E354" s="1"/>
  <c r="C348"/>
  <c r="E348" s="1"/>
  <c r="C344"/>
  <c r="C341"/>
  <c r="C338"/>
  <c r="E338" s="1"/>
  <c r="C333"/>
  <c r="E333" s="1"/>
  <c r="C328"/>
  <c r="C302"/>
  <c r="C298"/>
  <c r="E298" s="1"/>
  <c r="C294"/>
  <c r="E294" s="1"/>
  <c r="C290"/>
  <c r="C267"/>
  <c r="C261"/>
  <c r="E261" s="1"/>
  <c r="C255"/>
  <c r="E255" s="1"/>
  <c r="C232"/>
  <c r="E232" s="1"/>
  <c r="C223"/>
  <c r="C224" s="1"/>
  <c r="C206"/>
  <c r="E206" s="1"/>
  <c r="C22"/>
  <c r="E22" s="1"/>
  <c r="C14"/>
  <c r="E14" s="1"/>
  <c r="C62"/>
  <c r="E62" s="1"/>
  <c r="C77"/>
  <c r="E77" s="1"/>
  <c r="B13"/>
  <c r="B14" s="1"/>
  <c r="B15" s="1"/>
  <c r="B17" s="1"/>
  <c r="B21"/>
  <c r="B22" s="1"/>
  <c r="B23" s="1"/>
  <c r="B24" s="1"/>
  <c r="B26" s="1"/>
  <c r="B30"/>
  <c r="B33"/>
  <c r="B39"/>
  <c r="B41"/>
  <c r="B46"/>
  <c r="B48"/>
  <c r="B50" s="1"/>
  <c r="B51"/>
  <c r="B52" s="1"/>
  <c r="B62"/>
  <c r="B65"/>
  <c r="B66"/>
  <c r="B67" s="1"/>
  <c r="B77"/>
  <c r="B83"/>
  <c r="B104"/>
  <c r="B108"/>
  <c r="B120"/>
  <c r="B123"/>
  <c r="B129"/>
  <c r="B131"/>
  <c r="B151"/>
  <c r="B157"/>
  <c r="B161"/>
  <c r="B165"/>
  <c r="B168"/>
  <c r="B171"/>
  <c r="B175"/>
  <c r="B178"/>
  <c r="B182" s="1"/>
  <c r="B200"/>
  <c r="B206"/>
  <c r="B215"/>
  <c r="B216"/>
  <c r="B218"/>
  <c r="B220"/>
  <c r="B241"/>
  <c r="B255"/>
  <c r="B261"/>
  <c r="B267"/>
  <c r="B268"/>
  <c r="B276" s="1"/>
  <c r="B278" s="1"/>
  <c r="B275"/>
  <c r="B290"/>
  <c r="B294"/>
  <c r="B298"/>
  <c r="B299"/>
  <c r="B302" s="1"/>
  <c r="B328"/>
  <c r="B333"/>
  <c r="B338"/>
  <c r="B341"/>
  <c r="B342"/>
  <c r="B344" s="1"/>
  <c r="B348"/>
  <c r="B352"/>
  <c r="B354" s="1"/>
  <c r="B398"/>
  <c r="B404"/>
  <c r="B409"/>
  <c r="B414"/>
  <c r="B417"/>
  <c r="B422"/>
  <c r="B427"/>
  <c r="B431"/>
  <c r="B443"/>
  <c r="B449"/>
  <c r="B452"/>
  <c r="B453"/>
  <c r="B454" s="1"/>
  <c r="B467"/>
  <c r="B473"/>
  <c r="B478"/>
  <c r="B483"/>
  <c r="B486"/>
  <c r="B490"/>
  <c r="B494"/>
  <c r="B496"/>
  <c r="B497" s="1"/>
  <c r="B510"/>
  <c r="B516"/>
  <c r="B520"/>
  <c r="B525"/>
  <c r="B528"/>
  <c r="B532"/>
  <c r="B535"/>
  <c r="B536"/>
  <c r="B537" s="1"/>
  <c r="B551"/>
  <c r="B557"/>
  <c r="B560"/>
  <c r="B565"/>
  <c r="B568"/>
  <c r="B573"/>
  <c r="B576"/>
  <c r="B578"/>
  <c r="B579"/>
  <c r="B580" s="1"/>
  <c r="B591"/>
  <c r="B595"/>
  <c r="B601"/>
  <c r="B602" s="1"/>
  <c r="B603" s="1"/>
  <c r="B615"/>
  <c r="B621"/>
  <c r="B627"/>
  <c r="B631"/>
  <c r="B634"/>
  <c r="B638"/>
  <c r="B642"/>
  <c r="B643"/>
  <c r="B644" s="1"/>
  <c r="B653"/>
  <c r="B654"/>
  <c r="B655" s="1"/>
  <c r="B665"/>
  <c r="B670"/>
  <c r="B692"/>
  <c r="B693" s="1"/>
  <c r="B694" s="1"/>
  <c r="B696" s="1"/>
  <c r="B709"/>
  <c r="B715"/>
  <c r="B720"/>
  <c r="B723"/>
  <c r="B724"/>
  <c r="B732" s="1"/>
  <c r="B734" s="1"/>
  <c r="B731"/>
  <c r="B746"/>
  <c r="B752"/>
  <c r="B758"/>
  <c r="B759"/>
  <c r="B762" s="1"/>
  <c r="B763" s="1"/>
  <c r="B776"/>
  <c r="B782"/>
  <c r="B787"/>
  <c r="B791"/>
  <c r="B793"/>
  <c r="B797"/>
  <c r="B799"/>
  <c r="B804" s="1"/>
  <c r="B805" s="1"/>
  <c r="B803"/>
  <c r="B827"/>
  <c r="B832"/>
  <c r="B835"/>
  <c r="B838"/>
  <c r="B841"/>
  <c r="B842"/>
  <c r="B844" s="1"/>
  <c r="B846"/>
  <c r="B852"/>
  <c r="B855"/>
  <c r="G84" i="3"/>
  <c r="D79"/>
  <c r="D78" s="1"/>
  <c r="F58"/>
  <c r="D123" i="4"/>
  <c r="E123" s="1"/>
  <c r="D21" i="6"/>
  <c r="G22" s="1"/>
  <c r="E25"/>
  <c r="D13"/>
  <c r="G23" s="1"/>
  <c r="D145" i="3"/>
  <c r="D143" s="1"/>
  <c r="D141"/>
  <c r="E141" s="1"/>
  <c r="E101" i="2"/>
  <c r="E14" i="3"/>
  <c r="E110"/>
  <c r="D77" i="2"/>
  <c r="E77" s="1"/>
  <c r="D100"/>
  <c r="D99" s="1"/>
  <c r="D28" i="4"/>
  <c r="D96" i="2"/>
  <c r="D95" s="1"/>
  <c r="D94" s="1"/>
  <c r="D10" i="4"/>
  <c r="E72" i="2"/>
  <c r="D27"/>
  <c r="D26" s="1"/>
  <c r="G14"/>
  <c r="D79"/>
  <c r="E79" s="1"/>
  <c r="D31" i="6"/>
  <c r="C145" i="3"/>
  <c r="C143" s="1"/>
  <c r="C146" s="1"/>
  <c r="E85"/>
  <c r="E84"/>
  <c r="E63"/>
  <c r="C21" i="6"/>
  <c r="C18"/>
  <c r="C39" i="3" s="1"/>
  <c r="C34" i="2"/>
  <c r="C15"/>
  <c r="C14" s="1"/>
  <c r="C13" s="1"/>
  <c r="C52" i="4"/>
  <c r="C22"/>
  <c r="C10"/>
  <c r="E59" i="3"/>
  <c r="E60"/>
  <c r="E97" i="2"/>
  <c r="E98"/>
  <c r="C96"/>
  <c r="C95" s="1"/>
  <c r="C94" s="1"/>
  <c r="E76" i="3"/>
  <c r="C34"/>
  <c r="E34" s="1"/>
  <c r="C75"/>
  <c r="C66"/>
  <c r="D117"/>
  <c r="I118" s="1"/>
  <c r="I119" s="1"/>
  <c r="E39" i="6"/>
  <c r="E35"/>
  <c r="D137" i="3"/>
  <c r="E137" s="1"/>
  <c r="E62"/>
  <c r="E61"/>
  <c r="D75"/>
  <c r="C96"/>
  <c r="E96" s="1"/>
  <c r="C72"/>
  <c r="C20"/>
  <c r="E71" i="2"/>
  <c r="E70"/>
  <c r="E83" i="3"/>
  <c r="D72"/>
  <c r="E72" s="1"/>
  <c r="D69"/>
  <c r="C69"/>
  <c r="D66"/>
  <c r="D55"/>
  <c r="E55" s="1"/>
  <c r="D54"/>
  <c r="E54" s="1"/>
  <c r="D53"/>
  <c r="E16" i="2"/>
  <c r="E17"/>
  <c r="E21"/>
  <c r="E22"/>
  <c r="E24"/>
  <c r="E25"/>
  <c r="E28"/>
  <c r="E29"/>
  <c r="E57"/>
  <c r="E58"/>
  <c r="E59"/>
  <c r="E63"/>
  <c r="E64"/>
  <c r="E65"/>
  <c r="E67"/>
  <c r="E90"/>
  <c r="E91"/>
  <c r="E92"/>
  <c r="E111"/>
  <c r="E112"/>
  <c r="E113"/>
  <c r="E114"/>
  <c r="E115"/>
  <c r="E116"/>
  <c r="D20"/>
  <c r="E20" s="1"/>
  <c r="E81"/>
  <c r="D114" i="4"/>
  <c r="E114" s="1"/>
  <c r="D110"/>
  <c r="E110" s="1"/>
  <c r="D106"/>
  <c r="D88" i="2"/>
  <c r="E88" s="1"/>
  <c r="D62"/>
  <c r="E62" s="1"/>
  <c r="D91" i="3"/>
  <c r="D90" s="1"/>
  <c r="E90" s="1"/>
  <c r="E94"/>
  <c r="D76" i="4"/>
  <c r="E76" s="1"/>
  <c r="D64"/>
  <c r="E64" s="1"/>
  <c r="D34"/>
  <c r="E38" i="6"/>
  <c r="E24"/>
  <c r="E10" i="3"/>
  <c r="D27"/>
  <c r="D27" i="6"/>
  <c r="D40" i="3" s="1"/>
  <c r="D45" i="6"/>
  <c r="D44" s="1"/>
  <c r="E44" s="1"/>
  <c r="D31" i="4"/>
  <c r="E31" s="1"/>
  <c r="D18"/>
  <c r="E18" s="1"/>
  <c r="D14"/>
  <c r="E14" s="1"/>
  <c r="D23" i="2"/>
  <c r="E23" s="1"/>
  <c r="E14" i="6"/>
  <c r="E15"/>
  <c r="E16"/>
  <c r="E19"/>
  <c r="E20"/>
  <c r="E22"/>
  <c r="E23"/>
  <c r="E28"/>
  <c r="E29"/>
  <c r="E33"/>
  <c r="E34"/>
  <c r="E46"/>
  <c r="E47"/>
  <c r="E11" i="4"/>
  <c r="E12"/>
  <c r="E15"/>
  <c r="E16"/>
  <c r="E19"/>
  <c r="E20"/>
  <c r="E23"/>
  <c r="E24"/>
  <c r="E25"/>
  <c r="E26"/>
  <c r="E27"/>
  <c r="E28"/>
  <c r="E32"/>
  <c r="E54"/>
  <c r="E57"/>
  <c r="E65"/>
  <c r="E66"/>
  <c r="E67"/>
  <c r="E70"/>
  <c r="E72"/>
  <c r="E77"/>
  <c r="E78"/>
  <c r="E79"/>
  <c r="E86"/>
  <c r="E87"/>
  <c r="E91"/>
  <c r="E92"/>
  <c r="E93"/>
  <c r="E98"/>
  <c r="E100"/>
  <c r="E107"/>
  <c r="E108"/>
  <c r="E111"/>
  <c r="E115"/>
  <c r="E116"/>
  <c r="E16" i="3"/>
  <c r="E17"/>
  <c r="E18"/>
  <c r="E22"/>
  <c r="E23"/>
  <c r="E24"/>
  <c r="E25"/>
  <c r="E30"/>
  <c r="E31"/>
  <c r="E32"/>
  <c r="E33"/>
  <c r="E49"/>
  <c r="E50"/>
  <c r="E51"/>
  <c r="E52"/>
  <c r="E70"/>
  <c r="E73"/>
  <c r="E80"/>
  <c r="E81"/>
  <c r="E82"/>
  <c r="E92"/>
  <c r="E93"/>
  <c r="E97"/>
  <c r="E98"/>
  <c r="E99"/>
  <c r="E108"/>
  <c r="E109"/>
  <c r="B97"/>
  <c r="B96" s="1"/>
  <c r="B129" i="2" s="1"/>
  <c r="B91" i="3"/>
  <c r="B90" s="1"/>
  <c r="B122" i="4"/>
  <c r="B118" s="1"/>
  <c r="B11" i="2" s="1"/>
  <c r="B92"/>
  <c r="B16"/>
  <c r="B15" s="1"/>
  <c r="B90"/>
  <c r="B125" s="1"/>
  <c r="B79" i="3"/>
  <c r="B78" s="1"/>
  <c r="B111" i="2"/>
  <c r="B124" s="1"/>
  <c r="B34"/>
  <c r="B58" i="3"/>
  <c r="B128" i="2" s="1"/>
  <c r="B48" i="3"/>
  <c r="B91" i="2"/>
  <c r="B20"/>
  <c r="B23"/>
  <c r="B27"/>
  <c r="B26" s="1"/>
  <c r="B40"/>
  <c r="B41"/>
  <c r="B42"/>
  <c r="B43"/>
  <c r="B44"/>
  <c r="B45"/>
  <c r="B46"/>
  <c r="B56"/>
  <c r="B51" s="1"/>
  <c r="B57"/>
  <c r="B62"/>
  <c r="B69"/>
  <c r="B66" s="1"/>
  <c r="B78"/>
  <c r="B77" s="1"/>
  <c r="B66" i="3"/>
  <c r="B69"/>
  <c r="B72"/>
  <c r="B109"/>
  <c r="B106" s="1"/>
  <c r="B141"/>
  <c r="B139" s="1"/>
  <c r="B45" i="6"/>
  <c r="B44" s="1"/>
  <c r="B22"/>
  <c r="B18" s="1"/>
  <c r="B31"/>
  <c r="B27"/>
  <c r="B40" i="3" s="1"/>
  <c r="B13" i="6"/>
  <c r="B27" i="4"/>
  <c r="B22" s="1"/>
  <c r="B93"/>
  <c r="B67"/>
  <c r="B64" s="1"/>
  <c r="B87"/>
  <c r="B85" s="1"/>
  <c r="B108"/>
  <c r="B106" s="1"/>
  <c r="B100"/>
  <c r="B97" s="1"/>
  <c r="B110"/>
  <c r="B72"/>
  <c r="B10"/>
  <c r="B79"/>
  <c r="B76" s="1"/>
  <c r="B116"/>
  <c r="B114" s="1"/>
  <c r="B16"/>
  <c r="B14" s="1"/>
  <c r="B20"/>
  <c r="B18"/>
  <c r="B31"/>
  <c r="B40"/>
  <c r="B122" i="2"/>
  <c r="B130" s="1"/>
  <c r="B92" i="4"/>
  <c r="B90"/>
  <c r="B20" i="3"/>
  <c r="B8"/>
  <c r="B11"/>
  <c r="B10"/>
  <c r="B13"/>
  <c r="B9"/>
  <c r="B57" i="4"/>
  <c r="B52"/>
  <c r="B27" i="3"/>
  <c r="B89" i="2"/>
  <c r="B88" s="1"/>
  <c r="B87" s="1"/>
  <c r="B103" s="1"/>
  <c r="B133" i="3" s="1"/>
  <c r="D41"/>
  <c r="E89" i="2"/>
  <c r="E34"/>
  <c r="E35" s="1"/>
  <c r="E53" i="4"/>
  <c r="E68" i="2"/>
  <c r="E106" i="4"/>
  <c r="B137" i="3"/>
  <c r="E45" i="6"/>
  <c r="E27"/>
  <c r="E41" i="4"/>
  <c r="E90"/>
  <c r="E13" i="6"/>
  <c r="D42" i="3"/>
  <c r="G49" i="2"/>
  <c r="G52" s="1"/>
  <c r="B38" i="3"/>
  <c r="E97" i="4"/>
  <c r="E21" i="3"/>
  <c r="E58"/>
  <c r="E53"/>
  <c r="D20"/>
  <c r="B47"/>
  <c r="E67"/>
  <c r="E37" i="2"/>
  <c r="E36"/>
  <c r="E100"/>
  <c r="E51"/>
  <c r="E52"/>
  <c r="E56"/>
  <c r="E55"/>
  <c r="E50"/>
  <c r="E54"/>
  <c r="E53"/>
  <c r="E38"/>
  <c r="E49"/>
  <c r="E39"/>
  <c r="E43"/>
  <c r="E47"/>
  <c r="E45"/>
  <c r="E41"/>
  <c r="E42"/>
  <c r="E44"/>
  <c r="E40"/>
  <c r="E46"/>
  <c r="B145" i="3" l="1"/>
  <c r="B143" s="1"/>
  <c r="D48"/>
  <c r="B126" i="2"/>
  <c r="D52" i="4"/>
  <c r="O8"/>
  <c r="B238" i="7"/>
  <c r="B728"/>
  <c r="E42" i="3"/>
  <c r="B60" i="4"/>
  <c r="B8" i="2" s="1"/>
  <c r="E20" i="3"/>
  <c r="E96" i="2"/>
  <c r="D14"/>
  <c r="E14" s="1"/>
  <c r="C6" i="4"/>
  <c r="C7" i="2" s="1"/>
  <c r="C106" i="3"/>
  <c r="E111"/>
  <c r="E9"/>
  <c r="E27" i="2"/>
  <c r="D378" i="7"/>
  <c r="E378" s="1"/>
  <c r="D380"/>
  <c r="G15" i="3" s="1"/>
  <c r="H15" s="1"/>
  <c r="D360" i="7"/>
  <c r="E360" s="1"/>
  <c r="D99"/>
  <c r="E99" s="1"/>
  <c r="D500"/>
  <c r="E500" s="1"/>
  <c r="D304"/>
  <c r="D306" s="1"/>
  <c r="E306" s="1"/>
  <c r="D808"/>
  <c r="E808" s="1"/>
  <c r="G18" i="3"/>
  <c r="H18" s="1"/>
  <c r="D737" i="7"/>
  <c r="E737" s="1"/>
  <c r="B355"/>
  <c r="B359" s="1"/>
  <c r="B360" s="1"/>
  <c r="B362" s="1"/>
  <c r="B368"/>
  <c r="D238"/>
  <c r="G14" i="3" s="1"/>
  <c r="H14" s="1"/>
  <c r="E697" i="7"/>
  <c r="E328"/>
  <c r="B373"/>
  <c r="B132"/>
  <c r="E696"/>
  <c r="E615"/>
  <c r="G25" i="3"/>
  <c r="H25" s="1"/>
  <c r="E867" i="7"/>
  <c r="D847"/>
  <c r="E835"/>
  <c r="E145" i="3"/>
  <c r="E69"/>
  <c r="E75"/>
  <c r="B102" i="4"/>
  <c r="B10" i="2" s="1"/>
  <c r="B6" i="4"/>
  <c r="B7" i="2" s="1"/>
  <c r="D22" i="4"/>
  <c r="E22" s="1"/>
  <c r="E52"/>
  <c r="E107" i="3"/>
  <c r="D139"/>
  <c r="E139" s="1"/>
  <c r="E15" i="2"/>
  <c r="E45" i="10"/>
  <c r="D659" i="7"/>
  <c r="G22" i="3"/>
  <c r="H22" s="1"/>
  <c r="E381" i="7"/>
  <c r="D184"/>
  <c r="E184" s="1"/>
  <c r="D812"/>
  <c r="D813" s="1"/>
  <c r="E665"/>
  <c r="E368"/>
  <c r="D433"/>
  <c r="E431"/>
  <c r="G24" i="3"/>
  <c r="H24" s="1"/>
  <c r="E811" i="7"/>
  <c r="G679"/>
  <c r="E679"/>
  <c r="D678"/>
  <c r="E359"/>
  <c r="D647"/>
  <c r="E647" s="1"/>
  <c r="E290"/>
  <c r="E655"/>
  <c r="D767"/>
  <c r="E767" s="1"/>
  <c r="E709"/>
  <c r="E551"/>
  <c r="E302"/>
  <c r="D581"/>
  <c r="E560"/>
  <c r="D603"/>
  <c r="E603" s="1"/>
  <c r="E602"/>
  <c r="E341"/>
  <c r="E344"/>
  <c r="E694"/>
  <c r="D280"/>
  <c r="E267"/>
  <c r="G21" i="3"/>
  <c r="H21" s="1"/>
  <c r="E239" i="7"/>
  <c r="G17" i="3"/>
  <c r="H17" s="1"/>
  <c r="B810" i="7"/>
  <c r="B678"/>
  <c r="D138"/>
  <c r="E136"/>
  <c r="D24"/>
  <c r="E23"/>
  <c r="D226"/>
  <c r="E226" s="1"/>
  <c r="E224"/>
  <c r="D70"/>
  <c r="E70" s="1"/>
  <c r="E68"/>
  <c r="B867"/>
  <c r="E223"/>
  <c r="B39" i="3"/>
  <c r="B11" i="6"/>
  <c r="B7" s="1"/>
  <c r="E21"/>
  <c r="E40" i="3"/>
  <c r="B41"/>
  <c r="D38"/>
  <c r="E38" s="1"/>
  <c r="D18" i="6"/>
  <c r="G27"/>
  <c r="C93" i="9"/>
  <c r="E93"/>
  <c r="B581" i="7"/>
  <c r="B583" s="1"/>
  <c r="B847"/>
  <c r="B868" s="1"/>
  <c r="B223"/>
  <c r="B224" s="1"/>
  <c r="B226" s="1"/>
  <c r="B679"/>
  <c r="B455"/>
  <c r="B457" s="1"/>
  <c r="B68"/>
  <c r="B70" s="1"/>
  <c r="B735"/>
  <c r="B737" s="1"/>
  <c r="B811"/>
  <c r="B657"/>
  <c r="C657" s="1"/>
  <c r="E657" s="1"/>
  <c r="B676"/>
  <c r="B539"/>
  <c r="B541" s="1"/>
  <c r="B239"/>
  <c r="B866"/>
  <c r="B761"/>
  <c r="B765" s="1"/>
  <c r="B863"/>
  <c r="B801"/>
  <c r="B806" s="1"/>
  <c r="B808" s="1"/>
  <c r="B272"/>
  <c r="B280" s="1"/>
  <c r="B282" s="1"/>
  <c r="B133"/>
  <c r="B136" s="1"/>
  <c r="B99"/>
  <c r="B109"/>
  <c r="E91" i="3"/>
  <c r="E79"/>
  <c r="E48"/>
  <c r="D47"/>
  <c r="E47" s="1"/>
  <c r="D106"/>
  <c r="G19" i="6"/>
  <c r="G24" s="1"/>
  <c r="B61" i="2"/>
  <c r="D66"/>
  <c r="B39"/>
  <c r="B38" s="1"/>
  <c r="E95"/>
  <c r="E78"/>
  <c r="D33"/>
  <c r="E48"/>
  <c r="C87"/>
  <c r="C103" s="1"/>
  <c r="C133" i="3" s="1"/>
  <c r="E94" i="2"/>
  <c r="E99"/>
  <c r="D87"/>
  <c r="F87" s="1"/>
  <c r="B81" i="4"/>
  <c r="B9" i="2" s="1"/>
  <c r="D6" i="4"/>
  <c r="D69"/>
  <c r="E69" s="1"/>
  <c r="E10"/>
  <c r="N22"/>
  <c r="E42"/>
  <c r="D122"/>
  <c r="B48" i="2"/>
  <c r="D102" i="4"/>
  <c r="N105" s="1"/>
  <c r="D81"/>
  <c r="N85" s="1"/>
  <c r="E40"/>
  <c r="E26" i="2"/>
  <c r="D13"/>
  <c r="E13" s="1"/>
  <c r="B46" i="3"/>
  <c r="B44" s="1"/>
  <c r="B134" s="1"/>
  <c r="B132" s="1"/>
  <c r="E8"/>
  <c r="E66"/>
  <c r="E78"/>
  <c r="E15"/>
  <c r="D13"/>
  <c r="H13" s="1"/>
  <c r="C27"/>
  <c r="E27" s="1"/>
  <c r="B135" i="2"/>
  <c r="B137" s="1"/>
  <c r="C46" i="3"/>
  <c r="C44" s="1"/>
  <c r="C134" s="1"/>
  <c r="B146"/>
  <c r="E143"/>
  <c r="C11"/>
  <c r="E11" s="1"/>
  <c r="C13"/>
  <c r="B37"/>
  <c r="B7" s="1"/>
  <c r="B6" s="1"/>
  <c r="C6" i="2"/>
  <c r="C85" s="1"/>
  <c r="C130" i="3" s="1"/>
  <c r="B14" i="2"/>
  <c r="B13" s="1"/>
  <c r="B645" i="7"/>
  <c r="B605"/>
  <c r="B498"/>
  <c r="B500" s="1"/>
  <c r="B433"/>
  <c r="B435" s="1"/>
  <c r="B304"/>
  <c r="B306" s="1"/>
  <c r="B184"/>
  <c r="B186" s="1"/>
  <c r="B53"/>
  <c r="B54" s="1"/>
  <c r="B697"/>
  <c r="G15" i="2" l="1"/>
  <c r="E106" i="3"/>
  <c r="D146"/>
  <c r="B6" i="2"/>
  <c r="D362" i="7"/>
  <c r="E380"/>
  <c r="E304"/>
  <c r="D382"/>
  <c r="E382" s="1"/>
  <c r="C539"/>
  <c r="E539" s="1"/>
  <c r="D186"/>
  <c r="E186" s="1"/>
  <c r="E238"/>
  <c r="D868"/>
  <c r="E847"/>
  <c r="D848"/>
  <c r="E848" s="1"/>
  <c r="B138"/>
  <c r="B140" s="1"/>
  <c r="E678"/>
  <c r="G16" i="3"/>
  <c r="H16" s="1"/>
  <c r="G678" i="7"/>
  <c r="G33" i="3"/>
  <c r="H33" s="1"/>
  <c r="E812" i="7"/>
  <c r="B848"/>
  <c r="D583"/>
  <c r="E583" s="1"/>
  <c r="E581"/>
  <c r="G10" i="3"/>
  <c r="H10" s="1"/>
  <c r="E813" i="7"/>
  <c r="D680"/>
  <c r="E433"/>
  <c r="D435"/>
  <c r="E435" s="1"/>
  <c r="D140"/>
  <c r="E140" s="1"/>
  <c r="E138"/>
  <c r="B869"/>
  <c r="D240"/>
  <c r="E53"/>
  <c r="D54"/>
  <c r="E54" s="1"/>
  <c r="D26"/>
  <c r="E26" s="1"/>
  <c r="E24"/>
  <c r="E280"/>
  <c r="D282"/>
  <c r="G11" i="6"/>
  <c r="E18"/>
  <c r="D11"/>
  <c r="D7" s="1"/>
  <c r="D241" i="7" s="1"/>
  <c r="D39" i="3"/>
  <c r="B659" i="7"/>
  <c r="C659" s="1"/>
  <c r="E659" s="1"/>
  <c r="B680"/>
  <c r="B681" s="1"/>
  <c r="B812"/>
  <c r="B813" s="1"/>
  <c r="B767"/>
  <c r="B376"/>
  <c r="B383" s="1"/>
  <c r="E146" i="3"/>
  <c r="D46"/>
  <c r="B33" i="2"/>
  <c r="B32" s="1"/>
  <c r="B85" s="1"/>
  <c r="B130" i="3" s="1"/>
  <c r="D61" i="2"/>
  <c r="E61" s="1"/>
  <c r="E66"/>
  <c r="H38"/>
  <c r="H40" s="1"/>
  <c r="E33"/>
  <c r="G33"/>
  <c r="E87"/>
  <c r="D103"/>
  <c r="D60" i="4"/>
  <c r="E60" s="1"/>
  <c r="E122"/>
  <c r="D118"/>
  <c r="D10" i="2"/>
  <c r="E10" s="1"/>
  <c r="E102" i="4"/>
  <c r="E81"/>
  <c r="D9" i="2"/>
  <c r="E9" s="1"/>
  <c r="D8"/>
  <c r="E8" s="1"/>
  <c r="D7"/>
  <c r="O10" i="4"/>
  <c r="E6"/>
  <c r="B36" i="3"/>
  <c r="E13"/>
  <c r="C132"/>
  <c r="B647" i="7"/>
  <c r="C645"/>
  <c r="E645" s="1"/>
  <c r="B131" i="3"/>
  <c r="B103"/>
  <c r="G31" l="1"/>
  <c r="H31" s="1"/>
  <c r="G34"/>
  <c r="H34" s="1"/>
  <c r="E868" i="7"/>
  <c r="D869"/>
  <c r="B240"/>
  <c r="B242" s="1"/>
  <c r="B123" i="3"/>
  <c r="B114"/>
  <c r="D32" i="2"/>
  <c r="J33" s="1"/>
  <c r="D44" i="3"/>
  <c r="D134" s="1"/>
  <c r="E134" s="1"/>
  <c r="G44"/>
  <c r="E680" i="7"/>
  <c r="G680"/>
  <c r="D681"/>
  <c r="E240"/>
  <c r="G30" i="3"/>
  <c r="H30" s="1"/>
  <c r="D242" i="7"/>
  <c r="E241"/>
  <c r="E282"/>
  <c r="D383"/>
  <c r="E39" i="3"/>
  <c r="D37"/>
  <c r="E46"/>
  <c r="G35" i="2"/>
  <c r="E32"/>
  <c r="B127"/>
  <c r="B136" s="1"/>
  <c r="E103"/>
  <c r="D133" i="3"/>
  <c r="B129"/>
  <c r="B135" s="1"/>
  <c r="B105" i="2"/>
  <c r="B120" s="1"/>
  <c r="D11"/>
  <c r="E11" s="1"/>
  <c r="E118" i="4"/>
  <c r="E7" i="2"/>
  <c r="G11" i="3" l="1"/>
  <c r="H11" s="1"/>
  <c r="E869" i="7"/>
  <c r="E44" i="3"/>
  <c r="G8"/>
  <c r="H8" s="1"/>
  <c r="E383" i="7"/>
  <c r="G9" i="3"/>
  <c r="H9" s="1"/>
  <c r="E681" i="7"/>
  <c r="G7" i="3"/>
  <c r="E242" i="7"/>
  <c r="D7" i="3"/>
  <c r="D36"/>
  <c r="F6" s="1"/>
  <c r="E133"/>
  <c r="D132"/>
  <c r="E132" s="1"/>
  <c r="D6" i="2"/>
  <c r="D85" s="1"/>
  <c r="D6" i="3" l="1"/>
  <c r="D131" s="1"/>
  <c r="H7"/>
  <c r="D130"/>
  <c r="E130" s="1"/>
  <c r="D105" i="2"/>
  <c r="D120" s="1"/>
  <c r="B11" i="11" s="1"/>
  <c r="E6" i="2"/>
  <c r="E85"/>
  <c r="D103" i="3" l="1"/>
  <c r="D114" s="1"/>
  <c r="D129"/>
  <c r="D135" s="1"/>
  <c r="F146" s="1"/>
  <c r="E105" i="2"/>
  <c r="E120"/>
  <c r="E32" i="6"/>
  <c r="C41" i="3"/>
  <c r="B12" i="11" l="1"/>
  <c r="B13" s="1"/>
  <c r="B16" s="1"/>
  <c r="D123" i="3"/>
  <c r="C37"/>
  <c r="C7" s="1"/>
  <c r="E41"/>
  <c r="E31" i="6"/>
  <c r="C11"/>
  <c r="A36" i="11" l="1"/>
  <c r="A44" s="1"/>
  <c r="D140" i="2"/>
  <c r="F117" i="3"/>
  <c r="G120"/>
  <c r="G121" s="1"/>
  <c r="C36"/>
  <c r="E37"/>
  <c r="C7" i="6"/>
  <c r="E7" s="1"/>
  <c r="E11"/>
  <c r="E36" i="3" l="1"/>
  <c r="I21"/>
  <c r="E7"/>
  <c r="C6"/>
  <c r="C131" l="1"/>
  <c r="C103"/>
  <c r="C114" s="1"/>
  <c r="E114" s="1"/>
  <c r="E6"/>
  <c r="C123" l="1"/>
  <c r="K117" s="1"/>
  <c r="E103"/>
  <c r="E131"/>
  <c r="C129"/>
  <c r="E123" l="1"/>
  <c r="C140" i="2"/>
  <c r="C135" i="3"/>
  <c r="E135" s="1"/>
  <c r="E129"/>
</calcChain>
</file>

<file path=xl/sharedStrings.xml><?xml version="1.0" encoding="utf-8"?>
<sst xmlns="http://schemas.openxmlformats.org/spreadsheetml/2006/main" count="1591" uniqueCount="936">
  <si>
    <t>1.2.3.  Kiegészítő támogatás az óvodapedagógusok minősítéséből adódó többletkiadásokhoz</t>
  </si>
  <si>
    <t>1.2.4. A köznevelési intézmények működtetéséhez kapcsolódó támogatás</t>
  </si>
  <si>
    <t>1.3.2.4. Időskorúak nappali intézményi ellátása  (109000 Ft/fő x 106 fő)</t>
  </si>
  <si>
    <t>1.4. Kulturális feladatok támogatása (1140 Ft/fő x 5135 fő)</t>
  </si>
  <si>
    <t xml:space="preserve">   - Ntp. Kft. részére a közfeladatainak ellátásához biztosított támogatás </t>
  </si>
  <si>
    <t>1. Nagyszénás Nagyközség Önkormányzata</t>
  </si>
  <si>
    <t>II. Közhatalmi bevételek</t>
  </si>
  <si>
    <t>2. Polgármesteri Hivatal</t>
  </si>
  <si>
    <t>1.1. Helyi adók</t>
  </si>
  <si>
    <t>1.1.1. Helyi iparűzési adó</t>
  </si>
  <si>
    <t>1.2. Átengedett központi adók</t>
  </si>
  <si>
    <t>1.2.1. Gépjárműadó</t>
  </si>
  <si>
    <t>1.2.2. Földhaszonbér Szja</t>
  </si>
  <si>
    <t>1.3. Egyéb sajátos bevételek</t>
  </si>
  <si>
    <t>2.1 Egyéb sajátos bevételek</t>
  </si>
  <si>
    <t>2.2.1. Igazgatási szolgáltatások bevétele</t>
  </si>
  <si>
    <t>2.2.2. Szabálysértési bírság</t>
  </si>
  <si>
    <t>Felhalmozási egyenleg</t>
  </si>
  <si>
    <t>Működési egyenleg</t>
  </si>
  <si>
    <t>VII. A KÖLTSÉGVETÉSI MARADVÁNY  ÉS A FINASZÍROZÁSI MŰVELETEK EGYÜTTES EGYENLEGE (IV+V+VI)</t>
  </si>
  <si>
    <t>IV. KÖLTSÉGVETÉSI MARADVÁNY</t>
  </si>
  <si>
    <t xml:space="preserve">             Termálvíz projekt hőértékesítés bevétele</t>
  </si>
  <si>
    <t>104035 Gyermekétkezetés bölcsődében</t>
  </si>
  <si>
    <t xml:space="preserve">   - Polgármesteri támogatási keret</t>
  </si>
  <si>
    <t>Részvényértékesítés</t>
  </si>
  <si>
    <t>Pénzmaradvány</t>
  </si>
  <si>
    <t>Szennyvízberuházás egyenlege</t>
  </si>
  <si>
    <t>Termálvízberuházás egyenlege</t>
  </si>
  <si>
    <t>Működési hiány</t>
  </si>
  <si>
    <t>Egyéb beruházás</t>
  </si>
  <si>
    <t>Egyenleg</t>
  </si>
  <si>
    <t xml:space="preserve">   - Orosházi Többcélú Kistérségi Társulás tagdíj</t>
  </si>
  <si>
    <t>Ingatlanértékesítés</t>
  </si>
  <si>
    <t xml:space="preserve">   - Orosházi Többcélú Kistérségi Társulás orvosi ügyelet fenntartása</t>
  </si>
  <si>
    <t>1. Beruházási kiadások</t>
  </si>
  <si>
    <t>2. Felújítási kiadások</t>
  </si>
  <si>
    <t xml:space="preserve">           Étkeztetési térítési díj bevétel</t>
  </si>
  <si>
    <t xml:space="preserve">             Bérleti díjak</t>
  </si>
  <si>
    <t>1.2.1.4. Óvodai a nevelő munkát segítők bértámogatása (4 hóra)</t>
  </si>
  <si>
    <t>Kötelező önkormányzati feladatok</t>
  </si>
  <si>
    <t>Államigazgatási feladatok</t>
  </si>
  <si>
    <t>Nagyszénás Nagyközség Önkormányzata összesen:</t>
  </si>
  <si>
    <t xml:space="preserve">   - Bursa ösztöndíj</t>
  </si>
  <si>
    <t>1. Önkormányzatok feladatalapú támogatásai</t>
  </si>
  <si>
    <t xml:space="preserve">   - Civil szervezetek támogatása</t>
  </si>
  <si>
    <t>1.2. Polgármesteri Hivatal</t>
  </si>
  <si>
    <t>1.3. Gondozási Központ</t>
  </si>
  <si>
    <t>Nagyszénás Nagyközség Önkormányzata</t>
  </si>
  <si>
    <t>III. ÖNKORMÁNYZATI TARTALÉKOK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</si>
  <si>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</si>
  <si>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</si>
  <si>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</si>
  <si>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1.2. Települési önkormányzatok köznevelési feladatainak támogatása</t>
  </si>
  <si>
    <t>1.3. Települési önkormányzatok szociális és gyermekjóléti feladatainak támogatása</t>
  </si>
  <si>
    <t>1.3.3 .Gyermekétkeztetés támogatása</t>
  </si>
  <si>
    <t>1.3.2.5. Bölcsődei ellátás (önként vállalt önkormányzati feladat)</t>
  </si>
  <si>
    <t>2.5.5. Lakáshoz jutás feladatai (100%-a)</t>
  </si>
  <si>
    <t xml:space="preserve">1. Személyi juttatások </t>
  </si>
  <si>
    <t>2. Munkaadókat terhelő járulékok</t>
  </si>
  <si>
    <t xml:space="preserve">3. Dologi kiadások </t>
  </si>
  <si>
    <t>1. Működési célú hitel felvétele pénzintézettől</t>
  </si>
  <si>
    <t>2. Működési célú  hitel visszafizetése pénzintézetnek</t>
  </si>
  <si>
    <t>1. Felhalmozási célú hitel felvétele pénzintézettől</t>
  </si>
  <si>
    <t>2. Felhalmozási célú hitel visszafizetése pénzintézetnek</t>
  </si>
  <si>
    <t xml:space="preserve">            Konyha energia továbbszámlázás</t>
  </si>
  <si>
    <t xml:space="preserve">                                       Költségvetés egyenlegének finanszírozási módja</t>
  </si>
  <si>
    <t xml:space="preserve">066020 Város-, és községgazdálkodási egyéb szolgáltatások </t>
  </si>
  <si>
    <t xml:space="preserve">1. Felhalmozási célú bevételek összesen: </t>
  </si>
  <si>
    <t>V.  MÜKÖDÉSI CÉLÚ FINANSZÍROZÁSI MŰVELETEK EGYENLEGE (1.-2.):</t>
  </si>
  <si>
    <t xml:space="preserve">1. Általános tartalék </t>
  </si>
  <si>
    <t>VI.  FELHALMOZÁSI CÉLÚ FINANSZÍROZÁSI MŰVELETEK EGYENLEGE (1.-2.)</t>
  </si>
  <si>
    <t>1.2.1.1. Óvoda pedagógusok bértámogatása (8 hóra)</t>
  </si>
  <si>
    <t>1.2.1.3. Óvoda pedagógusok bértámogatása (4 hóra)</t>
  </si>
  <si>
    <t>1.2.1.2. Óvodai a nevelő munkát segítők bértámogatása (8 hóra)</t>
  </si>
  <si>
    <t>II. FELHALMOZÁSI, FELÚJÍTÁSI KIADÁSOK</t>
  </si>
  <si>
    <t>Polgármesteri Hivatal</t>
  </si>
  <si>
    <t xml:space="preserve">             Kiszámlázott termékek Áfá-ja</t>
  </si>
  <si>
    <t xml:space="preserve">             Alaptev.összefüggő egyéb bev.</t>
  </si>
  <si>
    <t xml:space="preserve">             Kamatbevétel, hozadék</t>
  </si>
  <si>
    <t xml:space="preserve">             Telefon térítés</t>
  </si>
  <si>
    <t xml:space="preserve">             Kiszámlázott term. és szolg. Áfá-ja</t>
  </si>
  <si>
    <t xml:space="preserve">             Orvosi rendelők közüzemi költségátalány díja</t>
  </si>
  <si>
    <t xml:space="preserve">            Közterülethasználat</t>
  </si>
  <si>
    <t xml:space="preserve">            Anyageladás</t>
  </si>
  <si>
    <t xml:space="preserve">            Kiszámlázott term. és szolg. Áfá-ja</t>
  </si>
  <si>
    <t xml:space="preserve">            Köztemetés, hagyaték</t>
  </si>
  <si>
    <t>Gondozási Központ</t>
  </si>
  <si>
    <t xml:space="preserve">            Telefon térítés</t>
  </si>
  <si>
    <t xml:space="preserve">           </t>
  </si>
  <si>
    <t xml:space="preserve">           Intézményi ellátási díjak</t>
  </si>
  <si>
    <t xml:space="preserve">           Kiszámlázott term. és szolg. Áfá-ja</t>
  </si>
  <si>
    <t xml:space="preserve">           Kiszámlázott termékek és szolg. Áfá-ja</t>
  </si>
  <si>
    <t>Társadalmi szervezetek támogatásai</t>
  </si>
  <si>
    <t xml:space="preserve">   - Sport támogatása</t>
  </si>
  <si>
    <t>Egyéb szervezetek támogatása</t>
  </si>
  <si>
    <t xml:space="preserve">            Földhasználati díjak</t>
  </si>
  <si>
    <t xml:space="preserve">Rendszeres pénzbeli ellátások </t>
  </si>
  <si>
    <t>Eseti pénzbeli ellátások</t>
  </si>
  <si>
    <t xml:space="preserve">   - köztemetés</t>
  </si>
  <si>
    <t>1.1.2. Termálvíz-hasznosítási program támogatása (KEOP)</t>
  </si>
  <si>
    <t>1.1.3. Termálvíz-hasznosítási program támogatása (EU önerő alap)</t>
  </si>
  <si>
    <t>Működési célú pénzeszközátadás</t>
  </si>
  <si>
    <t>2.1. Nagyszénás Nagyközség Önkormányzata</t>
  </si>
  <si>
    <t>072112 Házi orvosi alapellátás</t>
  </si>
  <si>
    <t>072311 Fogorvosi alapellátás</t>
  </si>
  <si>
    <t>011130 Önkormányzatok és  önkormányzati hivatalok jogalkotó és általános igazgatási tevékenysége</t>
  </si>
  <si>
    <t>074031 Család és nővédelmi egészségügyi gondozás</t>
  </si>
  <si>
    <t>107051 Szociális étkeztetés</t>
  </si>
  <si>
    <t>091140  Óvodai nevelés, ellátás működtetési feladatai</t>
  </si>
  <si>
    <t>1.5. Czabán Samu Művelődési Ház és Könyvtár</t>
  </si>
  <si>
    <t>1.2.1. Óvoda pedagógusok és a nevelő munkát segítők bértámogatása</t>
  </si>
  <si>
    <t>1.2.2. Óvodaműködtetési támogatás</t>
  </si>
  <si>
    <t xml:space="preserve">1.3.2. Szociális és gyermekjóléti alapszolgáltatás általános feladatai </t>
  </si>
  <si>
    <t>1. Felhalmozási célú támogatásértékű bevételek ÁHT-n belülről</t>
  </si>
  <si>
    <t>I. ÖNKORMÁNYZAT KÖLTSÉGVETÉS MŰKÖDÉSI KIADÁSAI</t>
  </si>
  <si>
    <t xml:space="preserve">             Lakástámogatás visszafizetése</t>
  </si>
  <si>
    <t xml:space="preserve">            Iskolai helyiségek bérbeadása</t>
  </si>
  <si>
    <t xml:space="preserve">           Áfa visszatérülés</t>
  </si>
  <si>
    <t>MŰKÖDÉSI CÉLÚ  BEVÉTELEK  ÖSSZESEN: (I+II+III)</t>
  </si>
  <si>
    <t>IV. Felhalmozási célú véglegesen átvett pénzeszközök</t>
  </si>
  <si>
    <t xml:space="preserve">1.1. Nagyszénás Nagyközség Önkormányzata </t>
  </si>
  <si>
    <t>(közműköltség, irodaszer, nyomtatvány, foglalkozás eü, belső ell., étkeztetés költsége,</t>
  </si>
  <si>
    <t xml:space="preserve">1.2.1.5. Óvodapedagógusok kiegészítő támogatása (11 hóra) </t>
  </si>
  <si>
    <t>1.3.1. Települési önkormányzatok szociális feladatainak egyéb támogatása</t>
  </si>
  <si>
    <t>1.3.2.2. Szociális étkeztetés (55360Ft/fő x 90 fő )</t>
  </si>
  <si>
    <t>1.3.2.3. Házi segítségnyújtás  (145000Ft/fő x 82 fő )</t>
  </si>
  <si>
    <t>910121 Könyvtári állomány gyarapítása, nyilvántartása</t>
  </si>
  <si>
    <t>1.1. Nagyszénás Nagyközség Önkormányzata</t>
  </si>
  <si>
    <t xml:space="preserve">            Mezőőri járulék (nem kötelező önkormányzati feladat)</t>
  </si>
  <si>
    <t>Önként vállalt önkormányzati feladatok</t>
  </si>
  <si>
    <t>3. Felhalmozási célú pénzeszközátadás</t>
  </si>
  <si>
    <t>MŰKÖDÉSI ÉS FELHALMOZÁSI CÉLÚ  KIADÁSOK ÉS TARTALÉKOK  ÖSSZESEN: (I+II+III)</t>
  </si>
  <si>
    <t xml:space="preserve">            Egyéb intézményi bev. (közműdíjak megtérülése )</t>
  </si>
  <si>
    <t xml:space="preserve">            Egyéb intézményi bev. (gépjármű használat )</t>
  </si>
  <si>
    <t xml:space="preserve">2. Fejlesztési céltartalék </t>
  </si>
  <si>
    <t>3.1. Nagyszénás Nagyközség Önkormányzata</t>
  </si>
  <si>
    <t xml:space="preserve">2. Felhalmozási célú kiadások  összesen: </t>
  </si>
  <si>
    <t xml:space="preserve">          Áfa visszatérülés</t>
  </si>
  <si>
    <t xml:space="preserve">           Alaptev. körében végzett szolgáltatás</t>
  </si>
  <si>
    <t>1.2.1. Kisértékű tárgyieszköz beruházás</t>
  </si>
  <si>
    <t>1.3.1. Kisértékű tárgyieszköz beruházás</t>
  </si>
  <si>
    <t>1.4.1. Kisértékű tárgyieszköz beruházás</t>
  </si>
  <si>
    <t>szakmai készlet, szakmai szolgáltatások, különféle kiadások, befizetések, ÁFA)</t>
  </si>
  <si>
    <t>I. A KÖLTSÉGVETÉS EGYENLEGE A MÜKÖDÉSI BEVÉTELEK,  KIADÁSOK   ÉS A TARTALÉKOK ALAPJÁN(1. -2.):</t>
  </si>
  <si>
    <t>III. A KÖLTSÉGVETÉS EGYENLEGE A MÜKÖDÉSI ÉS FELMOZÁSI BEVÉTELEK ÉS KIADÁSOK  ÉS TARTALÉKOK  ALAPJÁN (I+II):</t>
  </si>
  <si>
    <t>II. A  KÖLTSÉGVETÉS EGYENLEGE A FELHALMOZÁSI BEVÉTELEK, KIADÁSOK  ALAPJÁN(1. -2.):</t>
  </si>
  <si>
    <t>Tartalékok</t>
  </si>
  <si>
    <t>096010 Gyermekétkeztetés köznevelési intézményekben</t>
  </si>
  <si>
    <t xml:space="preserve">   - Közművelődési Kft. részére a közfeladatainak ellátásához biztosított támogatás </t>
  </si>
  <si>
    <t>IV. BELFÖLDI FINANSZÍROZÁSI KIADÁSOK</t>
  </si>
  <si>
    <t>3. Óvadéki tartalék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</si>
  <si>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</si>
  <si>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</si>
  <si>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</si>
  <si>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</si>
  <si>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2.2.  Önkormányzat egyéb működési célú támogatásai</t>
  </si>
  <si>
    <t xml:space="preserve">2.2.2. Prémium évek program átvett pénzeszköz </t>
  </si>
  <si>
    <t xml:space="preserve">             Parkfürdő jegybevétele</t>
  </si>
  <si>
    <t>081061 Szabadidős park, fürdő és strandszolgáltatás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</si>
  <si>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</si>
  <si>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</si>
  <si>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</si>
  <si>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</si>
  <si>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</si>
  <si>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</si>
  <si>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Czabán Samu Művelődési Ház és Könyvtár</t>
  </si>
  <si>
    <t xml:space="preserve">            Termények értékesítési bevétele (földalapú támogatással)</t>
  </si>
  <si>
    <t>2. Önkormányzat  egyéb működési célú támogatásai államháztartáson belülről</t>
  </si>
  <si>
    <t>3.1. Foglalkoztatási támogatások</t>
  </si>
  <si>
    <t>1.1.1 Parkfürdő beruházási kiadásai</t>
  </si>
  <si>
    <t xml:space="preserve">    1.1.1.1. Parkfürdő hangosítás</t>
  </si>
  <si>
    <t xml:space="preserve">    1.1.1.2. Parkfürdő vízalatti porszívó</t>
  </si>
  <si>
    <t xml:space="preserve">    1.1.1.3. Parkfürdő öntözőrendszer</t>
  </si>
  <si>
    <t>1.3.1. Helyiadó pótlék bevétele</t>
  </si>
  <si>
    <t xml:space="preserve">   - rendkívüli települési támogatás </t>
  </si>
  <si>
    <t xml:space="preserve">   - tanévkezdési támogatás</t>
  </si>
  <si>
    <t xml:space="preserve">    - átmeneti segély a kötelező szemétszállítás kompenzálásához</t>
  </si>
  <si>
    <t xml:space="preserve">    - lakhatási támogatás</t>
  </si>
  <si>
    <t>2.1.1. Kulturális Központ felújítása (színpad, táncterem mennyezet)</t>
  </si>
  <si>
    <t xml:space="preserve">   - babakelengye támogatás</t>
  </si>
  <si>
    <t xml:space="preserve">FELHALMOZÁSI CÉLÚ  BEVÉTELEK  ÖSSZESEN (IV): </t>
  </si>
  <si>
    <t>MŰKÖDÉSI ÉS FELHALMOZÁSI CÉLÚ  BEVÉTELEK  ÖSSZESEN: (I+II+III+IV)</t>
  </si>
  <si>
    <t xml:space="preserve">   - lakásvásárlás támogatása</t>
  </si>
  <si>
    <t xml:space="preserve">    1.1.1.4. Parkfürdő online pénztárgép</t>
  </si>
  <si>
    <t>1.3.2.1. Család- és gyermekjóléti szolgálat</t>
  </si>
  <si>
    <t>2.1.3. Ivóvízhálózat rekonstrukciós munkák</t>
  </si>
  <si>
    <t>1.1.3. A 2015. évről áthúzódó bérkompenzáció támogatása</t>
  </si>
  <si>
    <t xml:space="preserve">1.1.1. Szennyvízberuházás támogatása </t>
  </si>
  <si>
    <t>2.2. Polgármesteri Hivatal</t>
  </si>
  <si>
    <t>2.3. Gondozási Központ</t>
  </si>
  <si>
    <t>2.5. Czabán Samu Művelődési Ház és Könyvtár</t>
  </si>
  <si>
    <t>3.2. Polgármesteri Hivatal</t>
  </si>
  <si>
    <t>3.3. Gondozási Központ</t>
  </si>
  <si>
    <t>3.5. Czabán Samu Művelődési Ház és Könyvtár</t>
  </si>
  <si>
    <t>1.Nagyszénás Nagyközség Önkormányzata</t>
  </si>
  <si>
    <t>3. Gondozási Központ</t>
  </si>
  <si>
    <t>5. Czabán Samu művelődési Ház és Könyvtár</t>
  </si>
  <si>
    <t>910502 Közművelődési intézmények, közösségi színterek működtetése</t>
  </si>
  <si>
    <t xml:space="preserve">           Helyiségek bérbeadása</t>
  </si>
  <si>
    <t>1.5. Czabán Samu művelődési Ház és Könyvtár</t>
  </si>
  <si>
    <t>3.1.2. NTp. Nagyszénás Nonprofit Kft. törzstőke emelése</t>
  </si>
  <si>
    <t>3.1.1. Nagyszénási Kulturális Központ Nonprofit Kft. törzstőkéjének elhelyezése</t>
  </si>
  <si>
    <t>Módosított</t>
  </si>
  <si>
    <t>Teljesítés</t>
  </si>
  <si>
    <t>Telj. %-a</t>
  </si>
  <si>
    <t>Telj.%-a</t>
  </si>
  <si>
    <t>Eredeti</t>
  </si>
  <si>
    <t xml:space="preserve">             Készletétékesítés bevétele</t>
  </si>
  <si>
    <t xml:space="preserve">             Továbbszámlázott szolgáltatások</t>
  </si>
  <si>
    <t xml:space="preserve">             ÁFA viszatérítés bevétele</t>
  </si>
  <si>
    <t>2.2.4. Szociális ágazati pótlék</t>
  </si>
  <si>
    <t xml:space="preserve">             Bérleti díj bevételek</t>
  </si>
  <si>
    <t xml:space="preserve">   - Működési hozzájárulás a gyomai üdülőhöz</t>
  </si>
  <si>
    <t>Egyéb átadott pénzeszközök</t>
  </si>
  <si>
    <t xml:space="preserve">   - Előző évi elszámolások kiadásai</t>
  </si>
  <si>
    <t>882203 Köztemetés</t>
  </si>
  <si>
    <t xml:space="preserve">            Egyéb szolgáltatások bevétele</t>
  </si>
  <si>
    <t>3.1.3. Fejlesztési támogatás a Nagyszénási Sportegyesület részére</t>
  </si>
  <si>
    <t>3. Gondozási Központ támogatásai  államháztartáson belülről</t>
  </si>
  <si>
    <t>III. Működési célú támogatások</t>
  </si>
  <si>
    <t>1.1.2. Magánszemélyek kommunális adója</t>
  </si>
  <si>
    <t>1.1.3. Talajterhelési díj bevétele</t>
  </si>
  <si>
    <t>1.1.3. Kerékpár tároló kialakítása a házi segítségnyújtás telephelyén</t>
  </si>
  <si>
    <t>2.1.4. Játszóterek felújítása</t>
  </si>
  <si>
    <t>1.1.4. Gázkazán beszerzése a napközi konyhába</t>
  </si>
  <si>
    <t xml:space="preserve">    1.1.1.5. Fitneszgépek beszerzése</t>
  </si>
  <si>
    <t xml:space="preserve">    1.1.1.6. Árnyékolástechnika</t>
  </si>
  <si>
    <t xml:space="preserve">    1.1.1.7. Öltöző fülke kialakítása</t>
  </si>
  <si>
    <t xml:space="preserve">    1.1.1.8. Fürdő építési beruházások</t>
  </si>
  <si>
    <t>1.1.5. Közfoglalkoztatás homlokrakodó beszerzése</t>
  </si>
  <si>
    <t>1.1.7. Gyermekellátó intézmények racionalizálása (terv)</t>
  </si>
  <si>
    <t>1.5. Czabán Samu Műv.Ház</t>
  </si>
  <si>
    <t>1.5.1. Kisértékű tárgyi eszköz beruházás</t>
  </si>
  <si>
    <t>4.1.5. egyéb átadott pénzeszköz</t>
  </si>
  <si>
    <t>2. Felhalmozási célú támogatásértékű bevételek ÁHT-n kívül</t>
  </si>
  <si>
    <t xml:space="preserve">2.1. Nagyszénás Nagyközség Önkormányzata </t>
  </si>
  <si>
    <t>2.1.1. Civil szervezetek támogatásai</t>
  </si>
  <si>
    <t>2.1.1.1. Polgári Egyesület Nagyszénásért támogatása</t>
  </si>
  <si>
    <t>2.2.5. Bérkompenzáció támogatása</t>
  </si>
  <si>
    <t>2.2.1. Mezőőri szolgálat támogatása (önként vállalt önkormányzati feladat)</t>
  </si>
  <si>
    <t>013350 Önkormányzati vagyonnal való gazdálkodási feladatok</t>
  </si>
  <si>
    <t>2.2.3. Közfoglalkoztatási támogatások</t>
  </si>
  <si>
    <t>2.2.6. Kéményseprőipari közszolgáltatás támogatása</t>
  </si>
  <si>
    <t>4. Polgármesteri Hivatal támogatásai</t>
  </si>
  <si>
    <t>4.1 Nemzeti Választási Iroda támogatása</t>
  </si>
  <si>
    <t>5. Nagyszénási Önkormányzati Óvoda támogatásai államháztartáson kívülrőlről</t>
  </si>
  <si>
    <t>5.1. Alapítványi támogatások</t>
  </si>
  <si>
    <t xml:space="preserve">3.1. Nagyszénás Nagyközség Önkormányzata </t>
  </si>
  <si>
    <t>3.1.1. Termálvíz beruházás ÁFA visszaigénylése</t>
  </si>
  <si>
    <t>2.1.5. Szociális lakás felújítása felújítása</t>
  </si>
  <si>
    <t xml:space="preserve">   - rendszeres gyermekvédelmi kedvezményben részesülők támogatása</t>
  </si>
  <si>
    <t>1.3.2.  Bírság bevételek</t>
  </si>
  <si>
    <t>2.2.3. Egyéb bírság bevételek</t>
  </si>
  <si>
    <t xml:space="preserve">            Egyéb működési bevételek</t>
  </si>
  <si>
    <t xml:space="preserve">           Játszó csoport bevétele</t>
  </si>
  <si>
    <t xml:space="preserve"> </t>
  </si>
  <si>
    <t>I. Nagyszénás Nagyközség Önkormányzata működési bevételei összesen</t>
  </si>
  <si>
    <t xml:space="preserve">3. Egyéb felhalmozási célú támogatásértékű bevételek </t>
  </si>
  <si>
    <t>2.1.8. Strandbüfé felújítás</t>
  </si>
  <si>
    <t>2.1.9. Konyha felújítás</t>
  </si>
  <si>
    <t>Ft-ban</t>
  </si>
  <si>
    <t xml:space="preserve">                                                            </t>
  </si>
  <si>
    <t xml:space="preserve">2016. évi  működési célú pénzeszközátadás, egyéb támogatás, ellátottak pénzbeni juttatásai </t>
  </si>
  <si>
    <t>1.3.4.  Kiegészítő támogatás a bölcsődében foglalkoztatott, felsőfokú végzettségű kisgyermeknevelők béréhez</t>
  </si>
  <si>
    <t xml:space="preserve">2.1.1.2. "Összetartozunk" Szociális Alapítvány támogatása </t>
  </si>
  <si>
    <t>1.4. Nagyszénási Önkormányzati Óvoda és Könyvtár</t>
  </si>
  <si>
    <t>4. Nagyszénási Önkormányzati Óvoda és Könyvtár</t>
  </si>
  <si>
    <t>2.4. Nagyszénási Önkormányzati Óvoda és Könyvtár</t>
  </si>
  <si>
    <t>3.4. Nagyszénási Önkormányzati Óvoda és Könyvtár</t>
  </si>
  <si>
    <t>Nagyszénási Önkormányzati Óvoda és Könyvtár</t>
  </si>
  <si>
    <t>MŰVELŐDÉSI HÁZ ÉS KÖNYVTÁR ÖSSZESEN :</t>
  </si>
  <si>
    <t>MUNKAADÓKAT TERHELŐ JÁRULÉKOK ÖSSZESEN:</t>
  </si>
  <si>
    <t>SZEMÉLYI JUTTATÁSOK ÖSSZESEN:</t>
  </si>
  <si>
    <t>DOLOGI KIADÁSOK ÖSSZESEN:</t>
  </si>
  <si>
    <t>KORMÁNYFUNKCIÓ ÖSSZESEN:</t>
  </si>
  <si>
    <t>Szociális hozzájárulási adó</t>
  </si>
  <si>
    <t>Törvény szerinti illetmények (december havi bérek)</t>
  </si>
  <si>
    <t>082042 Könyvtári állomány gyarapítása, nyilvántartása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</si>
  <si>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</si>
  <si>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</si>
  <si>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</si>
  <si>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</si>
  <si>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Kulturális, szabadidős tevékenység szolgáltatási kiadásai</t>
  </si>
  <si>
    <t>Közüzemi díjak összesen</t>
  </si>
  <si>
    <t>Víz- és csatornadíj</t>
  </si>
  <si>
    <t>Villamosenergia díjak</t>
  </si>
  <si>
    <t>Kommunikációs szolgáltatások összesen</t>
  </si>
  <si>
    <t>Informatikai szolgáltatások (internet, szoftverek költségei)</t>
  </si>
  <si>
    <t xml:space="preserve">Szakmai anyagok beszerzése összesen </t>
  </si>
  <si>
    <t>Egyéb szakmai anyagok</t>
  </si>
  <si>
    <t>082091 Közművelődés-közösségi és társadalmi részvétel fejlesztése</t>
  </si>
  <si>
    <t>Kiküldetések és reklám propaganda kiadások összesen</t>
  </si>
  <si>
    <t>Kiküldetések kiadásai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</si>
  <si>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</si>
  <si>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</si>
  <si>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</si>
  <si>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Gázenergia díjak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</si>
  <si>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</si>
  <si>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</si>
  <si>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</si>
  <si>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</si>
  <si>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</si>
  <si>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>Folyóirat beszerzés</t>
  </si>
  <si>
    <t>Könyvbeszerzés (könyvtári)</t>
  </si>
  <si>
    <t>Kifizetői adó és járulék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</si>
  <si>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</si>
  <si>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</si>
  <si>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</si>
  <si>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</si>
  <si>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Szakmai tevékenységet segítő szolgáltatások</t>
  </si>
  <si>
    <t>Könyvbeszerzés</t>
  </si>
  <si>
    <t>Gyógyszer beszerzés</t>
  </si>
  <si>
    <t>Táppénz hozzájárulás</t>
  </si>
  <si>
    <t>Megbízási díjak</t>
  </si>
  <si>
    <t>Egyéb személyi juttatás (betegszabadság, közlekedési ktg. térítés)</t>
  </si>
  <si>
    <t>091110  Óvodai nevelés, ellátás szakmai feladatai</t>
  </si>
  <si>
    <t>Távfűtés díja</t>
  </si>
  <si>
    <r>
      <t xml:space="preserve">Törvény szerinti illetmények </t>
    </r>
    <r>
      <rPr>
        <sz val="8"/>
        <rFont val="Arial CE"/>
        <charset val="238"/>
      </rPr>
      <t>(7 fő)</t>
    </r>
  </si>
  <si>
    <t>Vásárolt élelmezés</t>
  </si>
  <si>
    <t>NAGYSZÉNÁSI ÖNKORMÁNYZATI ÓVODA</t>
  </si>
  <si>
    <t>041233  Hosszabb időtartamú közfoglalkoztatás</t>
  </si>
  <si>
    <t>Egyéb szolgáltatások (szállítás, szemétszállítás)</t>
  </si>
  <si>
    <t>Egyéb költségek (számla ktg. térítés)</t>
  </si>
  <si>
    <t>Jubileumi jutalom</t>
  </si>
  <si>
    <t>Törvény szerinti illetmények (8 fő)</t>
  </si>
  <si>
    <t>104030 Gyermekek napközbeni ellátása (Bölcsőde)</t>
  </si>
  <si>
    <t>Törvény szerinti illetmények (1 fő)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</si>
  <si>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</si>
  <si>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</si>
  <si>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</si>
  <si>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</si>
  <si>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</si>
  <si>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t>107052 Házi segítségnyújtás</t>
  </si>
  <si>
    <t>Szociális gondozói díj</t>
  </si>
  <si>
    <t>Törvény szerinti illetmények( 6 fő + 1 fő részmunkaidős)</t>
  </si>
  <si>
    <t>Egyéb költségek ( számla ktg. térítés)</t>
  </si>
  <si>
    <t>074032 Ifjúság-egészségügyi gondozás</t>
  </si>
  <si>
    <t>Közvetített szolgáltatások (telefon)</t>
  </si>
  <si>
    <t>Bérleti és lizingdíjak</t>
  </si>
  <si>
    <t>Törvény szerinti illetmények (2 fő)</t>
  </si>
  <si>
    <t>GONDOZÁSI KÖZPONT</t>
  </si>
  <si>
    <t>Egyéb dologi kiadások (különféle díjak)</t>
  </si>
  <si>
    <t>Fizetendő áfa értékesítés után</t>
  </si>
  <si>
    <t>Egyéb szolgáltatások (postai díjak, megbízási díjak)</t>
  </si>
  <si>
    <t>Választott tisztségviselők juttatásai</t>
  </si>
  <si>
    <t>Cafetéria juttatás</t>
  </si>
  <si>
    <t>Készenléti és túlóra díj, helyettesítés</t>
  </si>
  <si>
    <t>Prémiuméves foglalkoztatott</t>
  </si>
  <si>
    <t xml:space="preserve">Szakmai tevékenységet segítő szolgáltatások </t>
  </si>
  <si>
    <t>066020 Város- és községgazdálkodási egyéb szolgáltatások</t>
  </si>
  <si>
    <t>Egyéb költségek (számla költségtérítés)</t>
  </si>
  <si>
    <t>Törvény szerinti illetmények (7 fő)</t>
  </si>
  <si>
    <t>POLGÁRMESTERI HIVATAL</t>
  </si>
  <si>
    <t>PÉNZESZKÖZ ÁTADÁS, EGYÉB TÁMOGATÁS:</t>
  </si>
  <si>
    <t>Kamatkiadások fejlesztési hitelre</t>
  </si>
  <si>
    <t>Kamatkiadások folyószámlahitelre</t>
  </si>
  <si>
    <t>Reklám és propaganda célú kiadások</t>
  </si>
  <si>
    <t>081061 Szabadidős park, fürdő és strandszolgáltatás (termálhő szolgáltatása)</t>
  </si>
  <si>
    <t>Egyéb szakmai szolgáltatások (fák gallyazása, törmelék elszállítása)</t>
  </si>
  <si>
    <t>Önkormányzati földterületek művelési költsége</t>
  </si>
  <si>
    <t>Megbízási díj</t>
  </si>
  <si>
    <t>Végkielégítés</t>
  </si>
  <si>
    <t>041237  Startmunka program</t>
  </si>
  <si>
    <t>072111 Házi orvosi alapellátás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</si>
  <si>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</si>
  <si>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</si>
  <si>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</si>
  <si>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</si>
  <si>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Törvény szerinti illetmények (2 fő mezőőr 2016. március 31-ig, 1 fő mezőőr 2016. május 31-ig</t>
  </si>
  <si>
    <t>Egyéb személyi juttatás</t>
  </si>
  <si>
    <t>Választott tisztségviselők juttatásai (képviselők és a polgármester)</t>
  </si>
  <si>
    <t>Költségtérítés</t>
  </si>
  <si>
    <t>Kártérítések, bírságok</t>
  </si>
  <si>
    <t xml:space="preserve">104037 Intézményen kívüli gyermekétkeztetés </t>
  </si>
  <si>
    <t>092120 Köznevelési intézmények 5-8. évfolyamán tanulók nevelésével, oktatásával összefüggő működtetési feladatok</t>
  </si>
  <si>
    <t>Egyéb személyi juttatások</t>
  </si>
  <si>
    <t>Törvény szerinti illetmények (20 fő)</t>
  </si>
  <si>
    <t>Választott tisztségviselők juttatásai (polgármester)</t>
  </si>
  <si>
    <t>016020 Országos és helyi népszavazással kapcsolatos tevékenységek</t>
  </si>
  <si>
    <t>Tiszteletdíjak</t>
  </si>
  <si>
    <t>102031 Idősek nappali ellátása</t>
  </si>
  <si>
    <t>2.2.7. Létszámcsökkentési intézkedések támogatása</t>
  </si>
  <si>
    <t>2.2.8. Könyvtári érdekeltségnövelő támogatás</t>
  </si>
  <si>
    <t>2.2.10. Rendszeres gyermekvédelmi kedvezményesek támogatása</t>
  </si>
  <si>
    <t>2.2.9. Jó adatszolgáltató önkormányzatok támogatása</t>
  </si>
  <si>
    <t>V. Finanszírozási bevételek</t>
  </si>
  <si>
    <t xml:space="preserve">   - Szennyvíz beruházás BM EU önerő visszafizetése</t>
  </si>
  <si>
    <t xml:space="preserve">    1.1.1.9. Személyi emelő</t>
  </si>
  <si>
    <t>1.1.6. Közfoglalkoztatás kerékpártárolók kialakítása</t>
  </si>
  <si>
    <t>2.1.6. Művelődési Ház felújítási terve</t>
  </si>
  <si>
    <t>2. Értékpapírvásárlás</t>
  </si>
  <si>
    <t>2.1. Forgatási célú értékpapírvásárlás (Kamatozó Kincstárjegy)</t>
  </si>
  <si>
    <t xml:space="preserve">1.1. ÁHT-n belüli megelőlegezés visszafizetése </t>
  </si>
  <si>
    <t>V. Maradvány összege 2016.12.31.</t>
  </si>
  <si>
    <t xml:space="preserve">             Víziközmű Társulat követeléseinek megtérülése</t>
  </si>
  <si>
    <t xml:space="preserve">            Egyéb szolgáltatás bevétele</t>
  </si>
  <si>
    <t xml:space="preserve">                                                   </t>
  </si>
  <si>
    <t>5.2. Átvett pénzeszközök</t>
  </si>
  <si>
    <t>1.1.4. Jövedéki adó bevétel</t>
  </si>
  <si>
    <t xml:space="preserve">   - DAREH önkormányzati társulásnak átadott pénzeszköz</t>
  </si>
  <si>
    <r>
      <rPr>
        <sz val="8"/>
        <rFont val="Arial CE"/>
        <charset val="238"/>
      </rPr>
      <t>1</t>
    </r>
    <r>
      <rPr>
        <b/>
        <sz val="8"/>
        <rFont val="Arial CE"/>
        <family val="2"/>
        <charset val="238"/>
      </rPr>
      <t>.</t>
    </r>
    <r>
      <rPr>
        <sz val="8"/>
        <rFont val="Arial CE"/>
        <charset val="238"/>
      </rPr>
      <t xml:space="preserve"> 2017. évi nettó finanszírozás megelőlegezése</t>
    </r>
  </si>
  <si>
    <t>VI. Költségvetési maradványok</t>
  </si>
  <si>
    <t>BEVÉTELEK MINDÖSSZESEN: (I+II+III+IV+V+VI)</t>
  </si>
  <si>
    <t>,</t>
  </si>
  <si>
    <t xml:space="preserve">1. Működési célú bevételek összesen: </t>
  </si>
  <si>
    <t>3. Működési célú  befektetések</t>
  </si>
  <si>
    <t xml:space="preserve">Törvény szerinti illetmények </t>
  </si>
  <si>
    <t>Reprezentációs kiadás</t>
  </si>
  <si>
    <t>Táppénz</t>
  </si>
  <si>
    <t>Karbantartás, kisjavítás</t>
  </si>
  <si>
    <t xml:space="preserve">Egyéb szakmai szolgáltatások </t>
  </si>
  <si>
    <t xml:space="preserve">Egyéb üzemeltetési szolgáltatások </t>
  </si>
  <si>
    <t>Egyéb külöféle dologi kiadások</t>
  </si>
  <si>
    <t>Egyéb kamatkiadások</t>
  </si>
  <si>
    <t>Erzsébet utalvány kiadásai</t>
  </si>
  <si>
    <t>Egyéb sajátos juttatások</t>
  </si>
  <si>
    <t>Hajtó- és kenőanyag</t>
  </si>
  <si>
    <t>Munkaruha</t>
  </si>
  <si>
    <t>Üzemeltetési anyagok beszerzése</t>
  </si>
  <si>
    <t>Villamosenergia kiadása</t>
  </si>
  <si>
    <t>Gázenergia kiadása</t>
  </si>
  <si>
    <t>Karbantartás kisjavítás</t>
  </si>
  <si>
    <t>Egyéb üzemeltetési szolgálatás</t>
  </si>
  <si>
    <t>Költségtérítések</t>
  </si>
  <si>
    <t>Egyéb anyagok beszerzése</t>
  </si>
  <si>
    <t>Készletbeszerzés</t>
  </si>
  <si>
    <t>Anyagvásárlás földterületek műveléséhez</t>
  </si>
  <si>
    <t>Fizetendő áfa</t>
  </si>
  <si>
    <t>Egyéb díjak kiadása</t>
  </si>
  <si>
    <t>Egyéb üzemeltetési anyag</t>
  </si>
  <si>
    <t>Egyéb béren kívüli juttatások</t>
  </si>
  <si>
    <t>Egyéb díjak</t>
  </si>
  <si>
    <t>Késedelmi kamat, pótlék</t>
  </si>
  <si>
    <t>Belföldi kiküldetések</t>
  </si>
  <si>
    <t>Normatív jutalmak</t>
  </si>
  <si>
    <t>Belföldi kiküldetések kiadásai</t>
  </si>
  <si>
    <t>Erzsébet utalvány kiadása</t>
  </si>
  <si>
    <t>Belföldi kiküldetés</t>
  </si>
  <si>
    <t>Külső személyi juttatás</t>
  </si>
  <si>
    <t>Hajtó és kenőanyag</t>
  </si>
  <si>
    <t>Egyéb juttatások</t>
  </si>
  <si>
    <t>Egyéb szolgáltatások díja</t>
  </si>
  <si>
    <t>Egyéb juttatásik</t>
  </si>
  <si>
    <t>Reprezentációs kiadások</t>
  </si>
  <si>
    <t>Telefon díj</t>
  </si>
  <si>
    <t>Egyéb üzemeltetési szolgáltatások</t>
  </si>
  <si>
    <t xml:space="preserve">FORRÁSOK ÖSSZESEN (=G+H+I+J+K) </t>
  </si>
  <si>
    <t xml:space="preserve">K)        PASSZÍV IDŐBELI ELHATÁROLÁSOK (=K/1+K/2+K/3) 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</si>
  <si>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</si>
  <si>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</si>
  <si>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</si>
  <si>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</si>
  <si>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</si>
  <si>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(=H/I+H/II+H/III) </t>
  </si>
  <si>
    <t>H/III        Kötelezettség jellegű sajátos elszámolások (=H)/III/1+…+H)/III/7) (146=139+...+145)</t>
  </si>
  <si>
    <t>H/III/8       Letétre, megőrzésre,fedezetkezelésre átvett pénzeszközök, biztosítékok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</si>
  <si>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</si>
  <si>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</si>
  <si>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</si>
  <si>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</si>
  <si>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</si>
  <si>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</si>
  <si>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</si>
  <si>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(=H/II/1+…H/II/9) </t>
  </si>
  <si>
    <t>H/II/9        Költségvetési évet követően esedékes kötelezettségek finanszírozási kiadásokra (129&gt;=130+...+137)</t>
  </si>
  <si>
    <t>H/II/8        Költségvetési évet követően esedékes kötelezettségek egyéb felhalmozási célú kiadásokra (127&gt;=128)</t>
  </si>
  <si>
    <t>H/II/7        Költségvetési évet követően esedékes kötelezettségek felújításokra</t>
  </si>
  <si>
    <t>H/II/6        Költségvetési évet követően esedékes kötelezettségek beruházásokra</t>
  </si>
  <si>
    <t>H/II/5        Költségvetési évet követően esedékes kötelezettségek egyéb működési célú kiadásokra (123&gt;=124)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</si>
  <si>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</si>
  <si>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</si>
  <si>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</si>
  <si>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</si>
  <si>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(=H/I/1+…H/I/9) </t>
  </si>
  <si>
    <t>H/I/9h        - ebből: költségvetési évben esedékes kötelezettségek külföldi értékpapírok beváltására</t>
  </si>
  <si>
    <t>H/I/9g        - ebből: költségvetési évben esedékes kötelezettségek befektetési célú belföldi értékpapírok beváltására</t>
  </si>
  <si>
    <t>H/I/9f        - ebből: költségvetési évben esedékes kötelezettségek forgatási célú belföldi értékpapírok beváltására</t>
  </si>
  <si>
    <t>H/I/9e        - ebből: költségvetési évben esedékes kötelezettségek külföldi hitelek, kölcsönök törlesztésére</t>
  </si>
  <si>
    <t>H/I/9d        - ebből: költségvetési évben esedékes kötelezettségek rövid lejáratú hitelek, kölcsönök törlesztésére</t>
  </si>
  <si>
    <t>H/I/9c        - ebből: költségvetési évben esedékes kötelezettségek likviditási célú hitelek, kölcsönök törlesztésére pénzügyi vállalkozásoknak</t>
  </si>
  <si>
    <t>H/I/9b        - ebből: költségvetési évben esedékes kötelezettségek hosszú lejáratú hitelek, kölcsönök törlesztésére</t>
  </si>
  <si>
    <t>H/I/9a        - ebből: költségvetési évben esedékes kötelezettségek államháztartáson belüli megelőlegezések visszafizetésére</t>
  </si>
  <si>
    <t>H/I/7        Költségvetési évben esedékes kötelezettségek felújításokra</t>
  </si>
  <si>
    <t>H/I/6        Költségvetési évben esedékes kötelezettségek beruházásokra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</si>
  <si>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</si>
  <si>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</si>
  <si>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</si>
  <si>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</si>
  <si>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(=G/I+…+G/VI)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</si>
  <si>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</si>
  <si>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</si>
  <si>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</si>
  <si>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</si>
  <si>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</si>
  <si>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</si>
  <si>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</si>
  <si>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(=A+B+C+D+E+F) </t>
  </si>
  <si>
    <t xml:space="preserve">F)        AKTÍV IDŐBELI ELHATÁROLÁSOK (=F/1+F/2+F/3)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</si>
  <si>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</si>
  <si>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</si>
  <si>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</si>
  <si>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</si>
  <si>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(=D/I+D/II+D/III) </t>
  </si>
  <si>
    <t>D/III        Követelés jellegű sajátos elszámolások (=D/III/1+…+D/III/7) (84=72+78+...+83)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</si>
  <si>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</si>
  <si>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</si>
  <si>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</si>
  <si>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</si>
  <si>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</si>
  <si>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</si>
  <si>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</si>
  <si>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</si>
  <si>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</si>
  <si>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</si>
  <si>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(=D/II/1+…+D/II/8) </t>
  </si>
  <si>
    <t>D/II/8        Költségvetési évet követően esedékes követelések finanszírozási bevételekre (69&gt;=70)</t>
  </si>
  <si>
    <t>D/II/7        Költségvetési évet követően esedékes követelések felhalmozási célú átvett pénzeszközre (67&gt;=68)</t>
  </si>
  <si>
    <t>D/II/6        Költségvetési évet követően esedékes követelések működési célú átvett pénzeszközre (65&gt;=66)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</si>
  <si>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</si>
  <si>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</si>
  <si>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</si>
  <si>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>D/II/2        Költségvetési évet követően esedékes követelések felhalmozási célú támogatások bevételeire államháztartáson belülről (60&gt;=61)</t>
  </si>
  <si>
    <t>D/II/1        Költségvetési évet követően esedékes követelések működési célú támogatások bevételeire államháztartáson belülről (58&gt;=59)</t>
  </si>
  <si>
    <t xml:space="preserve">D/I        Költségvetési évben esedékes követelések (=D/I/1+…+D/I/8)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</si>
  <si>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</si>
  <si>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</si>
  <si>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</si>
  <si>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>D/I/2        Költségvetési évben esedékes követelések felhalmozási célú támogatások bevételeire államháztartáson belülről (46&gt;=47)</t>
  </si>
  <si>
    <t>D/I/1        Költségvetési évben esedékes követelések működési célú támogatások bevételeire államháztartáson belülről (44&gt;=45)</t>
  </si>
  <si>
    <t>C)        PÉNZESZKÖZÖK (=C/I+…+C/V) (43=38+...+42)</t>
  </si>
  <si>
    <t>C/II        Pénztárak, csekkek, betétkönyvek</t>
  </si>
  <si>
    <t>C/I        Hosszú lejáratú betétek</t>
  </si>
  <si>
    <t>B)        NEMZETI VAGYONBA TARTOZÓ FORGÓESZKÖZÖK (= B/I+B/II) (37=28+36)</t>
  </si>
  <si>
    <t xml:space="preserve">B/II        Értékpapírok (=B/II/1+B/II/2)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</si>
  <si>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</si>
  <si>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</si>
  <si>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</si>
  <si>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</si>
  <si>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</si>
  <si>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>B/II/2        Forgatási célú hitelviszonyt megtestesítő értékpapírok</t>
  </si>
  <si>
    <t>B/II/1        Nem tartós részesedések</t>
  </si>
  <si>
    <t>B/I        Készletek (=B/I/1+…+B/I/5) (28=23+...+27)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</si>
  <si>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</si>
  <si>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</si>
  <si>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</si>
  <si>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</si>
  <si>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</si>
  <si>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(=A/I+A/II+A/III+A/IV) </t>
  </si>
  <si>
    <t>A/IV        Koncesszióba, vagyonkezelésbe adott eszközök (=A/IV/1+A/IV/2) (21=19+20)</t>
  </si>
  <si>
    <t>A/IV/2        Koncesszióba, vagyonkezelésbe adott eszközök értékhelyesbítése</t>
  </si>
  <si>
    <t>A/IV/1        Koncesszióba, vagyonkezelésbe adott eszközök</t>
  </si>
  <si>
    <t>A/III        Befektetett pénzügyi eszközök (=A/III/1+A/III/2+A/III/3)</t>
  </si>
  <si>
    <t>A/III/3        Befektetett pénzügyi eszközök értékhelyesbítése</t>
  </si>
  <si>
    <t>A/III/2b        - ebből: helyi önkormányzatok kötvényei</t>
  </si>
  <si>
    <t>A/III/2a        - ebből: államkötvények</t>
  </si>
  <si>
    <t xml:space="preserve">A/III/2        Tartós hitelviszonyt megtestesítő értékpapírok </t>
  </si>
  <si>
    <t>A/III/1a        - ebből: tartós részesedések jegybankban</t>
  </si>
  <si>
    <t>A/II        Tárgyi eszközök (=A/II/1+...+A/II/5)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</si>
  <si>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</si>
  <si>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</si>
  <si>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</si>
  <si>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</si>
  <si>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</si>
  <si>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(=A/I/1+A/I/2+A/I/3) </t>
  </si>
  <si>
    <t>A/I/3        Immateriális javak értékhelyesbítése</t>
  </si>
  <si>
    <t>A/I/2        Szellemi termékek</t>
  </si>
  <si>
    <t>A/I/1        Vagyoni értékű jogok</t>
  </si>
  <si>
    <t>ESZKÖZÖK</t>
  </si>
  <si>
    <t>Tárgy év</t>
  </si>
  <si>
    <t>Előző év</t>
  </si>
  <si>
    <t>Megnevezés</t>
  </si>
  <si>
    <t>Önkormányzata</t>
  </si>
  <si>
    <t xml:space="preserve">B)        PÉNZÜGYI MŰVELETEK EREDMÉNYE (=VIII-IX) </t>
  </si>
  <si>
    <t xml:space="preserve">A) TEVÉKENYSÉGEK EREDMÉNYE (=I±II+III-IV-V-VI-VII) </t>
  </si>
  <si>
    <t>VII        Egyéb ráfordítások</t>
  </si>
  <si>
    <t>VI        Értékcsökkenési leírás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</si>
  <si>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</si>
  <si>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</si>
  <si>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</si>
  <si>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</si>
  <si>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</si>
  <si>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</si>
  <si>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</si>
  <si>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</si>
  <si>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</si>
  <si>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3. Pénzforgalmi kiadások intézményfinanszírozás nélkül</t>
  </si>
  <si>
    <t>2. Pénzforgalmi bevételek intézményfinanszírozás nélkül (pénzmaradvány-felhasználással együtt)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</si>
  <si>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</si>
  <si>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</si>
  <si>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</si>
  <si>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</si>
  <si>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</si>
  <si>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</si>
  <si>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</si>
  <si>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</si>
  <si>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</si>
  <si>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</si>
  <si>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</si>
  <si>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</si>
  <si>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</si>
  <si>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</si>
  <si>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</si>
  <si>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</si>
  <si>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</si>
  <si>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</si>
  <si>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</si>
  <si>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</si>
  <si>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az üzemeltetésre átadott vagyont nem kell elkülöníteni</t>
  </si>
  <si>
    <t xml:space="preserve">** 2014. évtől a számviteli előírások alapján a beszámolóban </t>
  </si>
  <si>
    <t>a járművek értékét nem kell elkülöníteni</t>
  </si>
  <si>
    <t xml:space="preserve">* 2014. évtől a számviteli előírások alapján a beszámolóban </t>
  </si>
  <si>
    <t>Összesen:</t>
  </si>
  <si>
    <t>Ebből 0-ra írt üzemeltetésre átadott vagyon</t>
  </si>
  <si>
    <r>
      <t>Üzemeltetésre átadott vagyon</t>
    </r>
    <r>
      <rPr>
        <sz val="8"/>
        <rFont val="Arial CE"/>
        <family val="2"/>
        <charset val="238"/>
      </rPr>
      <t xml:space="preserve"> bruttó értéke **</t>
    </r>
  </si>
  <si>
    <t>Ebből 0-ra írt szellemi termékek</t>
  </si>
  <si>
    <r>
      <t>Immateriális javak</t>
    </r>
    <r>
      <rPr>
        <sz val="8"/>
        <rFont val="Arial CE"/>
        <family val="2"/>
        <charset val="238"/>
      </rPr>
      <t xml:space="preserve"> bruttó értéke</t>
    </r>
  </si>
  <si>
    <t>Ebből 0-ra írt használatban lévő járművek</t>
  </si>
  <si>
    <r>
      <t>Járművek</t>
    </r>
    <r>
      <rPr>
        <sz val="8"/>
        <rFont val="Arial CE"/>
        <family val="2"/>
        <charset val="238"/>
      </rPr>
      <t xml:space="preserve"> bruttó értéke*</t>
    </r>
  </si>
  <si>
    <t>Ebből 0-ra írt használatban lévő gépek, berendezések</t>
  </si>
  <si>
    <t>(50 ezer Ft, illetve 100 ezer Ft feletti) bruttó értéke</t>
  </si>
  <si>
    <t xml:space="preserve">Gépek, berendezések, felszerelési tárgyak </t>
  </si>
  <si>
    <t>Ebből 0-ra írt használatban lévő ingatlan</t>
  </si>
  <si>
    <t>bruttó értéke:</t>
  </si>
  <si>
    <r>
      <t xml:space="preserve">Ingatlan </t>
    </r>
    <r>
      <rPr>
        <sz val="8"/>
        <rFont val="Arial CE"/>
        <family val="2"/>
        <charset val="238"/>
      </rPr>
      <t xml:space="preserve">(épületek, építmények, földterület,telek) </t>
    </r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</si>
  <si>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</si>
  <si>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</si>
  <si>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</si>
  <si>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</si>
  <si>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</si>
  <si>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</si>
  <si>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</si>
  <si>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</si>
  <si>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</si>
  <si>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 xml:space="preserve">                        Az önkormányzat vagyonának változása bruttó értékben</t>
  </si>
  <si>
    <t xml:space="preserve">FORRÁSOK ÖSSZESEN </t>
  </si>
  <si>
    <t>XVIII.3      Halasztott eredményszemléletű bevételek</t>
  </si>
  <si>
    <t>XVIII.2      Költségek, ráfordítások passzív időbeli elhatárolása</t>
  </si>
  <si>
    <t>XVIII.1      Eredményszemléletű bevételek passzív időbeli elhatárolása</t>
  </si>
  <si>
    <t>XVIII.       Passzív időbeli elhatárolások</t>
  </si>
  <si>
    <t>XVI.        Egyéb sajátos forrásoldali elszámolások</t>
  </si>
  <si>
    <t>XV.   KÖTELEZETTSÉGEK (XII.-XIV.)</t>
  </si>
  <si>
    <t>XIV.8     Letétre, megőrzésre, fedezetkezelésre átvett pénzeszközök, biztosítékok</t>
  </si>
  <si>
    <t>XIV.7          Munkáltató által korengedményes nyugdíjhoz megfizetett hozzájárulás elszámolása</t>
  </si>
  <si>
    <t>XIV.6        Nem társadalombiztosítás pénzügyi alapjait terhelő kifizetett ellátások megtérítésének elszámolása</t>
  </si>
  <si>
    <t>XIV.5        Vagyonkezelésbe vett eszközökkel kapcsolatos visszapótlási kötelezettség elszámolása</t>
  </si>
  <si>
    <t>XIV.4        Forgótőke elszámolása (Kincstár)</t>
  </si>
  <si>
    <t>XIV.3       Más szervezetet megillető bevételek elszámolása</t>
  </si>
  <si>
    <t>XIV.2        Továbbadási célból folyósított támogatások, ellátások elszámolása</t>
  </si>
  <si>
    <t>XIV.1   Kapott előlegek</t>
  </si>
  <si>
    <t>XIV.      Kötelezettség jellegű sajátos elszámolások</t>
  </si>
  <si>
    <t>XIII.10       - ebből: költségvetési évet követően esedékes kötelezettségek államháztartáson belüli megelőlegezések visszafizetésére</t>
  </si>
  <si>
    <t xml:space="preserve">XIII.9        Költségvetési évet követően esedékes kötelezettségek finanszírozási kiadásokra </t>
  </si>
  <si>
    <t xml:space="preserve">XIII.8        Költségvetési évet követően esedékes kötelezettségek egyéb felhalmozási célú kiadásokra </t>
  </si>
  <si>
    <t>XIII.7        Költségvetési évet követően esedékes kötelezettségek felújításokra</t>
  </si>
  <si>
    <t>XIII.6        Költségvetési évet követően esedékes kötelezettségek beruházásokra</t>
  </si>
  <si>
    <t>XIII.5        Költségvetési évet követően esedékes kötelezettségek egyéb működési célú kiadásokra</t>
  </si>
  <si>
    <t>XIII.4      Költségvetési évet követően esedékes kötelezettségek ellátottak pénzbeli juttatásaira</t>
  </si>
  <si>
    <t>XIII.3         Költségvetési évet követően esedékes kötelezettségek dologi kiadásokra</t>
  </si>
  <si>
    <t>XIII.2        Költségvetési évet követően esedékes kötelezettségek munkaadókat terhelő járulékokra és szociális hozzájárulási adóra</t>
  </si>
  <si>
    <t>XIII.1  Költségvetési évet követően esedékes kötelezettségek személyi juttatásokra</t>
  </si>
  <si>
    <t xml:space="preserve">XIII.      Költségvetési évet követően esedékes kötelezettségek  </t>
  </si>
  <si>
    <t>XII.9       Költségvetési évben esedékes kötelezettségek finanszírozási kiadásokra (109&gt;=110+...+117)</t>
  </si>
  <si>
    <t xml:space="preserve">XII.8        Költségvetési évben esedékes kötelezettségek egyéb felhalmozási célú kiadásokra </t>
  </si>
  <si>
    <t>XII.7        Költségvetési évben esedékes kötelezettségek felújításokra</t>
  </si>
  <si>
    <t>XII.6       Költségvetési évben esedékes kötelezettségek beruházásokra</t>
  </si>
  <si>
    <t xml:space="preserve">XII.5         Költségvetési évben esedékes kötelezettségek egyéb működési célú kiadásokra </t>
  </si>
  <si>
    <t>XII.4      Költségvetési évben esedékes kötelezettségek ellátottak pénzbeli juttatásaira</t>
  </si>
  <si>
    <t>XII.3       Költségvetési évben esedékes kötelezettségek dologi kiadásokra</t>
  </si>
  <si>
    <t>XII.2       Költségvetési évben esedékes kötelezettségek munkaadókat terhelő járulékokra és szociális hozzájárulási adóra</t>
  </si>
  <si>
    <t>XII.1     Költségvetési évben esedékes kötelezettségek személyi juttatásokra</t>
  </si>
  <si>
    <t xml:space="preserve">XII.    Költségvetési évben esedékes kötelezettségek </t>
  </si>
  <si>
    <t>XI.6        Mérleg szerinti eredmény</t>
  </si>
  <si>
    <t>XI.5        Eszközök értékhelyesbítésének forrása</t>
  </si>
  <si>
    <t>XI.4        Felhalmozott eredmény</t>
  </si>
  <si>
    <t>XI.3        Egyéb eszközök induláskori értéke és változásai</t>
  </si>
  <si>
    <t>XI.2       Nemzeti vagyon változásai</t>
  </si>
  <si>
    <t>XI.1       Nemzeti vagyon induláskori értéke</t>
  </si>
  <si>
    <t xml:space="preserve">XI.     Saját tőke </t>
  </si>
  <si>
    <t>Könyvszerinti érték</t>
  </si>
  <si>
    <t xml:space="preserve">ESZKÖZÖK ÖSSZESEN </t>
  </si>
  <si>
    <t>X. Aktív időbeli elhatárolások</t>
  </si>
  <si>
    <t>IX.1. Üzleti vagyonkörbe tartozó egyéb sajátos eszközoldali elszámolások</t>
  </si>
  <si>
    <t>IX. Egyéb sajátos eszközoldali elszámolások</t>
  </si>
  <si>
    <t xml:space="preserve">VIII.3  Üzleti vagyonkörbe tartozó követelés jellegű sajátos elszámolások </t>
  </si>
  <si>
    <t xml:space="preserve">VIII.2  Üzleti vagyonkörbe tartozó költségvetési évet követően esedékes követelések </t>
  </si>
  <si>
    <t xml:space="preserve">VIII.1  Üzleti vagyonkörbe tartozó költségvetési évben esedékes követelések </t>
  </si>
  <si>
    <t>VIII. Követelések</t>
  </si>
  <si>
    <t>VII.1. Üzleti vagyonkörbe tartozó pénzeszközök</t>
  </si>
  <si>
    <t>VII. Pénzeszközök</t>
  </si>
  <si>
    <t xml:space="preserve">VI. Értékpapírok </t>
  </si>
  <si>
    <t xml:space="preserve">V. Készletek </t>
  </si>
  <si>
    <t xml:space="preserve">IV. Koncesszióba, vagyonkezelésbe adott eszközök  </t>
  </si>
  <si>
    <t>III.3  Befektetett pénzügyi eszközök értékhelyesbítése</t>
  </si>
  <si>
    <t>III.2.1 Forgalomképtelen tartós hitelviszonyt megtestesítő értékpapírok</t>
  </si>
  <si>
    <t xml:space="preserve">III.1.3 Üzleti vagyonkörbe tartozó  tartós részesedések </t>
  </si>
  <si>
    <t xml:space="preserve">III.1.2 Korlátozottan forgalomképes tartós részesedések </t>
  </si>
  <si>
    <t xml:space="preserve">III.1.1 Forgalomképtelen tartós részesedések </t>
  </si>
  <si>
    <t xml:space="preserve">III. Befektetett pénzügyi eszközök </t>
  </si>
  <si>
    <t>II.4 Tárgyi eszközök értékhelyesbítése</t>
  </si>
  <si>
    <t xml:space="preserve">II.3.3 Üzleti vagyonkörbe tartozó beruházások, felújítások </t>
  </si>
  <si>
    <t xml:space="preserve">II.3.2 Korlátozottan forgalomképes beruházások, felújítások </t>
  </si>
  <si>
    <t xml:space="preserve">II.3.1 Forgalomképtelen beruházások, felújítások </t>
  </si>
  <si>
    <t xml:space="preserve">II.3 Beruházások, felújítások </t>
  </si>
  <si>
    <t xml:space="preserve">II.2.4 0-ra leírt gépek, berendezések, felszerelések, járművek </t>
  </si>
  <si>
    <t xml:space="preserve">II.2.3 Üzleti vagyonkörbe tartozó gépek, berendezések, felszerelések, járművek </t>
  </si>
  <si>
    <t xml:space="preserve">II.2.2 Korlátozottan forgalomképes gépek, berendezések, felszerelések, járművek </t>
  </si>
  <si>
    <t xml:space="preserve">II.2.1 Forgalomképtelen gépek, berendezések, felszerelések, járművek </t>
  </si>
  <si>
    <t xml:space="preserve">II.2 Gépek, berendezések, felszerelések, járművek </t>
  </si>
  <si>
    <t xml:space="preserve">II.1.4 0-ra leírt ingatlanok és a kapcsolódó vagyoni értékű jogok </t>
  </si>
  <si>
    <t xml:space="preserve">II.1.3 Üzleti vagyonkörbe tartozó ingatlanok és a kapcsolódó vagyoni értékű jogok </t>
  </si>
  <si>
    <t xml:space="preserve">II.1.2 Korlátozottan forgalomképes ingatlanok és a kapcsolódó vagyoni értékű jogok </t>
  </si>
  <si>
    <t xml:space="preserve">II.1.1 Forgalomképtelen ingatlanok és a kapcsolódó vagyoni értékű jogok </t>
  </si>
  <si>
    <t xml:space="preserve">II.1  Ingatlanok és a kapcsolódó vagyoni értékű jogok </t>
  </si>
  <si>
    <t xml:space="preserve">II. Tárgyi eszközök  </t>
  </si>
  <si>
    <t>I.4 0-ra leírt immateriális javak</t>
  </si>
  <si>
    <t>I.3 Üzleti vagyonkörbe tartozó immateriális javak</t>
  </si>
  <si>
    <t>I.2 Korlátozottan forgalomképes immateriális javak</t>
  </si>
  <si>
    <t>I.1 Forgalomképtelen immateriális javak</t>
  </si>
  <si>
    <t xml:space="preserve">I. Immateriális javak  </t>
  </si>
  <si>
    <t>Nettó érték</t>
  </si>
  <si>
    <t>Bruttó érték</t>
  </si>
  <si>
    <t>Eszközök megnevezése</t>
  </si>
  <si>
    <t>NTp. Nagyszénás Településszolgáltatási Nonprofit Kft.</t>
  </si>
  <si>
    <t>Kötelezettség összege (Ft)</t>
  </si>
  <si>
    <t>Társaság megnevezése</t>
  </si>
  <si>
    <t>Saját tulajdonú gazdákodó szervezet működéséből származó kötelezettségek</t>
  </si>
  <si>
    <t>Alföldvíz Regionális Víziközmű-szolgáltató Zrt.</t>
  </si>
  <si>
    <t>Részesedés összege (Ft)</t>
  </si>
  <si>
    <t>Részesedések:</t>
  </si>
  <si>
    <t xml:space="preserve">    tulajdonában álló gazdálkodó szervezet működéséből származó kötelezettségek</t>
  </si>
  <si>
    <t xml:space="preserve">Nagyszénás Nagyközség </t>
  </si>
  <si>
    <t>Önkormányzat kiadásai ÖSSZESEN (14+24)</t>
  </si>
  <si>
    <t>Önkormányzat bevételei ÖSSZESEN (7+18)</t>
  </si>
  <si>
    <t>Felhalmozási célú kiadások összesen (19+...+23)</t>
  </si>
  <si>
    <t>Belföldi hitelműveletek</t>
  </si>
  <si>
    <t>Fejlesztési célú pénzeszköz átadás</t>
  </si>
  <si>
    <t>Felújítási kiadások (ÁFA-val együtt)</t>
  </si>
  <si>
    <t>Beruházási kiadások (ÁFA-val együtt)</t>
  </si>
  <si>
    <t>Felhalmozási célú bevételek összesen (15+…+17)</t>
  </si>
  <si>
    <t>Fejlesztési célú pénzeszköz átvétel</t>
  </si>
  <si>
    <t>Fejlesztési hitel</t>
  </si>
  <si>
    <t>Önkormányzatok felhalmozási és tőke jellegű bevételei</t>
  </si>
  <si>
    <t>II. Felhalmozási célú bevételek és kiadások</t>
  </si>
  <si>
    <t>Működési célú kiadások összesen (8+...+13)</t>
  </si>
  <si>
    <t>Működési célú tartalék</t>
  </si>
  <si>
    <t>Működési célú hitel törlesztése</t>
  </si>
  <si>
    <t>Működési célú pénzeszközátadás egyéb támogatás</t>
  </si>
  <si>
    <t>Dologi kiadások</t>
  </si>
  <si>
    <t>Munkaadókat terhelő járulékok</t>
  </si>
  <si>
    <t>Személyi juttatások</t>
  </si>
  <si>
    <t>Működési célú bevételek összesen (1+...+6)</t>
  </si>
  <si>
    <t>Működési célú előző évi pénzmaradvány igénybevétele</t>
  </si>
  <si>
    <t>Működési célú hitelfelvétel</t>
  </si>
  <si>
    <t xml:space="preserve">Önkormányzatok költségvetési támogatása </t>
  </si>
  <si>
    <t>Önkormányzatok közhatalmi bevételei</t>
  </si>
  <si>
    <t>Működési bevételek</t>
  </si>
  <si>
    <t>2019. év</t>
  </si>
  <si>
    <t>2018. év</t>
  </si>
  <si>
    <t>2017. év</t>
  </si>
  <si>
    <t>I. Működési bevételek és kiadások</t>
  </si>
  <si>
    <t>eFt</t>
  </si>
  <si>
    <t>Sorsz.</t>
  </si>
  <si>
    <t xml:space="preserve"> A működési és fejlesztési célú bevételek és kiadások</t>
  </si>
  <si>
    <t>Nagyszénás Nagyközség</t>
  </si>
  <si>
    <t>Kezességvállalással kapcsolatos megtérülés</t>
  </si>
  <si>
    <t>Bírság, pótlék és díjbevétel</t>
  </si>
  <si>
    <t>Tárgyi és immateriális eszköz, részvény, részesedés értékesítéséből származó és privatizációs bevétel</t>
  </si>
  <si>
    <t>Osztalék, koncessziós díj és hozam bevétel</t>
  </si>
  <si>
    <t>Önkormányzati vagyon értékesítése és hasznosítása</t>
  </si>
  <si>
    <t>Helyi adók bevétele</t>
  </si>
  <si>
    <t>Saját bevétel megnevezése</t>
  </si>
  <si>
    <t>2019.</t>
  </si>
  <si>
    <t>2018.</t>
  </si>
  <si>
    <t>2017.</t>
  </si>
  <si>
    <t>2016.</t>
  </si>
  <si>
    <t>ÖNKORMÁNYZAT SAJÁT BEVÉTELEI</t>
  </si>
  <si>
    <t>Termálvíz-hasznosítási projekt fejlesztési hitel kamata</t>
  </si>
  <si>
    <t>Termálvíz-hasznosítási projekt fejlesztési hitel</t>
  </si>
  <si>
    <t>Kötelezettség megnevezése</t>
  </si>
  <si>
    <t>ÖNKORMÁNYZAT KÖTELEZETTSÉGEI KAMATOKKAL EGYÜTT</t>
  </si>
  <si>
    <t>(több éves kihatással bíró döntések)</t>
  </si>
  <si>
    <t>Magyarország gazdasági stabilitásáról szóló  2011. évi CXCIV. törvény 3. § (1) bekezdése szerinti adósságot keletkeztető ügyletekből várható,</t>
  </si>
  <si>
    <t>Sportkör, szakkörök nélkül</t>
  </si>
  <si>
    <t xml:space="preserve"> ebből Aerobik 6 óra/hét</t>
  </si>
  <si>
    <t>3000 Ft/óra</t>
  </si>
  <si>
    <t>Művelődési Ház 24 óra/hét</t>
  </si>
  <si>
    <t>Alsós tornaterem 7 óra/hét</t>
  </si>
  <si>
    <t>3500 Ft/óra</t>
  </si>
  <si>
    <t>Felsős tornaterem 10 hó havi 10 óra/hét</t>
  </si>
  <si>
    <t>Gépjármű használat során adott kedvezmény</t>
  </si>
  <si>
    <t xml:space="preserve">Helyiség bérbeadásból adott kedvezmény </t>
  </si>
  <si>
    <t>Kedvezmény összege (Ft)</t>
  </si>
  <si>
    <t xml:space="preserve">Kimutatás az Önkormányzat által nyújtott  helyiségek, eszközök hasznosításából                                                                                                    </t>
  </si>
  <si>
    <t>Egyedi elbírálás összesen:</t>
  </si>
  <si>
    <t xml:space="preserve">mérséklés összesen: </t>
  </si>
  <si>
    <t>Helyi rendeletek szerinti elengedés,</t>
  </si>
  <si>
    <t>Jogcím: egyedi elbírálás</t>
  </si>
  <si>
    <t>Helyi iparűzési adó</t>
  </si>
  <si>
    <t>Gépjármű adó</t>
  </si>
  <si>
    <t xml:space="preserve">              4.§ (70. életév betöltése)</t>
  </si>
  <si>
    <t>Jogcím: 13/1991. (VI.4.) KT. rendelet</t>
  </si>
  <si>
    <t>Magánszemélyek kommunális adója</t>
  </si>
  <si>
    <t>Ft</t>
  </si>
  <si>
    <t>fő</t>
  </si>
  <si>
    <t xml:space="preserve">              (adóelőleg mérséklés)</t>
  </si>
  <si>
    <t>Ö s s z e s e n</t>
  </si>
  <si>
    <t xml:space="preserve">              A d ó m é r s é k l é s</t>
  </si>
  <si>
    <t xml:space="preserve">     A d ó e l e n g e d é s</t>
  </si>
  <si>
    <t xml:space="preserve">                 Ft-ban</t>
  </si>
  <si>
    <t>2016. évi pénzforgalom levezetése</t>
  </si>
  <si>
    <t>1. 2016. évi nyitó pénzkészlet</t>
  </si>
  <si>
    <t>4. 2016. évi maradvány (2.+3.)</t>
  </si>
  <si>
    <t>5. 2015. évi pénzmaradvány felhasználása</t>
  </si>
  <si>
    <t>vagyonkimutatása 2016.12.31.</t>
  </si>
  <si>
    <t>származó bevételből nyújtott kedvezményekről   2016. évben</t>
  </si>
  <si>
    <t>Kimutatás az adóelengedésekről és adómérséklésekről 2016. adóévben</t>
  </si>
  <si>
    <t xml:space="preserve">Az Önkormányzat részesedései 2016. december 31-én és az önkormányzat  </t>
  </si>
  <si>
    <t>Nagyszénási Kulturális Központ Nonprofit kft.</t>
  </si>
  <si>
    <t>2020. év</t>
  </si>
  <si>
    <t>Finanszírozási bevételek</t>
  </si>
  <si>
    <t>Össszesen</t>
  </si>
  <si>
    <t>Termálvíz-hasznosítási projekt fejlesztési hitel tőketörlesztése</t>
  </si>
  <si>
    <t xml:space="preserve">A/III/1        Tartós részesedések </t>
  </si>
  <si>
    <t>A/III/1b        - ebből: tartós részesedések nem pénzügyi vállalkozásban</t>
  </si>
  <si>
    <t>A/III/1s        - ebből: tartós részesedések pénzügyi vállalkozásban</t>
  </si>
  <si>
    <t>A/III/1d        - ebből: tartós részesedések társulásban</t>
  </si>
  <si>
    <t xml:space="preserve">A/III/1d        - ebből: egyéb tartós részesedések </t>
  </si>
  <si>
    <t>C/III       Forintszámlák</t>
  </si>
  <si>
    <t>C/IV      Devizaszámlák</t>
  </si>
  <si>
    <t>C/V       Idegen pénzeszközök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</si>
  <si>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</si>
  <si>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</si>
  <si>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>D/I/8        Költségvetési évben esedékes követelések finanszírozási bevételekre</t>
  </si>
  <si>
    <t>D/III/1f        - ebből: túlfizetések, téve és visszajáró kifizetések</t>
  </si>
  <si>
    <t>D/III/1e       - ebből: foglalkoztatottaknak adott előlegek</t>
  </si>
  <si>
    <t>D/III/1d       - ebből: igénybevett szolgáltatásokra adott előlegek</t>
  </si>
  <si>
    <t xml:space="preserve">H/I/5        Költségvetési évben esedékes kötelezettségek egyéb működési célú kiadásokra </t>
  </si>
  <si>
    <t>H/I/8        Költségvetési évben esedékes kötelezettségek egyéb felhalmozási célú kiadásokra</t>
  </si>
  <si>
    <t>H/I/9        Költségvetési évben esedékes kötelezettségek finanszírozási kiadásokra</t>
  </si>
  <si>
    <t>H/II/9a        - ebből: költségvetési évet követően esedékes kötelezettségek hosszú lejáratú hitelek, kölcsönök törlesztésére</t>
  </si>
  <si>
    <t>H/II/9b        - ebből: költségvetési évet követően esedékes kötelezettségek kincstárjegyek beváltására</t>
  </si>
  <si>
    <t>H/II/9c        - ebből: költségvetési évet követően esedékes kötelezettségek belföldi kötvények beváltására</t>
  </si>
  <si>
    <t>H/II/9d        - ebből: költségvetési évet követően esedékes kötelezettségek éven túli lejáratú belföldi értékpapírok beváltására</t>
  </si>
  <si>
    <t>H/II/9e        - ebből: költségvetési évet követően esedékes kötelezettségek államháztartáson belüli megelőlegezések visszafizetésére</t>
  </si>
  <si>
    <t>H/II/9f        - ebből: költségvetési évet követően esedékes kötelezettségek pénzügyi lízink kiadásaira</t>
  </si>
  <si>
    <t>H/II/9g        - ebből: költségvetési évévet követően esedékes kötelezettségek külföldi értékpapírok beváltására</t>
  </si>
  <si>
    <t>H/II/9h        - ebből: költségvetési évévet követően esedékes kötelezettségek hitelek, kölcsönök törlesztésére külföldi kormányoknak és nemzetközi szervezeteknek</t>
  </si>
  <si>
    <t>H/II/9i        - ebből: költségvetési évévet követően esedékes kötelezettségek külföldi  hitelek, kölcsönök törlesztésére külföldi pénzintézeteknek</t>
  </si>
  <si>
    <t>H/II/9j        - ebből: költségvetési évévet követően esedékes kötelezettségek váltókiadásokra</t>
  </si>
  <si>
    <t>Függő számlák</t>
  </si>
  <si>
    <t>T</t>
  </si>
  <si>
    <t>K</t>
  </si>
  <si>
    <t>7. 2016. évi záró pénzkészlet (1.+4.+5.+6.+7.)</t>
  </si>
  <si>
    <t>6. Függő számlák forgalma: 3318, 3328, 361, 363, 36411, 36413, 36421, 3651, 3652, 3653, 3654, 3656, 3657, 3659, 366,3671,3672,3673, 3674,3676,3678 és 3679 számú főkönyvi számlák forgalma</t>
  </si>
  <si>
    <t>08        Felhalmozási célú támogatások eredményszemléletű bevételei</t>
  </si>
  <si>
    <t>18        Részesedésekből származó eredményszemléletű bevételek</t>
  </si>
  <si>
    <t>09       Különféle egyéb eredményszemléletű bevételek</t>
  </si>
  <si>
    <t xml:space="preserve">III        Egyéb eredményszemléletű bevételek (=06+07+08+09) </t>
  </si>
  <si>
    <t>10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</si>
  <si>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</si>
  <si>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</si>
  <si>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</si>
  <si>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 xml:space="preserve">IV        Anyagjellegű ráfordítások (=10+11+12+13) </t>
  </si>
  <si>
    <t>14        Bérköltség</t>
  </si>
  <si>
    <t>15        Személyi jellegű egyéb kifizetések</t>
  </si>
  <si>
    <t>16        Bérjárulékok</t>
  </si>
  <si>
    <t xml:space="preserve">V        Személyi jellegű ráfordítások (=14+15+16) </t>
  </si>
  <si>
    <t>17        Kapott (járó) osztalék és részesedés</t>
  </si>
  <si>
    <t>19        Befektetett pénzügyi eszközökből származó eredményszemléletű bevételek</t>
  </si>
  <si>
    <t>20        Egyéb kapott (járó) kamatok és kamatjellegű eredményszemléletű bevételek</t>
  </si>
  <si>
    <t>21        Pénzügyi műveletek egyéb eredményszemléletű bevételei</t>
  </si>
  <si>
    <t>VIII        Pénzügyi műveletek eredményszemléletű bevételei (=17+18+19+20+21)</t>
  </si>
  <si>
    <t>22        Részesedésekből származó ráfordítások</t>
  </si>
  <si>
    <t>23        Befektetett pénzügyi eszközökből származó ráfordítások</t>
  </si>
  <si>
    <t>24        Fizetendő kamatok és kamatjellegű ráfordítások</t>
  </si>
  <si>
    <t>25        Részesedések, értékpapírok, pénzeszközök értékvesztése</t>
  </si>
  <si>
    <t xml:space="preserve">26       Pénzügyi műveletek egyéb ráfordításai </t>
  </si>
  <si>
    <t>IX        Pénzügyi műveletek ráfordításai (=22+23+24+25+26)</t>
  </si>
  <si>
    <t>eFt-ban</t>
  </si>
  <si>
    <t xml:space="preserve">Nagyszénás Nagyközség                                                   Mérleg 2016.12.31.                                              </t>
  </si>
  <si>
    <t xml:space="preserve">Nagyszénás Nagyközség                                       Eredménykimutatás 2016.12.31.                                         </t>
  </si>
  <si>
    <t xml:space="preserve">Nagyszénás Nagyközség                      Maradványkimutatás 2016.12.31.                      </t>
  </si>
  <si>
    <t xml:space="preserve">              2007.12.31. -  2016.12.31</t>
  </si>
  <si>
    <t xml:space="preserve">1. Hitelek visszafizetése </t>
  </si>
  <si>
    <t>1.3. Termálvíz beruházás hosszú lejáratú hitelének visszafizetése</t>
  </si>
  <si>
    <t>1.1.2. Kisértékű tárgyieszköz beruházások</t>
  </si>
  <si>
    <t xml:space="preserve">2. Működési célú kiadások, tartalékok vagy maradvány összesen: </t>
  </si>
  <si>
    <t xml:space="preserve">   - Oros-Kémény Bt. részére átadott pénzeszköz</t>
  </si>
  <si>
    <t>Könyvelési helyesbítések</t>
  </si>
  <si>
    <t>Önkormányzata és intézményei</t>
  </si>
  <si>
    <t xml:space="preserve">Önkormányzata és intézményei </t>
  </si>
  <si>
    <t xml:space="preserve">E)        MÉRLEG SZERINTI EREDMÉNY (=±A±B) </t>
  </si>
  <si>
    <t xml:space="preserve">III.2.2 Korlátozottan forgalomképes  tartós hitelviszonyt megtestesítő értékpapírok </t>
  </si>
  <si>
    <t>III.2.3 Korlátozottan forgalomképes  tartós hitelviszonyt megtestesítő értékpapírok</t>
  </si>
  <si>
    <t>KIADÁSOK ÉS MARADVÁNY EGYÜTTES ÖSSZEGE (I+II+III+IV+V)</t>
  </si>
  <si>
    <t>KIADÁSOK MINDÖSSZESEN (I+II+III+IV)</t>
  </si>
  <si>
    <t>Nagyszénás Nagyközség Önkormányzata és intézményei</t>
  </si>
  <si>
    <t>XVII.       Kincstári számlavezetéssel kapcsolatos elszámolások</t>
  </si>
  <si>
    <t>kötelezettségek a futamidő végéig, valamint a 353/2011. (XII.30.) Korm. rendelet 2. § (1) bekezdése szerinti saját bevételek a kötelezettségek lejáratáig</t>
  </si>
  <si>
    <t>2016. évi működési kiadások kormányzati funkciónként</t>
  </si>
  <si>
    <t>Törvény szerinti illetmények (14 fő)</t>
  </si>
  <si>
    <r>
      <t xml:space="preserve">Törvény szerinti illetmények </t>
    </r>
    <r>
      <rPr>
        <sz val="8"/>
        <rFont val="Arial CE"/>
        <charset val="238"/>
      </rPr>
      <t>(10 fő)</t>
    </r>
  </si>
  <si>
    <t>Törvény szerinti illetmények</t>
  </si>
  <si>
    <t xml:space="preserve">GONDOZÁSI KÖZPONT ÖSSZESEN: ( 31 fő közalk. + 1 fő részm. közalk.) </t>
  </si>
  <si>
    <r>
      <t xml:space="preserve">POLGÁRMESTERI HIVATAL ÖSSZESEN: (17 fő kt.,  </t>
    </r>
    <r>
      <rPr>
        <b/>
        <u/>
        <sz val="8"/>
        <rFont val="Arial CE"/>
        <charset val="238"/>
      </rPr>
      <t>10 fő Mt</t>
    </r>
    <r>
      <rPr>
        <b/>
        <u/>
        <sz val="8"/>
        <rFont val="Arial CE"/>
        <family val="2"/>
        <charset val="238"/>
      </rPr>
      <t>. alkalmazott)</t>
    </r>
  </si>
  <si>
    <r>
      <t xml:space="preserve">Törvény szerinti illetmények </t>
    </r>
    <r>
      <rPr>
        <sz val="8"/>
        <rFont val="Arial CE"/>
        <charset val="238"/>
      </rPr>
      <t>(15 fő)</t>
    </r>
  </si>
  <si>
    <t xml:space="preserve">NAGYSZÉNÁSI ÖNKORMÁNYZATI ÓVODA ÖSSZESEN: (23 fő közalk. + 1 fő részmunkaidős közalk.) </t>
  </si>
  <si>
    <t>NAGYSZÉNÁS NAGYKÖZSÉG ÖNKORMÁNYZATA ÖSSZESEN:      (polgármester, 14 fő  MT szerinti alkalmazott)</t>
  </si>
  <si>
    <t>2016 . évi költségvetési bevételek</t>
  </si>
  <si>
    <t>2016. évi költségvetési kiadások</t>
  </si>
  <si>
    <t xml:space="preserve">2016 évi működési bevételek kormányzati funkciónként </t>
  </si>
  <si>
    <t>1.1.4. Közművelődési érdekeltségnövelő támogatás</t>
  </si>
  <si>
    <t>041233 Hosszabb időtartamú közfoglalkoztatási program</t>
  </si>
  <si>
    <t xml:space="preserve">             Egyéb bevételek</t>
  </si>
  <si>
    <t>1.1.8. Járdaépítések</t>
  </si>
  <si>
    <t>2.1.2. József Attila utcai óvoda felújítása (vizes blokk, járdák, ablakok)</t>
  </si>
  <si>
    <t>2.1.7. Ivóvízhálózat rekonstrukciós munkái                                                 ( Damjanich-Zrinyi és Szent István-Orosházi út kereszteződése)</t>
  </si>
  <si>
    <t>1.2. Rövidlejáratú fejlesztési hitel visszafizetése</t>
  </si>
  <si>
    <t xml:space="preserve">   - Orosháza és Térsége Ivóvízminőség-javító Önkormányzati Társulás        működési hozzájárulás</t>
  </si>
  <si>
    <t>104035 Gyermekétkeztetés bölcsődében</t>
  </si>
  <si>
    <t>2017-2020. évekre vonatkozó tervezett alakulását külön bemutató mérleg</t>
  </si>
  <si>
    <t>1. melléklet a 6/2017. (IV. 26.) önkormányzati rendelethez</t>
  </si>
  <si>
    <t>2. melléklet a 6/2017. (IV. 26.) önkormányzati rendelethez</t>
  </si>
  <si>
    <t>3. melléklet a 6/2017. (IV. 26.)önkormányzati rendelethez</t>
  </si>
  <si>
    <t>5. melléklet a 6/2017. (IV. 26.) önkormányzati rendelethez</t>
  </si>
  <si>
    <t>6. melléklet a 6/2017. (IV. 26.)önkormányzati rendelethez</t>
  </si>
  <si>
    <t>7. melléklet a 6/2017. (IV. 26.) önkormányzati rendelethez</t>
  </si>
  <si>
    <t>8. melléklet a 6/2017. (IV. 26.) önkormányzati rendelethez</t>
  </si>
  <si>
    <t>9. melléklet a 6/2017. (IV. 26.)önkormányzati rendelethez</t>
  </si>
  <si>
    <t>10. melléklet a 6/2017. (IV. 26.) önkormányzati rendelethez</t>
  </si>
  <si>
    <t>11. melléklet a 6/2017. (IV. 26.) önkormányzati rendelethez</t>
  </si>
  <si>
    <t>12. melléklet a 6/2017. (IV. 26.) önkormányzati rendelethez</t>
  </si>
  <si>
    <t>13. melléklet a 6/2017. (IV. 26.) önkormányzati rendelethez</t>
  </si>
  <si>
    <t>14. melléklet a 6/2017. (IV. 26.) önkormányzati rendelethez</t>
  </si>
  <si>
    <t>15. melléklet a 6/2017. (IV. 26.) önkormányzati rendelethez</t>
  </si>
  <si>
    <t>4. melléklet a 6/2017. (IV. 26.) önkormányzati rendelethez</t>
  </si>
</sst>
</file>

<file path=xl/styles.xml><?xml version="1.0" encoding="utf-8"?>
<styleSheet xmlns="http://schemas.openxmlformats.org/spreadsheetml/2006/main">
  <numFmts count="10">
    <numFmt numFmtId="6" formatCode="#,##0\ &quot;Ft&quot;;[Red]\-#,##0\ &quot;Ft&quot;"/>
    <numFmt numFmtId="43" formatCode="_-* #,##0.00\ _F_t_-;\-* #,##0.00\ _F_t_-;_-* &quot;-&quot;??\ _F_t_-;_-@_-"/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0_ ;[Red]\-#,##0\ "/>
    <numFmt numFmtId="167" formatCode="0.0000"/>
    <numFmt numFmtId="168" formatCode="0.0"/>
    <numFmt numFmtId="169" formatCode="\ #,##0.0&quot;     &quot;;\-#,##0.0&quot;     &quot;;&quot; -&quot;#&quot;     &quot;;@\ "/>
    <numFmt numFmtId="170" formatCode="#,##0_ ;\-#,##0\ "/>
    <numFmt numFmtId="171" formatCode="_-* #,##0\ _F_t_-;\-* #,##0\ _F_t_-;_-* &quot;-&quot;??\ _F_t_-;_-@_-"/>
  </numFmts>
  <fonts count="8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8"/>
      <name val="Arial"/>
      <family val="2"/>
    </font>
    <font>
      <i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b/>
      <i/>
      <sz val="8"/>
      <name val="Arial"/>
      <family val="2"/>
      <charset val="238"/>
    </font>
    <font>
      <u/>
      <sz val="8"/>
      <name val="Arial CE"/>
      <charset val="238"/>
    </font>
    <font>
      <i/>
      <sz val="8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i/>
      <sz val="8"/>
      <name val="Arial CE"/>
      <charset val="238"/>
    </font>
    <font>
      <b/>
      <u/>
      <sz val="10"/>
      <name val="Arial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rgb="FF00B050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0"/>
      <color indexed="10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7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5" applyNumberFormat="0" applyAlignment="0" applyProtection="0"/>
    <xf numFmtId="164" fontId="17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1" fillId="17" borderId="7" applyNumberFormat="0" applyFont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9" fillId="4" borderId="0" applyNumberFormat="0" applyBorder="0" applyAlignment="0" applyProtection="0"/>
    <xf numFmtId="0" fontId="30" fillId="22" borderId="8" applyNumberFormat="0" applyAlignment="0" applyProtection="0"/>
    <xf numFmtId="0" fontId="31" fillId="0" borderId="0" applyNumberFormat="0" applyFill="0" applyBorder="0" applyAlignment="0" applyProtection="0"/>
    <xf numFmtId="0" fontId="45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3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23" borderId="0" applyNumberFormat="0" applyBorder="0" applyAlignment="0" applyProtection="0"/>
    <xf numFmtId="0" fontId="35" fillId="22" borderId="1" applyNumberFormat="0" applyAlignment="0" applyProtection="0"/>
    <xf numFmtId="9" fontId="1" fillId="0" borderId="0" applyFill="0" applyBorder="0" applyAlignment="0" applyProtection="0"/>
    <xf numFmtId="0" fontId="17" fillId="0" borderId="0"/>
    <xf numFmtId="164" fontId="17" fillId="0" borderId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" fillId="0" borderId="0"/>
    <xf numFmtId="0" fontId="43" fillId="0" borderId="0"/>
    <xf numFmtId="0" fontId="2" fillId="0" borderId="0"/>
    <xf numFmtId="0" fontId="17" fillId="0" borderId="0"/>
  </cellStyleXfs>
  <cellXfs count="697">
    <xf numFmtId="0" fontId="0" fillId="0" borderId="0" xfId="0"/>
    <xf numFmtId="0" fontId="2" fillId="0" borderId="0" xfId="41"/>
    <xf numFmtId="0" fontId="2" fillId="0" borderId="0" xfId="41" applyFont="1"/>
    <xf numFmtId="3" fontId="2" fillId="0" borderId="0" xfId="41" applyNumberFormat="1" applyFont="1"/>
    <xf numFmtId="3" fontId="4" fillId="0" borderId="0" xfId="0" applyNumberFormat="1" applyFont="1"/>
    <xf numFmtId="3" fontId="4" fillId="0" borderId="10" xfId="0" applyNumberFormat="1" applyFont="1" applyBorder="1"/>
    <xf numFmtId="0" fontId="5" fillId="24" borderId="11" xfId="0" applyFont="1" applyFill="1" applyBorder="1"/>
    <xf numFmtId="3" fontId="6" fillId="24" borderId="12" xfId="0" applyNumberFormat="1" applyFont="1" applyFill="1" applyBorder="1"/>
    <xf numFmtId="3" fontId="6" fillId="0" borderId="0" xfId="0" applyNumberFormat="1" applyFont="1"/>
    <xf numFmtId="0" fontId="7" fillId="0" borderId="0" xfId="0" applyFont="1" applyBorder="1"/>
    <xf numFmtId="3" fontId="9" fillId="0" borderId="0" xfId="0" applyNumberFormat="1" applyFont="1"/>
    <xf numFmtId="0" fontId="7" fillId="0" borderId="0" xfId="0" applyFont="1"/>
    <xf numFmtId="0" fontId="5" fillId="0" borderId="0" xfId="0" applyFont="1" applyFill="1" applyBorder="1"/>
    <xf numFmtId="0" fontId="8" fillId="0" borderId="0" xfId="0" applyFont="1"/>
    <xf numFmtId="0" fontId="4" fillId="0" borderId="0" xfId="0" applyFont="1"/>
    <xf numFmtId="3" fontId="4" fillId="0" borderId="0" xfId="26" applyNumberFormat="1" applyFont="1" applyFill="1" applyBorder="1" applyAlignment="1" applyProtection="1"/>
    <xf numFmtId="0" fontId="7" fillId="0" borderId="0" xfId="41" applyFont="1"/>
    <xf numFmtId="0" fontId="7" fillId="0" borderId="0" xfId="41" applyFont="1" applyBorder="1"/>
    <xf numFmtId="3" fontId="7" fillId="0" borderId="0" xfId="41" applyNumberFormat="1" applyFont="1"/>
    <xf numFmtId="3" fontId="5" fillId="0" borderId="0" xfId="41" applyNumberFormat="1" applyFont="1"/>
    <xf numFmtId="0" fontId="10" fillId="0" borderId="0" xfId="41" applyFont="1" applyBorder="1"/>
    <xf numFmtId="0" fontId="5" fillId="0" borderId="0" xfId="41" applyFont="1" applyFill="1" applyBorder="1"/>
    <xf numFmtId="3" fontId="5" fillId="0" borderId="0" xfId="41" applyNumberFormat="1" applyFont="1" applyFill="1" applyBorder="1"/>
    <xf numFmtId="3" fontId="13" fillId="0" borderId="0" xfId="0" applyNumberFormat="1" applyFont="1"/>
    <xf numFmtId="3" fontId="14" fillId="0" borderId="0" xfId="0" applyNumberFormat="1" applyFont="1"/>
    <xf numFmtId="3" fontId="6" fillId="24" borderId="13" xfId="0" applyNumberFormat="1" applyFont="1" applyFill="1" applyBorder="1"/>
    <xf numFmtId="3" fontId="5" fillId="24" borderId="13" xfId="0" applyNumberFormat="1" applyFont="1" applyFill="1" applyBorder="1"/>
    <xf numFmtId="3" fontId="0" fillId="0" borderId="0" xfId="0" applyNumberFormat="1"/>
    <xf numFmtId="3" fontId="14" fillId="25" borderId="14" xfId="0" applyNumberFormat="1" applyFont="1" applyFill="1" applyBorder="1"/>
    <xf numFmtId="0" fontId="18" fillId="0" borderId="0" xfId="0" applyFont="1"/>
    <xf numFmtId="3" fontId="14" fillId="0" borderId="0" xfId="26" applyNumberFormat="1" applyFont="1" applyFill="1" applyBorder="1" applyAlignment="1" applyProtection="1"/>
    <xf numFmtId="0" fontId="5" fillId="24" borderId="15" xfId="0" applyFont="1" applyFill="1" applyBorder="1"/>
    <xf numFmtId="0" fontId="15" fillId="0" borderId="0" xfId="0" applyFont="1" applyFill="1" applyBorder="1"/>
    <xf numFmtId="3" fontId="36" fillId="0" borderId="0" xfId="0" applyNumberFormat="1" applyFont="1"/>
    <xf numFmtId="3" fontId="14" fillId="24" borderId="12" xfId="0" applyNumberFormat="1" applyFont="1" applyFill="1" applyBorder="1"/>
    <xf numFmtId="3" fontId="13" fillId="0" borderId="16" xfId="0" applyNumberFormat="1" applyFont="1" applyBorder="1"/>
    <xf numFmtId="3" fontId="14" fillId="24" borderId="13" xfId="0" applyNumberFormat="1" applyFont="1" applyFill="1" applyBorder="1"/>
    <xf numFmtId="3" fontId="13" fillId="0" borderId="0" xfId="0" applyNumberFormat="1" applyFont="1" applyBorder="1"/>
    <xf numFmtId="3" fontId="14" fillId="25" borderId="16" xfId="40" applyNumberFormat="1" applyFont="1" applyFill="1" applyBorder="1"/>
    <xf numFmtId="0" fontId="14" fillId="25" borderId="15" xfId="4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5" fillId="24" borderId="17" xfId="0" applyFont="1" applyFill="1" applyBorder="1"/>
    <xf numFmtId="3" fontId="6" fillId="24" borderId="16" xfId="0" applyNumberFormat="1" applyFont="1" applyFill="1" applyBorder="1"/>
    <xf numFmtId="0" fontId="6" fillId="25" borderId="14" xfId="0" applyFont="1" applyFill="1" applyBorder="1"/>
    <xf numFmtId="3" fontId="6" fillId="25" borderId="14" xfId="0" applyNumberFormat="1" applyFont="1" applyFill="1" applyBorder="1"/>
    <xf numFmtId="0" fontId="15" fillId="0" borderId="0" xfId="0" applyFont="1" applyBorder="1"/>
    <xf numFmtId="3" fontId="14" fillId="0" borderId="0" xfId="0" applyNumberFormat="1" applyFont="1" applyFill="1" applyBorder="1"/>
    <xf numFmtId="0" fontId="5" fillId="24" borderId="18" xfId="0" applyFont="1" applyFill="1" applyBorder="1"/>
    <xf numFmtId="0" fontId="7" fillId="0" borderId="16" xfId="0" applyFont="1" applyBorder="1"/>
    <xf numFmtId="3" fontId="14" fillId="0" borderId="16" xfId="26" applyNumberFormat="1" applyFont="1" applyFill="1" applyBorder="1" applyAlignment="1" applyProtection="1"/>
    <xf numFmtId="3" fontId="14" fillId="25" borderId="16" xfId="26" applyNumberFormat="1" applyFont="1" applyFill="1" applyBorder="1" applyAlignment="1" applyProtection="1"/>
    <xf numFmtId="0" fontId="14" fillId="0" borderId="0" xfId="40" applyFont="1" applyFill="1" applyBorder="1" applyAlignment="1">
      <alignment wrapText="1"/>
    </xf>
    <xf numFmtId="3" fontId="11" fillId="0" borderId="0" xfId="0" applyNumberFormat="1" applyFont="1"/>
    <xf numFmtId="0" fontId="12" fillId="0" borderId="0" xfId="0" applyFont="1" applyFill="1" applyBorder="1" applyAlignment="1">
      <alignment horizontal="left" vertical="top" wrapText="1"/>
    </xf>
    <xf numFmtId="3" fontId="14" fillId="25" borderId="16" xfId="0" applyNumberFormat="1" applyFont="1" applyFill="1" applyBorder="1"/>
    <xf numFmtId="3" fontId="6" fillId="0" borderId="0" xfId="0" applyNumberFormat="1" applyFont="1" applyFill="1" applyBorder="1"/>
    <xf numFmtId="0" fontId="14" fillId="25" borderId="15" xfId="40" applyFont="1" applyFill="1" applyBorder="1" applyAlignment="1">
      <alignment vertical="center" wrapText="1"/>
    </xf>
    <xf numFmtId="0" fontId="7" fillId="0" borderId="0" xfId="0" applyFont="1" applyFill="1" applyBorder="1"/>
    <xf numFmtId="3" fontId="38" fillId="0" borderId="0" xfId="0" applyNumberFormat="1" applyFont="1"/>
    <xf numFmtId="3" fontId="37" fillId="0" borderId="0" xfId="0" applyNumberFormat="1" applyFont="1"/>
    <xf numFmtId="3" fontId="0" fillId="0" borderId="0" xfId="0" applyNumberFormat="1" applyFont="1"/>
    <xf numFmtId="0" fontId="39" fillId="0" borderId="0" xfId="0" applyFont="1"/>
    <xf numFmtId="0" fontId="10" fillId="0" borderId="0" xfId="0" applyFont="1" applyFill="1" applyBorder="1"/>
    <xf numFmtId="3" fontId="38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/>
    <xf numFmtId="3" fontId="38" fillId="0" borderId="0" xfId="0" applyNumberFormat="1" applyFont="1" applyFill="1"/>
    <xf numFmtId="0" fontId="5" fillId="0" borderId="16" xfId="0" applyFont="1" applyFill="1" applyBorder="1"/>
    <xf numFmtId="0" fontId="44" fillId="0" borderId="0" xfId="0" applyFont="1"/>
    <xf numFmtId="3" fontId="16" fillId="0" borderId="0" xfId="41" applyNumberFormat="1" applyFont="1"/>
    <xf numFmtId="0" fontId="5" fillId="25" borderId="16" xfId="41" applyFont="1" applyFill="1" applyBorder="1" applyAlignment="1">
      <alignment wrapText="1"/>
    </xf>
    <xf numFmtId="3" fontId="9" fillId="0" borderId="0" xfId="0" applyNumberFormat="1" applyFont="1" applyFill="1" applyBorder="1"/>
    <xf numFmtId="0" fontId="5" fillId="24" borderId="19" xfId="0" applyFont="1" applyFill="1" applyBorder="1"/>
    <xf numFmtId="3" fontId="6" fillId="24" borderId="16" xfId="26" applyNumberFormat="1" applyFont="1" applyFill="1" applyBorder="1" applyAlignment="1">
      <alignment horizontal="right"/>
    </xf>
    <xf numFmtId="3" fontId="4" fillId="0" borderId="0" xfId="26" applyNumberFormat="1" applyFont="1" applyAlignment="1">
      <alignment horizontal="right"/>
    </xf>
    <xf numFmtId="2" fontId="15" fillId="0" borderId="0" xfId="0" applyNumberFormat="1" applyFont="1" applyFill="1" applyBorder="1" applyAlignment="1">
      <alignment vertical="top" wrapText="1"/>
    </xf>
    <xf numFmtId="49" fontId="4" fillId="0" borderId="0" xfId="0" applyNumberFormat="1" applyFont="1"/>
    <xf numFmtId="0" fontId="5" fillId="0" borderId="0" xfId="0" applyFont="1" applyFill="1" applyBorder="1" applyAlignment="1">
      <alignment horizontal="left" wrapText="1"/>
    </xf>
    <xf numFmtId="165" fontId="6" fillId="0" borderId="0" xfId="26" applyNumberFormat="1" applyFont="1" applyFill="1" applyBorder="1" applyAlignment="1">
      <alignment horizontal="right" wrapText="1"/>
    </xf>
    <xf numFmtId="0" fontId="0" fillId="0" borderId="0" xfId="0" applyFont="1"/>
    <xf numFmtId="3" fontId="0" fillId="0" borderId="0" xfId="0" applyNumberFormat="1" applyFont="1" applyBorder="1"/>
    <xf numFmtId="3" fontId="4" fillId="0" borderId="0" xfId="26" applyNumberFormat="1" applyFont="1"/>
    <xf numFmtId="3" fontId="5" fillId="0" borderId="0" xfId="0" applyNumberFormat="1" applyFont="1" applyFill="1" applyBorder="1"/>
    <xf numFmtId="3" fontId="9" fillId="0" borderId="0" xfId="0" applyNumberFormat="1" applyFont="1" applyFill="1"/>
    <xf numFmtId="3" fontId="37" fillId="0" borderId="0" xfId="0" applyNumberFormat="1" applyFont="1" applyFill="1"/>
    <xf numFmtId="3" fontId="0" fillId="0" borderId="20" xfId="0" applyNumberFormat="1" applyFont="1" applyBorder="1"/>
    <xf numFmtId="3" fontId="4" fillId="0" borderId="16" xfId="0" applyNumberFormat="1" applyFont="1" applyBorder="1"/>
    <xf numFmtId="3" fontId="4" fillId="0" borderId="0" xfId="0" applyNumberFormat="1" applyFont="1" applyFill="1" applyBorder="1"/>
    <xf numFmtId="3" fontId="4" fillId="0" borderId="0" xfId="26" applyNumberFormat="1" applyFont="1" applyFill="1" applyBorder="1" applyAlignment="1" applyProtection="1">
      <alignment horizontal="right"/>
    </xf>
    <xf numFmtId="0" fontId="0" fillId="0" borderId="16" xfId="0" applyFont="1" applyBorder="1"/>
    <xf numFmtId="0" fontId="4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6" fillId="26" borderId="14" xfId="0" applyNumberFormat="1" applyFont="1" applyFill="1" applyBorder="1"/>
    <xf numFmtId="3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41" applyFont="1" applyAlignment="1">
      <alignment horizontal="center"/>
    </xf>
    <xf numFmtId="3" fontId="4" fillId="26" borderId="14" xfId="0" applyNumberFormat="1" applyFont="1" applyFill="1" applyBorder="1"/>
    <xf numFmtId="3" fontId="4" fillId="0" borderId="0" xfId="0" applyNumberFormat="1" applyFont="1" applyAlignment="1">
      <alignment horizontal="center"/>
    </xf>
    <xf numFmtId="3" fontId="16" fillId="26" borderId="14" xfId="41" applyNumberFormat="1" applyFont="1" applyFill="1" applyBorder="1"/>
    <xf numFmtId="0" fontId="5" fillId="24" borderId="11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7" fillId="0" borderId="0" xfId="41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1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horizontal="left" wrapText="1"/>
    </xf>
    <xf numFmtId="14" fontId="1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4" borderId="18" xfId="0" applyFont="1" applyFill="1" applyBorder="1" applyAlignment="1">
      <alignment wrapText="1"/>
    </xf>
    <xf numFmtId="0" fontId="43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20" xfId="0" applyFont="1" applyBorder="1" applyAlignment="1">
      <alignment wrapText="1"/>
    </xf>
    <xf numFmtId="0" fontId="11" fillId="0" borderId="0" xfId="0" applyFont="1" applyAlignment="1">
      <alignment wrapText="1"/>
    </xf>
    <xf numFmtId="166" fontId="9" fillId="0" borderId="0" xfId="26" applyNumberFormat="1" applyFont="1" applyAlignment="1">
      <alignment horizontal="right"/>
    </xf>
    <xf numFmtId="0" fontId="3" fillId="0" borderId="0" xfId="41" applyFont="1" applyAlignment="1">
      <alignment wrapText="1"/>
    </xf>
    <xf numFmtId="3" fontId="7" fillId="0" borderId="0" xfId="41" applyNumberFormat="1" applyFont="1" applyBorder="1" applyAlignment="1">
      <alignment horizontal="center" wrapText="1"/>
    </xf>
    <xf numFmtId="0" fontId="3" fillId="0" borderId="0" xfId="41" applyFont="1" applyBorder="1" applyAlignment="1">
      <alignment wrapText="1"/>
    </xf>
    <xf numFmtId="0" fontId="5" fillId="24" borderId="21" xfId="41" applyFont="1" applyFill="1" applyBorder="1" applyAlignment="1">
      <alignment wrapText="1"/>
    </xf>
    <xf numFmtId="3" fontId="5" fillId="27" borderId="14" xfId="41" applyNumberFormat="1" applyFont="1" applyFill="1" applyBorder="1" applyAlignment="1">
      <alignment wrapText="1"/>
    </xf>
    <xf numFmtId="0" fontId="5" fillId="0" borderId="0" xfId="41" applyFont="1" applyFill="1" applyBorder="1" applyAlignment="1">
      <alignment wrapText="1"/>
    </xf>
    <xf numFmtId="3" fontId="5" fillId="0" borderId="0" xfId="41" applyNumberFormat="1" applyFont="1" applyFill="1" applyBorder="1" applyAlignment="1">
      <alignment wrapText="1"/>
    </xf>
    <xf numFmtId="0" fontId="10" fillId="0" borderId="0" xfId="41" applyFont="1" applyFill="1" applyBorder="1" applyAlignment="1">
      <alignment horizontal="center" wrapText="1"/>
    </xf>
    <xf numFmtId="0" fontId="10" fillId="0" borderId="0" xfId="41" applyFont="1" applyAlignment="1">
      <alignment wrapText="1"/>
    </xf>
    <xf numFmtId="0" fontId="10" fillId="0" borderId="0" xfId="41" applyFont="1" applyBorder="1" applyAlignment="1">
      <alignment wrapText="1"/>
    </xf>
    <xf numFmtId="0" fontId="15" fillId="0" borderId="0" xfId="41" applyFont="1" applyBorder="1" applyAlignment="1">
      <alignment wrapText="1"/>
    </xf>
    <xf numFmtId="0" fontId="7" fillId="0" borderId="0" xfId="41" applyFont="1" applyBorder="1" applyAlignment="1">
      <alignment horizontal="left" wrapText="1"/>
    </xf>
    <xf numFmtId="2" fontId="15" fillId="0" borderId="0" xfId="41" applyNumberFormat="1" applyFont="1" applyBorder="1" applyAlignment="1">
      <alignment wrapText="1"/>
    </xf>
    <xf numFmtId="0" fontId="5" fillId="0" borderId="0" xfId="41" applyFont="1" applyFill="1" applyBorder="1" applyAlignment="1">
      <alignment horizontal="center" wrapText="1"/>
    </xf>
    <xf numFmtId="0" fontId="3" fillId="0" borderId="0" xfId="41" applyFont="1" applyFill="1" applyAlignment="1">
      <alignment wrapText="1"/>
    </xf>
    <xf numFmtId="10" fontId="4" fillId="0" borderId="26" xfId="48" applyNumberFormat="1" applyFont="1" applyFill="1" applyBorder="1"/>
    <xf numFmtId="10" fontId="4" fillId="0" borderId="27" xfId="48" applyNumberFormat="1" applyFont="1" applyFill="1" applyBorder="1"/>
    <xf numFmtId="0" fontId="7" fillId="0" borderId="16" xfId="41" applyFont="1" applyBorder="1" applyAlignment="1">
      <alignment wrapText="1"/>
    </xf>
    <xf numFmtId="0" fontId="5" fillId="24" borderId="22" xfId="41" applyFont="1" applyFill="1" applyBorder="1" applyAlignment="1">
      <alignment wrapText="1"/>
    </xf>
    <xf numFmtId="3" fontId="5" fillId="24" borderId="16" xfId="41" applyNumberFormat="1" applyFont="1" applyFill="1" applyBorder="1" applyAlignment="1">
      <alignment wrapText="1"/>
    </xf>
    <xf numFmtId="0" fontId="12" fillId="0" borderId="0" xfId="41" applyFont="1" applyBorder="1" applyAlignment="1">
      <alignment wrapText="1"/>
    </xf>
    <xf numFmtId="3" fontId="5" fillId="0" borderId="0" xfId="41" applyNumberFormat="1" applyFont="1" applyBorder="1" applyAlignment="1">
      <alignment wrapText="1"/>
    </xf>
    <xf numFmtId="3" fontId="7" fillId="0" borderId="0" xfId="41" applyNumberFormat="1" applyFont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3" fontId="7" fillId="0" borderId="0" xfId="41" applyNumberFormat="1" applyFont="1" applyFill="1" applyBorder="1" applyAlignment="1">
      <alignment wrapText="1"/>
    </xf>
    <xf numFmtId="0" fontId="39" fillId="0" borderId="0" xfId="41" applyFont="1" applyBorder="1" applyAlignment="1">
      <alignment horizontal="center" wrapText="1"/>
    </xf>
    <xf numFmtId="3" fontId="16" fillId="0" borderId="0" xfId="41" applyNumberFormat="1" applyFont="1" applyBorder="1" applyAlignment="1">
      <alignment wrapText="1"/>
    </xf>
    <xf numFmtId="0" fontId="5" fillId="24" borderId="15" xfId="41" applyFont="1" applyFill="1" applyBorder="1" applyAlignment="1">
      <alignment wrapText="1"/>
    </xf>
    <xf numFmtId="3" fontId="16" fillId="26" borderId="14" xfId="41" applyNumberFormat="1" applyFont="1" applyFill="1" applyBorder="1" applyAlignment="1">
      <alignment wrapText="1"/>
    </xf>
    <xf numFmtId="3" fontId="16" fillId="0" borderId="0" xfId="41" applyNumberFormat="1" applyFont="1" applyFill="1" applyBorder="1" applyAlignment="1">
      <alignment wrapText="1"/>
    </xf>
    <xf numFmtId="0" fontId="7" fillId="0" borderId="0" xfId="41" applyFont="1" applyFill="1" applyBorder="1" applyAlignment="1">
      <alignment wrapText="1"/>
    </xf>
    <xf numFmtId="0" fontId="7" fillId="0" borderId="0" xfId="41" applyFont="1" applyAlignment="1">
      <alignment wrapText="1"/>
    </xf>
    <xf numFmtId="0" fontId="6" fillId="25" borderId="14" xfId="42" applyFont="1" applyFill="1" applyBorder="1" applyAlignment="1">
      <alignment horizontal="left" wrapText="1"/>
    </xf>
    <xf numFmtId="3" fontId="6" fillId="25" borderId="14" xfId="42" applyNumberFormat="1" applyFont="1" applyFill="1" applyBorder="1" applyAlignment="1">
      <alignment horizontal="right" wrapText="1"/>
    </xf>
    <xf numFmtId="0" fontId="6" fillId="0" borderId="0" xfId="42" applyFont="1" applyFill="1" applyAlignment="1">
      <alignment horizontal="left" wrapText="1"/>
    </xf>
    <xf numFmtId="0" fontId="6" fillId="0" borderId="0" xfId="42" applyFont="1" applyFill="1" applyAlignment="1">
      <alignment horizontal="center" wrapText="1"/>
    </xf>
    <xf numFmtId="0" fontId="38" fillId="0" borderId="0" xfId="42" applyFont="1" applyAlignment="1">
      <alignment horizontal="center" wrapText="1"/>
    </xf>
    <xf numFmtId="0" fontId="6" fillId="0" borderId="0" xfId="42" applyFont="1" applyFill="1" applyBorder="1" applyAlignment="1">
      <alignment horizontal="left" wrapText="1"/>
    </xf>
    <xf numFmtId="0" fontId="40" fillId="0" borderId="0" xfId="42" applyFont="1" applyFill="1" applyBorder="1" applyAlignment="1">
      <alignment horizontal="left" wrapText="1"/>
    </xf>
    <xf numFmtId="3" fontId="16" fillId="0" borderId="0" xfId="41" applyNumberFormat="1" applyFont="1" applyAlignment="1">
      <alignment wrapText="1"/>
    </xf>
    <xf numFmtId="0" fontId="4" fillId="0" borderId="0" xfId="42" applyFont="1" applyFill="1" applyBorder="1" applyAlignment="1">
      <alignment horizontal="left" wrapText="1"/>
    </xf>
    <xf numFmtId="3" fontId="4" fillId="0" borderId="0" xfId="26" applyNumberFormat="1" applyFont="1" applyAlignment="1">
      <alignment wrapText="1"/>
    </xf>
    <xf numFmtId="3" fontId="4" fillId="0" borderId="0" xfId="26" applyNumberFormat="1" applyFont="1" applyFill="1" applyBorder="1" applyAlignment="1">
      <alignment wrapText="1"/>
    </xf>
    <xf numFmtId="3" fontId="40" fillId="0" borderId="0" xfId="42" applyNumberFormat="1" applyFont="1" applyFill="1" applyBorder="1" applyAlignment="1">
      <alignment horizontal="right" wrapText="1"/>
    </xf>
    <xf numFmtId="0" fontId="4" fillId="0" borderId="0" xfId="42" applyFont="1" applyBorder="1" applyAlignment="1">
      <alignment wrapText="1"/>
    </xf>
    <xf numFmtId="0" fontId="4" fillId="0" borderId="0" xfId="42" applyFont="1" applyFill="1" applyBorder="1" applyAlignment="1">
      <alignment wrapText="1"/>
    </xf>
    <xf numFmtId="3" fontId="7" fillId="0" borderId="0" xfId="41" applyNumberFormat="1" applyFont="1" applyAlignment="1">
      <alignment horizontal="right" wrapText="1"/>
    </xf>
    <xf numFmtId="0" fontId="7" fillId="0" borderId="0" xfId="41" applyFont="1" applyAlignment="1">
      <alignment horizontal="right" wrapText="1"/>
    </xf>
    <xf numFmtId="0" fontId="6" fillId="25" borderId="21" xfId="42" applyFont="1" applyFill="1" applyBorder="1" applyAlignment="1">
      <alignment horizontal="left" wrapText="1"/>
    </xf>
    <xf numFmtId="3" fontId="6" fillId="0" borderId="0" xfId="42" applyNumberFormat="1" applyFont="1" applyFill="1" applyBorder="1" applyAlignment="1">
      <alignment horizontal="left" wrapText="1"/>
    </xf>
    <xf numFmtId="0" fontId="38" fillId="0" borderId="0" xfId="42" applyFont="1" applyFill="1" applyBorder="1" applyAlignment="1">
      <alignment horizontal="center" wrapText="1"/>
    </xf>
    <xf numFmtId="3" fontId="38" fillId="0" borderId="0" xfId="42" applyNumberFormat="1" applyFont="1" applyFill="1" applyBorder="1" applyAlignment="1">
      <alignment horizontal="center" wrapText="1"/>
    </xf>
    <xf numFmtId="3" fontId="4" fillId="0" borderId="0" xfId="42" applyNumberFormat="1" applyFont="1" applyBorder="1" applyAlignment="1">
      <alignment wrapText="1"/>
    </xf>
    <xf numFmtId="0" fontId="4" fillId="0" borderId="0" xfId="42" applyFont="1" applyAlignment="1">
      <alignment wrapText="1"/>
    </xf>
    <xf numFmtId="3" fontId="4" fillId="0" borderId="0" xfId="42" applyNumberFormat="1" applyFont="1" applyFill="1" applyBorder="1" applyAlignment="1">
      <alignment horizontal="right" wrapText="1"/>
    </xf>
    <xf numFmtId="10" fontId="4" fillId="0" borderId="28" xfId="48" applyNumberFormat="1" applyFont="1" applyFill="1" applyBorder="1"/>
    <xf numFmtId="2" fontId="7" fillId="0" borderId="0" xfId="41" applyNumberFormat="1" applyFont="1"/>
    <xf numFmtId="3" fontId="6" fillId="0" borderId="0" xfId="26" applyNumberFormat="1" applyFont="1"/>
    <xf numFmtId="10" fontId="6" fillId="0" borderId="27" xfId="48" applyNumberFormat="1" applyFont="1" applyFill="1" applyBorder="1"/>
    <xf numFmtId="10" fontId="6" fillId="26" borderId="14" xfId="48" applyNumberFormat="1" applyFont="1" applyFill="1" applyBorder="1"/>
    <xf numFmtId="10" fontId="4" fillId="28" borderId="29" xfId="48" applyNumberFormat="1" applyFont="1" applyFill="1" applyBorder="1"/>
    <xf numFmtId="10" fontId="4" fillId="28" borderId="30" xfId="48" applyNumberFormat="1" applyFont="1" applyFill="1" applyBorder="1"/>
    <xf numFmtId="10" fontId="4" fillId="28" borderId="31" xfId="48" applyNumberFormat="1" applyFont="1" applyFill="1" applyBorder="1"/>
    <xf numFmtId="10" fontId="4" fillId="26" borderId="32" xfId="48" applyNumberFormat="1" applyFont="1" applyFill="1" applyBorder="1"/>
    <xf numFmtId="10" fontId="4" fillId="28" borderId="33" xfId="48" applyNumberFormat="1" applyFont="1" applyFill="1" applyBorder="1"/>
    <xf numFmtId="10" fontId="6" fillId="26" borderId="32" xfId="48" applyNumberFormat="1" applyFont="1" applyFill="1" applyBorder="1"/>
    <xf numFmtId="10" fontId="6" fillId="26" borderId="34" xfId="48" applyNumberFormat="1" applyFont="1" applyFill="1" applyBorder="1"/>
    <xf numFmtId="10" fontId="6" fillId="26" borderId="35" xfId="48" applyNumberFormat="1" applyFont="1" applyFill="1" applyBorder="1"/>
    <xf numFmtId="3" fontId="2" fillId="0" borderId="0" xfId="41" applyNumberFormat="1"/>
    <xf numFmtId="0" fontId="46" fillId="0" borderId="0" xfId="41" applyFont="1" applyBorder="1" applyAlignment="1">
      <alignment horizontal="left" wrapText="1"/>
    </xf>
    <xf numFmtId="10" fontId="38" fillId="26" borderId="32" xfId="48" applyNumberFormat="1" applyFont="1" applyFill="1" applyBorder="1"/>
    <xf numFmtId="10" fontId="38" fillId="28" borderId="29" xfId="48" applyNumberFormat="1" applyFont="1" applyFill="1" applyBorder="1"/>
    <xf numFmtId="3" fontId="6" fillId="26" borderId="14" xfId="26" applyNumberFormat="1" applyFont="1" applyFill="1" applyBorder="1"/>
    <xf numFmtId="2" fontId="4" fillId="0" borderId="0" xfId="0" applyNumberFormat="1" applyFont="1"/>
    <xf numFmtId="0" fontId="4" fillId="0" borderId="16" xfId="0" applyFont="1" applyBorder="1" applyAlignment="1">
      <alignment wrapText="1"/>
    </xf>
    <xf numFmtId="2" fontId="4" fillId="0" borderId="16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2" fontId="4" fillId="0" borderId="0" xfId="0" applyNumberFormat="1" applyFont="1" applyBorder="1"/>
    <xf numFmtId="168" fontId="4" fillId="25" borderId="14" xfId="0" applyNumberFormat="1" applyFont="1" applyFill="1" applyBorder="1"/>
    <xf numFmtId="168" fontId="4" fillId="0" borderId="0" xfId="0" applyNumberFormat="1" applyFont="1" applyFill="1" applyBorder="1"/>
    <xf numFmtId="0" fontId="38" fillId="0" borderId="0" xfId="0" applyFont="1"/>
    <xf numFmtId="10" fontId="6" fillId="29" borderId="32" xfId="48" applyNumberFormat="1" applyFont="1" applyFill="1" applyBorder="1"/>
    <xf numFmtId="10" fontId="6" fillId="28" borderId="33" xfId="48" applyNumberFormat="1" applyFont="1" applyFill="1" applyBorder="1"/>
    <xf numFmtId="0" fontId="39" fillId="0" borderId="0" xfId="41" applyFont="1" applyBorder="1" applyAlignment="1">
      <alignment wrapText="1"/>
    </xf>
    <xf numFmtId="0" fontId="7" fillId="0" borderId="16" xfId="0" applyFont="1" applyBorder="1" applyAlignment="1">
      <alignment wrapText="1"/>
    </xf>
    <xf numFmtId="2" fontId="6" fillId="26" borderId="14" xfId="0" applyNumberFormat="1" applyFont="1" applyFill="1" applyBorder="1"/>
    <xf numFmtId="2" fontId="9" fillId="0" borderId="0" xfId="0" applyNumberFormat="1" applyFont="1"/>
    <xf numFmtId="2" fontId="37" fillId="0" borderId="0" xfId="0" applyNumberFormat="1" applyFont="1"/>
    <xf numFmtId="0" fontId="37" fillId="0" borderId="0" xfId="0" applyFont="1"/>
    <xf numFmtId="166" fontId="37" fillId="0" borderId="0" xfId="26" applyNumberFormat="1" applyFont="1" applyAlignment="1">
      <alignment horizontal="right"/>
    </xf>
    <xf numFmtId="2" fontId="6" fillId="0" borderId="0" xfId="0" applyNumberFormat="1" applyFont="1"/>
    <xf numFmtId="2" fontId="6" fillId="0" borderId="14" xfId="0" applyNumberFormat="1" applyFont="1" applyBorder="1"/>
    <xf numFmtId="3" fontId="51" fillId="0" borderId="0" xfId="0" applyNumberFormat="1" applyFont="1"/>
    <xf numFmtId="10" fontId="9" fillId="28" borderId="29" xfId="48" applyNumberFormat="1" applyFont="1" applyFill="1" applyBorder="1"/>
    <xf numFmtId="10" fontId="38" fillId="28" borderId="30" xfId="48" applyNumberFormat="1" applyFont="1" applyFill="1" applyBorder="1"/>
    <xf numFmtId="3" fontId="7" fillId="0" borderId="16" xfId="41" applyNumberFormat="1" applyFont="1" applyBorder="1" applyAlignment="1">
      <alignment horizontal="center"/>
    </xf>
    <xf numFmtId="3" fontId="4" fillId="0" borderId="16" xfId="26" applyNumberFormat="1" applyFont="1" applyFill="1" applyBorder="1" applyAlignment="1" applyProtection="1"/>
    <xf numFmtId="3" fontId="6" fillId="25" borderId="16" xfId="40" applyNumberFormat="1" applyFont="1" applyFill="1" applyBorder="1"/>
    <xf numFmtId="10" fontId="6" fillId="26" borderId="36" xfId="48" applyNumberFormat="1" applyFont="1" applyFill="1" applyBorder="1"/>
    <xf numFmtId="14" fontId="15" fillId="0" borderId="0" xfId="0" applyNumberFormat="1" applyFont="1" applyBorder="1"/>
    <xf numFmtId="0" fontId="8" fillId="0" borderId="0" xfId="0" applyFont="1" applyBorder="1"/>
    <xf numFmtId="0" fontId="5" fillId="0" borderId="0" xfId="0" applyFont="1" applyBorder="1"/>
    <xf numFmtId="3" fontId="52" fillId="0" borderId="0" xfId="41" applyNumberFormat="1" applyFont="1"/>
    <xf numFmtId="0" fontId="52" fillId="0" borderId="0" xfId="41" applyFont="1"/>
    <xf numFmtId="6" fontId="0" fillId="0" borderId="0" xfId="0" applyNumberFormat="1"/>
    <xf numFmtId="167" fontId="0" fillId="0" borderId="0" xfId="0" applyNumberFormat="1"/>
    <xf numFmtId="165" fontId="17" fillId="0" borderId="0" xfId="26" applyNumberFormat="1"/>
    <xf numFmtId="165" fontId="2" fillId="0" borderId="0" xfId="41" applyNumberFormat="1"/>
    <xf numFmtId="165" fontId="0" fillId="0" borderId="0" xfId="0" applyNumberFormat="1"/>
    <xf numFmtId="3" fontId="53" fillId="0" borderId="0" xfId="41" applyNumberFormat="1" applyFont="1" applyFill="1" applyBorder="1" applyAlignment="1">
      <alignment wrapText="1"/>
    </xf>
    <xf numFmtId="0" fontId="54" fillId="0" borderId="0" xfId="41" applyFont="1" applyAlignment="1">
      <alignment horizontal="center"/>
    </xf>
    <xf numFmtId="3" fontId="54" fillId="0" borderId="0" xfId="41" applyNumberFormat="1" applyFont="1" applyAlignment="1">
      <alignment horizontal="center"/>
    </xf>
    <xf numFmtId="10" fontId="51" fillId="0" borderId="27" xfId="48" applyNumberFormat="1" applyFont="1" applyFill="1" applyBorder="1"/>
    <xf numFmtId="0" fontId="54" fillId="0" borderId="0" xfId="41" applyFont="1"/>
    <xf numFmtId="3" fontId="54" fillId="0" borderId="0" xfId="41" applyNumberFormat="1" applyFont="1"/>
    <xf numFmtId="3" fontId="55" fillId="0" borderId="0" xfId="41" applyNumberFormat="1" applyFont="1" applyAlignment="1">
      <alignment wrapText="1"/>
    </xf>
    <xf numFmtId="3" fontId="54" fillId="0" borderId="0" xfId="41" applyNumberFormat="1" applyFont="1" applyAlignment="1">
      <alignment wrapText="1"/>
    </xf>
    <xf numFmtId="3" fontId="54" fillId="0" borderId="0" xfId="41" applyNumberFormat="1" applyFont="1" applyFill="1" applyAlignment="1">
      <alignment horizontal="center" wrapText="1"/>
    </xf>
    <xf numFmtId="3" fontId="7" fillId="0" borderId="0" xfId="41" applyNumberFormat="1" applyFont="1" applyAlignment="1">
      <alignment wrapText="1"/>
    </xf>
    <xf numFmtId="3" fontId="10" fillId="0" borderId="0" xfId="41" applyNumberFormat="1" applyFont="1" applyFill="1" applyBorder="1" applyAlignment="1">
      <alignment wrapText="1"/>
    </xf>
    <xf numFmtId="3" fontId="39" fillId="0" borderId="0" xfId="41" applyNumberFormat="1" applyFont="1"/>
    <xf numFmtId="10" fontId="38" fillId="0" borderId="27" xfId="48" applyNumberFormat="1" applyFont="1" applyFill="1" applyBorder="1"/>
    <xf numFmtId="3" fontId="39" fillId="0" borderId="0" xfId="41" applyNumberFormat="1" applyFont="1" applyAlignment="1">
      <alignment wrapText="1"/>
    </xf>
    <xf numFmtId="3" fontId="10" fillId="0" borderId="0" xfId="41" applyNumberFormat="1" applyFont="1"/>
    <xf numFmtId="3" fontId="15" fillId="0" borderId="0" xfId="41" applyNumberFormat="1" applyFont="1" applyAlignment="1">
      <alignment wrapText="1"/>
    </xf>
    <xf numFmtId="3" fontId="10" fillId="0" borderId="0" xfId="41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38" fillId="0" borderId="0" xfId="26" applyNumberFormat="1" applyFont="1"/>
    <xf numFmtId="3" fontId="38" fillId="26" borderId="14" xfId="0" applyNumberFormat="1" applyFont="1" applyFill="1" applyBorder="1"/>
    <xf numFmtId="0" fontId="4" fillId="0" borderId="0" xfId="0" applyFont="1" applyFill="1" applyAlignment="1">
      <alignment wrapText="1"/>
    </xf>
    <xf numFmtId="3" fontId="56" fillId="0" borderId="0" xfId="0" applyNumberFormat="1" applyFont="1"/>
    <xf numFmtId="14" fontId="16" fillId="0" borderId="0" xfId="0" applyNumberFormat="1" applyFont="1" applyBorder="1"/>
    <xf numFmtId="0" fontId="7" fillId="0" borderId="0" xfId="41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41" applyFont="1" applyAlignment="1">
      <alignment horizontal="center" wrapText="1"/>
    </xf>
    <xf numFmtId="0" fontId="17" fillId="0" borderId="0" xfId="0" applyFont="1"/>
    <xf numFmtId="3" fontId="6" fillId="0" borderId="0" xfId="42" applyNumberFormat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16" fillId="0" borderId="0" xfId="0" applyFont="1" applyFill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6" fillId="0" borderId="0" xfId="0" applyFont="1"/>
    <xf numFmtId="0" fontId="0" fillId="26" borderId="25" xfId="0" applyFill="1" applyBorder="1"/>
    <xf numFmtId="0" fontId="0" fillId="26" borderId="23" xfId="0" applyFill="1" applyBorder="1"/>
    <xf numFmtId="165" fontId="4" fillId="0" borderId="0" xfId="26" applyNumberFormat="1" applyFont="1"/>
    <xf numFmtId="165" fontId="6" fillId="0" borderId="0" xfId="26" applyNumberFormat="1" applyFont="1"/>
    <xf numFmtId="0" fontId="7" fillId="0" borderId="0" xfId="0" applyFont="1" applyAlignment="1">
      <alignment wrapText="1"/>
    </xf>
    <xf numFmtId="165" fontId="4" fillId="26" borderId="25" xfId="26" applyNumberFormat="1" applyFont="1" applyFill="1" applyBorder="1"/>
    <xf numFmtId="0" fontId="4" fillId="26" borderId="25" xfId="0" applyFont="1" applyFill="1" applyBorder="1"/>
    <xf numFmtId="3" fontId="4" fillId="26" borderId="25" xfId="0" applyNumberFormat="1" applyFont="1" applyFill="1" applyBorder="1"/>
    <xf numFmtId="169" fontId="17" fillId="0" borderId="0" xfId="26" applyNumberFormat="1"/>
    <xf numFmtId="165" fontId="57" fillId="0" borderId="0" xfId="26" applyNumberFormat="1" applyFont="1"/>
    <xf numFmtId="2" fontId="16" fillId="0" borderId="0" xfId="0" applyNumberFormat="1" applyFont="1" applyFill="1" applyBorder="1" applyAlignment="1">
      <alignment vertical="top" wrapText="1"/>
    </xf>
    <xf numFmtId="3" fontId="6" fillId="0" borderId="0" xfId="26" applyNumberFormat="1" applyFont="1" applyFill="1" applyBorder="1" applyAlignment="1">
      <alignment horizontal="right"/>
    </xf>
    <xf numFmtId="3" fontId="58" fillId="0" borderId="0" xfId="0" applyNumberFormat="1" applyFont="1"/>
    <xf numFmtId="0" fontId="5" fillId="0" borderId="14" xfId="0" applyFont="1" applyFill="1" applyBorder="1" applyAlignment="1">
      <alignment wrapText="1"/>
    </xf>
    <xf numFmtId="3" fontId="14" fillId="0" borderId="14" xfId="0" applyNumberFormat="1" applyFont="1" applyFill="1" applyBorder="1"/>
    <xf numFmtId="0" fontId="4" fillId="0" borderId="14" xfId="0" applyFont="1" applyBorder="1"/>
    <xf numFmtId="3" fontId="4" fillId="0" borderId="14" xfId="0" applyNumberFormat="1" applyFont="1" applyBorder="1"/>
    <xf numFmtId="2" fontId="4" fillId="0" borderId="14" xfId="0" applyNumberFormat="1" applyFont="1" applyBorder="1"/>
    <xf numFmtId="0" fontId="5" fillId="26" borderId="21" xfId="0" applyFont="1" applyFill="1" applyBorder="1" applyAlignment="1">
      <alignment wrapText="1"/>
    </xf>
    <xf numFmtId="3" fontId="14" fillId="26" borderId="14" xfId="0" applyNumberFormat="1" applyFont="1" applyFill="1" applyBorder="1"/>
    <xf numFmtId="2" fontId="6" fillId="26" borderId="37" xfId="0" applyNumberFormat="1" applyFont="1" applyFill="1" applyBorder="1"/>
    <xf numFmtId="3" fontId="59" fillId="0" borderId="0" xfId="41" applyNumberFormat="1" applyFont="1"/>
    <xf numFmtId="0" fontId="16" fillId="0" borderId="0" xfId="0" applyFont="1" applyFill="1" applyBorder="1" applyAlignment="1">
      <alignment wrapText="1"/>
    </xf>
    <xf numFmtId="165" fontId="56" fillId="0" borderId="0" xfId="0" applyNumberFormat="1" applyFont="1"/>
    <xf numFmtId="0" fontId="4" fillId="26" borderId="23" xfId="0" applyFont="1" applyFill="1" applyBorder="1"/>
    <xf numFmtId="170" fontId="4" fillId="0" borderId="0" xfId="26" applyNumberFormat="1" applyFont="1"/>
    <xf numFmtId="3" fontId="4" fillId="26" borderId="23" xfId="0" applyNumberFormat="1" applyFont="1" applyFill="1" applyBorder="1"/>
    <xf numFmtId="3" fontId="4" fillId="26" borderId="25" xfId="26" applyNumberFormat="1" applyFont="1" applyFill="1" applyBorder="1"/>
    <xf numFmtId="3" fontId="4" fillId="26" borderId="23" xfId="26" applyNumberFormat="1" applyFont="1" applyFill="1" applyBorder="1"/>
    <xf numFmtId="0" fontId="11" fillId="0" borderId="0" xfId="0" applyFont="1" applyAlignment="1">
      <alignment horizontal="center"/>
    </xf>
    <xf numFmtId="165" fontId="17" fillId="0" borderId="0" xfId="26" applyNumberFormat="1" applyAlignment="1">
      <alignment horizontal="center"/>
    </xf>
    <xf numFmtId="0" fontId="17" fillId="0" borderId="0" xfId="49"/>
    <xf numFmtId="0" fontId="45" fillId="0" borderId="0" xfId="39"/>
    <xf numFmtId="3" fontId="11" fillId="0" borderId="38" xfId="39" applyNumberFormat="1" applyFont="1" applyBorder="1" applyAlignment="1">
      <alignment horizontal="right" vertical="top" wrapText="1"/>
    </xf>
    <xf numFmtId="0" fontId="11" fillId="0" borderId="38" xfId="39" applyFont="1" applyBorder="1" applyAlignment="1">
      <alignment horizontal="left" vertical="top" wrapText="1"/>
    </xf>
    <xf numFmtId="3" fontId="17" fillId="0" borderId="38" xfId="39" applyNumberFormat="1" applyFont="1" applyBorder="1" applyAlignment="1">
      <alignment horizontal="right" vertical="top" wrapText="1"/>
    </xf>
    <xf numFmtId="0" fontId="17" fillId="0" borderId="38" xfId="39" applyFont="1" applyBorder="1" applyAlignment="1">
      <alignment horizontal="left" vertical="top" wrapText="1"/>
    </xf>
    <xf numFmtId="3" fontId="45" fillId="0" borderId="0" xfId="39" applyNumberFormat="1"/>
    <xf numFmtId="0" fontId="45" fillId="0" borderId="38" xfId="39" applyBorder="1"/>
    <xf numFmtId="0" fontId="11" fillId="0" borderId="38" xfId="39" applyFont="1" applyBorder="1" applyAlignment="1">
      <alignment horizontal="center" vertical="top" wrapText="1"/>
    </xf>
    <xf numFmtId="3" fontId="17" fillId="0" borderId="0" xfId="39" applyNumberFormat="1" applyFont="1" applyFill="1" applyBorder="1" applyAlignment="1">
      <alignment horizontal="right" vertical="top" wrapText="1"/>
    </xf>
    <xf numFmtId="0" fontId="63" fillId="0" borderId="38" xfId="39" applyFont="1" applyFill="1" applyBorder="1" applyAlignment="1">
      <alignment horizontal="center" vertical="top" wrapText="1"/>
    </xf>
    <xf numFmtId="3" fontId="17" fillId="0" borderId="38" xfId="39" applyNumberFormat="1" applyFont="1" applyFill="1" applyBorder="1" applyAlignment="1">
      <alignment horizontal="right" vertical="top" wrapText="1"/>
    </xf>
    <xf numFmtId="0" fontId="17" fillId="0" borderId="38" xfId="39" applyFont="1" applyFill="1" applyBorder="1" applyAlignment="1">
      <alignment horizontal="left" vertical="top" wrapText="1"/>
    </xf>
    <xf numFmtId="0" fontId="65" fillId="0" borderId="0" xfId="39" applyFont="1" applyFill="1"/>
    <xf numFmtId="171" fontId="66" fillId="0" borderId="38" xfId="26" applyNumberFormat="1" applyFont="1" applyBorder="1" applyAlignment="1">
      <alignment vertical="center"/>
    </xf>
    <xf numFmtId="0" fontId="11" fillId="0" borderId="38" xfId="0" applyFont="1" applyBorder="1" applyAlignment="1">
      <alignment horizontal="left" vertical="center"/>
    </xf>
    <xf numFmtId="171" fontId="0" fillId="0" borderId="38" xfId="26" applyNumberFormat="1" applyFont="1" applyBorder="1" applyAlignment="1">
      <alignment vertical="center"/>
    </xf>
    <xf numFmtId="0" fontId="0" fillId="0" borderId="38" xfId="0" applyBorder="1" applyAlignment="1">
      <alignment horizontal="left" vertical="center" wrapText="1"/>
    </xf>
    <xf numFmtId="171" fontId="0" fillId="0" borderId="0" xfId="0" applyNumberFormat="1"/>
    <xf numFmtId="0" fontId="0" fillId="0" borderId="24" xfId="0" applyBorder="1" applyAlignment="1">
      <alignment horizontal="left" vertical="center"/>
    </xf>
    <xf numFmtId="171" fontId="11" fillId="0" borderId="38" xfId="26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7" fillId="0" borderId="0" xfId="0" applyFont="1" applyAlignment="1"/>
    <xf numFmtId="0" fontId="68" fillId="0" borderId="0" xfId="0" applyFont="1" applyAlignment="1">
      <alignment horizontal="right"/>
    </xf>
    <xf numFmtId="0" fontId="45" fillId="0" borderId="0" xfId="39" applyBorder="1"/>
    <xf numFmtId="0" fontId="65" fillId="0" borderId="0" xfId="39" applyFont="1" applyFill="1" applyBorder="1"/>
    <xf numFmtId="0" fontId="4" fillId="0" borderId="0" xfId="49" applyFont="1"/>
    <xf numFmtId="3" fontId="70" fillId="0" borderId="38" xfId="54" applyNumberFormat="1" applyFont="1" applyBorder="1"/>
    <xf numFmtId="0" fontId="5" fillId="0" borderId="38" xfId="54" applyFont="1" applyBorder="1"/>
    <xf numFmtId="3" fontId="71" fillId="0" borderId="39" xfId="54" applyNumberFormat="1" applyFont="1" applyBorder="1"/>
    <xf numFmtId="0" fontId="7" fillId="0" borderId="39" xfId="54" applyFont="1" applyBorder="1"/>
    <xf numFmtId="3" fontId="71" fillId="0" borderId="40" xfId="54" applyNumberFormat="1" applyFont="1" applyBorder="1"/>
    <xf numFmtId="0" fontId="5" fillId="0" borderId="39" xfId="54" applyFont="1" applyBorder="1"/>
    <xf numFmtId="3" fontId="71" fillId="0" borderId="41" xfId="54" applyNumberFormat="1" applyFont="1" applyBorder="1"/>
    <xf numFmtId="0" fontId="7" fillId="0" borderId="41" xfId="54" applyFont="1" applyBorder="1"/>
    <xf numFmtId="0" fontId="5" fillId="0" borderId="40" xfId="54" applyFont="1" applyBorder="1"/>
    <xf numFmtId="3" fontId="7" fillId="0" borderId="39" xfId="54" applyNumberFormat="1" applyFont="1" applyBorder="1"/>
    <xf numFmtId="0" fontId="11" fillId="0" borderId="38" xfId="49" applyFont="1" applyBorder="1" applyAlignment="1">
      <alignment horizontal="center"/>
    </xf>
    <xf numFmtId="0" fontId="3" fillId="0" borderId="40" xfId="54" applyFont="1" applyBorder="1" applyAlignment="1">
      <alignment horizontal="center"/>
    </xf>
    <xf numFmtId="0" fontId="18" fillId="0" borderId="38" xfId="49" applyFont="1" applyBorder="1" applyAlignment="1">
      <alignment horizontal="center"/>
    </xf>
    <xf numFmtId="0" fontId="3" fillId="0" borderId="38" xfId="54" applyFont="1" applyBorder="1" applyAlignment="1">
      <alignment horizontal="center"/>
    </xf>
    <xf numFmtId="0" fontId="43" fillId="0" borderId="38" xfId="54" applyBorder="1"/>
    <xf numFmtId="0" fontId="17" fillId="0" borderId="0" xfId="49" applyFont="1" applyAlignment="1">
      <alignment horizontal="right"/>
    </xf>
    <xf numFmtId="0" fontId="43" fillId="0" borderId="0" xfId="54"/>
    <xf numFmtId="14" fontId="43" fillId="0" borderId="0" xfId="54" applyNumberFormat="1"/>
    <xf numFmtId="0" fontId="17" fillId="0" borderId="0" xfId="56"/>
    <xf numFmtId="165" fontId="11" fillId="0" borderId="38" xfId="50" applyNumberFormat="1" applyFont="1" applyBorder="1" applyAlignment="1">
      <alignment horizontal="right" vertical="center" wrapText="1"/>
    </xf>
    <xf numFmtId="0" fontId="11" fillId="0" borderId="38" xfId="56" applyFont="1" applyBorder="1" applyAlignment="1">
      <alignment horizontal="left" vertical="center" wrapText="1"/>
    </xf>
    <xf numFmtId="165" fontId="17" fillId="0" borderId="38" xfId="50" applyNumberFormat="1" applyBorder="1" applyAlignment="1">
      <alignment horizontal="right" vertical="center" wrapText="1"/>
    </xf>
    <xf numFmtId="0" fontId="17" fillId="0" borderId="38" xfId="56" applyFont="1" applyBorder="1" applyAlignment="1">
      <alignment horizontal="left" vertical="top" wrapText="1"/>
    </xf>
    <xf numFmtId="165" fontId="17" fillId="0" borderId="38" xfId="50" applyNumberFormat="1" applyBorder="1" applyAlignment="1">
      <alignment horizontal="right" vertical="top" wrapText="1"/>
    </xf>
    <xf numFmtId="0" fontId="17" fillId="0" borderId="38" xfId="0" applyFont="1" applyBorder="1" applyAlignment="1">
      <alignment horizontal="left" vertical="top" wrapText="1"/>
    </xf>
    <xf numFmtId="165" fontId="11" fillId="0" borderId="38" xfId="50" applyNumberFormat="1" applyFont="1" applyBorder="1" applyAlignment="1">
      <alignment horizontal="right" vertical="top" wrapText="1"/>
    </xf>
    <xf numFmtId="171" fontId="17" fillId="0" borderId="0" xfId="56" applyNumberFormat="1" applyAlignment="1">
      <alignment wrapText="1"/>
    </xf>
    <xf numFmtId="171" fontId="17" fillId="0" borderId="0" xfId="51" applyNumberFormat="1" applyFont="1" applyAlignment="1">
      <alignment wrapText="1"/>
    </xf>
    <xf numFmtId="171" fontId="11" fillId="0" borderId="38" xfId="51" applyNumberFormat="1" applyFont="1" applyBorder="1" applyAlignment="1">
      <alignment horizontal="center" wrapText="1"/>
    </xf>
    <xf numFmtId="0" fontId="11" fillId="0" borderId="38" xfId="56" applyFont="1" applyBorder="1" applyAlignment="1">
      <alignment horizontal="center" vertical="top" wrapText="1"/>
    </xf>
    <xf numFmtId="0" fontId="17" fillId="0" borderId="0" xfId="56" applyAlignment="1">
      <alignment wrapText="1"/>
    </xf>
    <xf numFmtId="171" fontId="72" fillId="0" borderId="0" xfId="51" applyNumberFormat="1" applyFont="1" applyAlignment="1">
      <alignment wrapText="1"/>
    </xf>
    <xf numFmtId="165" fontId="11" fillId="0" borderId="38" xfId="50" applyNumberFormat="1" applyFont="1" applyBorder="1" applyAlignment="1">
      <alignment vertical="center" wrapText="1"/>
    </xf>
    <xf numFmtId="0" fontId="11" fillId="0" borderId="38" xfId="56" applyFont="1" applyBorder="1" applyAlignment="1">
      <alignment vertical="center" wrapText="1"/>
    </xf>
    <xf numFmtId="0" fontId="73" fillId="0" borderId="38" xfId="56" applyFont="1" applyFill="1" applyBorder="1" applyAlignment="1">
      <alignment horizontal="left" vertical="center" wrapText="1"/>
    </xf>
    <xf numFmtId="165" fontId="17" fillId="0" borderId="38" xfId="50" applyNumberFormat="1" applyBorder="1" applyAlignment="1">
      <alignment vertical="center" wrapText="1"/>
    </xf>
    <xf numFmtId="0" fontId="17" fillId="0" borderId="38" xfId="56" applyFont="1" applyFill="1" applyBorder="1" applyAlignment="1">
      <alignment horizontal="left" vertical="center" wrapText="1"/>
    </xf>
    <xf numFmtId="0" fontId="74" fillId="0" borderId="38" xfId="56" applyFont="1" applyFill="1" applyBorder="1" applyAlignment="1">
      <alignment horizontal="left" vertical="center" wrapText="1"/>
    </xf>
    <xf numFmtId="0" fontId="11" fillId="0" borderId="38" xfId="56" applyFont="1" applyFill="1" applyBorder="1" applyAlignment="1">
      <alignment horizontal="left" vertical="center" wrapText="1"/>
    </xf>
    <xf numFmtId="0" fontId="73" fillId="30" borderId="38" xfId="56" applyFont="1" applyFill="1" applyBorder="1" applyAlignment="1">
      <alignment horizontal="left" vertical="center" wrapText="1"/>
    </xf>
    <xf numFmtId="0" fontId="74" fillId="0" borderId="38" xfId="56" applyFont="1" applyBorder="1" applyAlignment="1">
      <alignment horizontal="left" vertical="center" wrapText="1"/>
    </xf>
    <xf numFmtId="0" fontId="17" fillId="0" borderId="38" xfId="56" applyBorder="1" applyAlignment="1">
      <alignment vertical="center" wrapText="1"/>
    </xf>
    <xf numFmtId="0" fontId="75" fillId="0" borderId="38" xfId="56" applyFont="1" applyBorder="1" applyAlignment="1">
      <alignment horizontal="left" vertical="center" wrapText="1"/>
    </xf>
    <xf numFmtId="165" fontId="76" fillId="0" borderId="38" xfId="50" applyNumberFormat="1" applyFont="1" applyBorder="1" applyAlignment="1">
      <alignment vertical="center" wrapText="1"/>
    </xf>
    <xf numFmtId="0" fontId="76" fillId="0" borderId="38" xfId="56" applyFont="1" applyBorder="1" applyAlignment="1">
      <alignment vertical="center" wrapText="1"/>
    </xf>
    <xf numFmtId="0" fontId="11" fillId="0" borderId="38" xfId="56" applyFont="1" applyBorder="1" applyAlignment="1">
      <alignment horizontal="center" vertical="center" wrapText="1"/>
    </xf>
    <xf numFmtId="0" fontId="17" fillId="0" borderId="0" xfId="56" applyAlignment="1">
      <alignment vertical="center" wrapText="1"/>
    </xf>
    <xf numFmtId="0" fontId="11" fillId="0" borderId="0" xfId="56" applyFont="1" applyAlignment="1">
      <alignment horizontal="center"/>
    </xf>
    <xf numFmtId="0" fontId="17" fillId="0" borderId="0" xfId="52"/>
    <xf numFmtId="165" fontId="11" fillId="0" borderId="38" xfId="50" applyNumberFormat="1" applyFont="1" applyBorder="1" applyAlignment="1">
      <alignment horizontal="right"/>
    </xf>
    <xf numFmtId="165" fontId="17" fillId="0" borderId="38" xfId="50" applyNumberFormat="1" applyBorder="1" applyAlignment="1">
      <alignment horizontal="right"/>
    </xf>
    <xf numFmtId="0" fontId="11" fillId="0" borderId="38" xfId="52" applyFont="1" applyBorder="1" applyAlignment="1">
      <alignment horizontal="center"/>
    </xf>
    <xf numFmtId="0" fontId="17" fillId="0" borderId="0" xfId="52" applyAlignment="1">
      <alignment horizontal="left"/>
    </xf>
    <xf numFmtId="165" fontId="11" fillId="0" borderId="0" xfId="50" applyNumberFormat="1" applyFont="1" applyBorder="1" applyAlignment="1">
      <alignment horizontal="right"/>
    </xf>
    <xf numFmtId="0" fontId="11" fillId="0" borderId="0" xfId="52" applyFont="1" applyBorder="1" applyAlignment="1"/>
    <xf numFmtId="0" fontId="47" fillId="0" borderId="0" xfId="52" applyFont="1"/>
    <xf numFmtId="0" fontId="17" fillId="0" borderId="0" xfId="52" applyAlignment="1"/>
    <xf numFmtId="0" fontId="11" fillId="0" borderId="0" xfId="52" applyFont="1" applyAlignment="1"/>
    <xf numFmtId="0" fontId="11" fillId="0" borderId="0" xfId="52" applyFont="1" applyAlignment="1">
      <alignment horizontal="center"/>
    </xf>
    <xf numFmtId="0" fontId="11" fillId="0" borderId="0" xfId="52" applyFont="1"/>
    <xf numFmtId="0" fontId="11" fillId="0" borderId="0" xfId="52" applyFont="1" applyAlignment="1">
      <alignment horizontal="right"/>
    </xf>
    <xf numFmtId="3" fontId="77" fillId="0" borderId="38" xfId="53" applyNumberFormat="1" applyFont="1" applyBorder="1"/>
    <xf numFmtId="0" fontId="78" fillId="0" borderId="38" xfId="53" applyFont="1" applyBorder="1"/>
    <xf numFmtId="0" fontId="79" fillId="0" borderId="38" xfId="53" applyFont="1" applyBorder="1" applyAlignment="1">
      <alignment horizontal="center"/>
    </xf>
    <xf numFmtId="3" fontId="80" fillId="0" borderId="38" xfId="41" applyNumberFormat="1" applyFont="1" applyBorder="1"/>
    <xf numFmtId="3" fontId="81" fillId="0" borderId="38" xfId="53" applyNumberFormat="1" applyFont="1" applyBorder="1"/>
    <xf numFmtId="0" fontId="82" fillId="0" borderId="38" xfId="53" applyFont="1" applyBorder="1"/>
    <xf numFmtId="0" fontId="82" fillId="0" borderId="38" xfId="53" applyFont="1" applyBorder="1" applyAlignment="1">
      <alignment horizontal="center"/>
    </xf>
    <xf numFmtId="3" fontId="7" fillId="0" borderId="38" xfId="41" applyNumberFormat="1" applyFont="1" applyBorder="1"/>
    <xf numFmtId="3" fontId="17" fillId="0" borderId="0" xfId="0" applyNumberFormat="1" applyFont="1"/>
    <xf numFmtId="0" fontId="78" fillId="0" borderId="38" xfId="53" applyFont="1" applyBorder="1" applyAlignment="1">
      <alignment horizontal="center"/>
    </xf>
    <xf numFmtId="3" fontId="81" fillId="0" borderId="0" xfId="53" applyNumberFormat="1" applyFont="1"/>
    <xf numFmtId="0" fontId="82" fillId="0" borderId="38" xfId="53" applyFont="1" applyBorder="1" applyAlignment="1">
      <alignment wrapText="1"/>
    </xf>
    <xf numFmtId="0" fontId="82" fillId="0" borderId="38" xfId="53" applyFont="1" applyBorder="1" applyAlignment="1">
      <alignment horizontal="center" vertical="top"/>
    </xf>
    <xf numFmtId="3" fontId="83" fillId="0" borderId="38" xfId="41" applyNumberFormat="1" applyFont="1" applyBorder="1" applyAlignment="1">
      <alignment horizontal="right"/>
    </xf>
    <xf numFmtId="0" fontId="84" fillId="0" borderId="38" xfId="53" applyFont="1" applyBorder="1" applyAlignment="1">
      <alignment horizontal="right"/>
    </xf>
    <xf numFmtId="3" fontId="7" fillId="0" borderId="23" xfId="41" applyNumberFormat="1" applyFont="1" applyBorder="1"/>
    <xf numFmtId="0" fontId="78" fillId="0" borderId="23" xfId="53" applyFont="1" applyBorder="1" applyAlignment="1">
      <alignment horizontal="center"/>
    </xf>
    <xf numFmtId="0" fontId="78" fillId="0" borderId="24" xfId="53" applyFont="1" applyBorder="1" applyAlignment="1"/>
    <xf numFmtId="3" fontId="5" fillId="0" borderId="38" xfId="41" applyNumberFormat="1" applyFont="1" applyBorder="1" applyAlignment="1">
      <alignment horizontal="right"/>
    </xf>
    <xf numFmtId="3" fontId="80" fillId="0" borderId="0" xfId="41" applyNumberFormat="1" applyFont="1"/>
    <xf numFmtId="0" fontId="82" fillId="0" borderId="0" xfId="53" applyFont="1"/>
    <xf numFmtId="0" fontId="82" fillId="0" borderId="0" xfId="53" applyFont="1" applyAlignment="1">
      <alignment horizontal="center"/>
    </xf>
    <xf numFmtId="165" fontId="6" fillId="0" borderId="0" xfId="0" applyNumberFormat="1" applyFont="1" applyBorder="1"/>
    <xf numFmtId="165" fontId="61" fillId="0" borderId="0" xfId="26" applyNumberFormat="1" applyFont="1" applyBorder="1"/>
    <xf numFmtId="165" fontId="6" fillId="0" borderId="38" xfId="0" applyNumberFormat="1" applyFont="1" applyBorder="1"/>
    <xf numFmtId="0" fontId="6" fillId="0" borderId="38" xfId="0" applyFont="1" applyBorder="1" applyAlignment="1">
      <alignment vertical="center"/>
    </xf>
    <xf numFmtId="165" fontId="4" fillId="0" borderId="0" xfId="26" applyNumberFormat="1" applyFont="1" applyBorder="1"/>
    <xf numFmtId="165" fontId="4" fillId="0" borderId="38" xfId="26" applyNumberFormat="1" applyFont="1" applyBorder="1"/>
    <xf numFmtId="0" fontId="4" fillId="0" borderId="38" xfId="0" applyFont="1" applyBorder="1" applyAlignment="1">
      <alignment vertical="top" wrapText="1"/>
    </xf>
    <xf numFmtId="165" fontId="4" fillId="0" borderId="38" xfId="26" applyNumberFormat="1" applyFont="1" applyBorder="1" applyAlignment="1"/>
    <xf numFmtId="165" fontId="4" fillId="0" borderId="0" xfId="26" applyNumberFormat="1" applyFont="1" applyBorder="1" applyAlignment="1">
      <alignment horizontal="center"/>
    </xf>
    <xf numFmtId="0" fontId="62" fillId="0" borderId="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wrapText="1"/>
    </xf>
    <xf numFmtId="0" fontId="4" fillId="0" borderId="0" xfId="0" applyFont="1" applyAlignment="1">
      <alignment vertical="top"/>
    </xf>
    <xf numFmtId="0" fontId="61" fillId="0" borderId="0" xfId="0" applyFont="1"/>
    <xf numFmtId="0" fontId="38" fillId="0" borderId="0" xfId="0" applyFont="1" applyAlignment="1"/>
    <xf numFmtId="0" fontId="38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171" fontId="4" fillId="0" borderId="38" xfId="26" applyNumberFormat="1" applyFont="1" applyBorder="1"/>
    <xf numFmtId="0" fontId="6" fillId="0" borderId="38" xfId="0" applyFont="1" applyBorder="1" applyAlignment="1">
      <alignment vertical="top" wrapText="1"/>
    </xf>
    <xf numFmtId="0" fontId="62" fillId="0" borderId="0" xfId="0" applyFont="1" applyBorder="1"/>
    <xf numFmtId="0" fontId="6" fillId="0" borderId="0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3" fontId="17" fillId="0" borderId="42" xfId="0" applyNumberFormat="1" applyFont="1" applyBorder="1"/>
    <xf numFmtId="0" fontId="17" fillId="0" borderId="22" xfId="0" applyFont="1" applyBorder="1"/>
    <xf numFmtId="0" fontId="17" fillId="0" borderId="43" xfId="0" applyFont="1" applyBorder="1"/>
    <xf numFmtId="0" fontId="17" fillId="0" borderId="44" xfId="0" applyFont="1" applyBorder="1"/>
    <xf numFmtId="3" fontId="17" fillId="0" borderId="43" xfId="0" applyNumberFormat="1" applyFont="1" applyBorder="1"/>
    <xf numFmtId="0" fontId="17" fillId="0" borderId="45" xfId="0" applyFont="1" applyBorder="1"/>
    <xf numFmtId="0" fontId="17" fillId="0" borderId="46" xfId="0" applyFont="1" applyBorder="1"/>
    <xf numFmtId="0" fontId="85" fillId="0" borderId="0" xfId="0" applyFont="1"/>
    <xf numFmtId="165" fontId="11" fillId="0" borderId="47" xfId="26" quotePrefix="1" applyNumberFormat="1" applyFont="1" applyBorder="1" applyAlignment="1">
      <alignment horizontal="center"/>
    </xf>
    <xf numFmtId="165" fontId="11" fillId="0" borderId="22" xfId="26" quotePrefix="1" applyNumberFormat="1" applyFont="1" applyBorder="1" applyAlignment="1">
      <alignment horizontal="center"/>
    </xf>
    <xf numFmtId="0" fontId="3" fillId="0" borderId="47" xfId="55" applyFont="1" applyBorder="1"/>
    <xf numFmtId="3" fontId="3" fillId="0" borderId="48" xfId="55" applyNumberFormat="1" applyFont="1" applyBorder="1" applyAlignment="1">
      <alignment horizontal="center"/>
    </xf>
    <xf numFmtId="0" fontId="3" fillId="0" borderId="44" xfId="55" applyFont="1" applyBorder="1" applyAlignment="1">
      <alignment horizontal="center"/>
    </xf>
    <xf numFmtId="165" fontId="17" fillId="0" borderId="0" xfId="26" applyNumberFormat="1" applyBorder="1" applyAlignment="1">
      <alignment horizontal="center"/>
    </xf>
    <xf numFmtId="165" fontId="17" fillId="0" borderId="48" xfId="26" applyNumberFormat="1" applyBorder="1" applyAlignment="1">
      <alignment horizontal="center"/>
    </xf>
    <xf numFmtId="0" fontId="3" fillId="0" borderId="48" xfId="55" applyFont="1" applyBorder="1"/>
    <xf numFmtId="165" fontId="3" fillId="0" borderId="48" xfId="55" applyNumberFormat="1" applyFont="1" applyBorder="1" applyAlignment="1">
      <alignment horizontal="center"/>
    </xf>
    <xf numFmtId="165" fontId="3" fillId="0" borderId="44" xfId="55" applyNumberFormat="1" applyFont="1" applyBorder="1" applyAlignment="1">
      <alignment horizontal="center"/>
    </xf>
    <xf numFmtId="165" fontId="3" fillId="0" borderId="0" xfId="55" applyNumberFormat="1" applyFont="1" applyBorder="1" applyAlignment="1">
      <alignment horizontal="center"/>
    </xf>
    <xf numFmtId="3" fontId="2" fillId="0" borderId="49" xfId="55" applyNumberFormat="1" applyFont="1" applyBorder="1" applyAlignment="1">
      <alignment horizontal="center"/>
    </xf>
    <xf numFmtId="0" fontId="3" fillId="0" borderId="46" xfId="55" applyFont="1" applyBorder="1" applyAlignment="1">
      <alignment horizontal="center"/>
    </xf>
    <xf numFmtId="165" fontId="17" fillId="0" borderId="50" xfId="26" applyNumberFormat="1" applyBorder="1" applyAlignment="1">
      <alignment horizontal="center"/>
    </xf>
    <xf numFmtId="165" fontId="17" fillId="0" borderId="49" xfId="26" applyNumberFormat="1" applyBorder="1" applyAlignment="1">
      <alignment horizontal="center"/>
    </xf>
    <xf numFmtId="0" fontId="2" fillId="0" borderId="46" xfId="55" applyFont="1" applyBorder="1" applyAlignment="1">
      <alignment horizontal="center"/>
    </xf>
    <xf numFmtId="3" fontId="2" fillId="0" borderId="51" xfId="55" applyNumberFormat="1" applyFont="1" applyBorder="1" applyAlignment="1">
      <alignment horizontal="center"/>
    </xf>
    <xf numFmtId="0" fontId="2" fillId="0" borderId="52" xfId="55" applyFont="1" applyBorder="1" applyAlignment="1">
      <alignment horizontal="center"/>
    </xf>
    <xf numFmtId="165" fontId="17" fillId="0" borderId="53" xfId="26" applyNumberFormat="1" applyBorder="1" applyAlignment="1">
      <alignment horizontal="center"/>
    </xf>
    <xf numFmtId="165" fontId="17" fillId="0" borderId="44" xfId="26" applyNumberFormat="1" applyBorder="1" applyAlignment="1">
      <alignment horizontal="center"/>
    </xf>
    <xf numFmtId="3" fontId="2" fillId="0" borderId="53" xfId="55" applyNumberFormat="1" applyFont="1" applyBorder="1" applyAlignment="1">
      <alignment horizontal="center"/>
    </xf>
    <xf numFmtId="0" fontId="2" fillId="0" borderId="54" xfId="55" applyFont="1" applyBorder="1" applyAlignment="1">
      <alignment horizontal="center"/>
    </xf>
    <xf numFmtId="0" fontId="2" fillId="0" borderId="48" xfId="55" applyFont="1" applyBorder="1"/>
    <xf numFmtId="165" fontId="43" fillId="0" borderId="44" xfId="55" applyNumberFormat="1" applyFont="1" applyBorder="1" applyAlignment="1">
      <alignment horizontal="center"/>
    </xf>
    <xf numFmtId="165" fontId="17" fillId="0" borderId="56" xfId="26" quotePrefix="1" applyNumberFormat="1" applyBorder="1" applyAlignment="1">
      <alignment horizontal="center"/>
    </xf>
    <xf numFmtId="165" fontId="17" fillId="0" borderId="44" xfId="26" quotePrefix="1" applyNumberFormat="1" applyBorder="1" applyAlignment="1">
      <alignment horizontal="center"/>
    </xf>
    <xf numFmtId="3" fontId="2" fillId="0" borderId="55" xfId="55" applyNumberFormat="1" applyFont="1" applyBorder="1" applyAlignment="1">
      <alignment horizontal="center"/>
    </xf>
    <xf numFmtId="3" fontId="2" fillId="0" borderId="54" xfId="55" applyNumberFormat="1" applyFont="1" applyBorder="1" applyAlignment="1">
      <alignment horizontal="center"/>
    </xf>
    <xf numFmtId="165" fontId="17" fillId="0" borderId="54" xfId="26" applyNumberFormat="1" applyBorder="1" applyAlignment="1">
      <alignment horizontal="center"/>
    </xf>
    <xf numFmtId="3" fontId="2" fillId="0" borderId="57" xfId="55" applyNumberFormat="1" applyFont="1" applyBorder="1" applyAlignment="1">
      <alignment horizontal="center"/>
    </xf>
    <xf numFmtId="0" fontId="2" fillId="0" borderId="58" xfId="55" applyFont="1" applyBorder="1" applyAlignment="1">
      <alignment horizontal="center"/>
    </xf>
    <xf numFmtId="165" fontId="17" fillId="0" borderId="59" xfId="26" applyNumberFormat="1" applyBorder="1" applyAlignment="1">
      <alignment horizontal="center"/>
    </xf>
    <xf numFmtId="165" fontId="17" fillId="0" borderId="60" xfId="26" applyNumberFormat="1" applyBorder="1" applyAlignment="1">
      <alignment horizontal="center"/>
    </xf>
    <xf numFmtId="3" fontId="2" fillId="0" borderId="59" xfId="55" applyNumberFormat="1" applyFont="1" applyBorder="1" applyAlignment="1">
      <alignment horizontal="center"/>
    </xf>
    <xf numFmtId="0" fontId="2" fillId="0" borderId="61" xfId="55" applyBorder="1"/>
    <xf numFmtId="165" fontId="17" fillId="0" borderId="53" xfId="26" quotePrefix="1" applyNumberFormat="1" applyBorder="1" applyAlignment="1">
      <alignment horizontal="center"/>
    </xf>
    <xf numFmtId="3" fontId="2" fillId="0" borderId="62" xfId="55" applyNumberFormat="1" applyFont="1" applyBorder="1" applyAlignment="1">
      <alignment horizontal="center"/>
    </xf>
    <xf numFmtId="0" fontId="2" fillId="0" borderId="63" xfId="55" applyFont="1" applyBorder="1" applyAlignment="1">
      <alignment horizontal="center"/>
    </xf>
    <xf numFmtId="165" fontId="17" fillId="0" borderId="64" xfId="26" quotePrefix="1" applyNumberFormat="1" applyBorder="1" applyAlignment="1">
      <alignment horizontal="center"/>
    </xf>
    <xf numFmtId="165" fontId="17" fillId="0" borderId="65" xfId="26" quotePrefix="1" applyNumberFormat="1" applyBorder="1" applyAlignment="1">
      <alignment horizontal="center"/>
    </xf>
    <xf numFmtId="3" fontId="2" fillId="0" borderId="64" xfId="55" applyNumberFormat="1" applyFont="1" applyBorder="1" applyAlignment="1">
      <alignment horizontal="center"/>
    </xf>
    <xf numFmtId="0" fontId="3" fillId="0" borderId="66" xfId="55" applyFont="1" applyBorder="1"/>
    <xf numFmtId="165" fontId="2" fillId="0" borderId="67" xfId="55" applyNumberFormat="1" applyFont="1" applyBorder="1" applyAlignment="1">
      <alignment horizontal="center"/>
    </xf>
    <xf numFmtId="165" fontId="2" fillId="0" borderId="44" xfId="55" applyNumberFormat="1" applyFont="1" applyBorder="1" applyAlignment="1">
      <alignment horizontal="center"/>
    </xf>
    <xf numFmtId="0" fontId="0" fillId="0" borderId="68" xfId="0" applyBorder="1"/>
    <xf numFmtId="0" fontId="0" fillId="0" borderId="44" xfId="0" applyBorder="1"/>
    <xf numFmtId="165" fontId="17" fillId="0" borderId="56" xfId="26" applyNumberFormat="1" applyBorder="1"/>
    <xf numFmtId="165" fontId="17" fillId="0" borderId="44" xfId="26" applyNumberFormat="1" applyBorder="1"/>
    <xf numFmtId="165" fontId="2" fillId="0" borderId="68" xfId="55" applyNumberFormat="1" applyFont="1" applyBorder="1" applyAlignment="1">
      <alignment horizontal="center"/>
    </xf>
    <xf numFmtId="3" fontId="2" fillId="0" borderId="68" xfId="55" applyNumberFormat="1" applyFont="1" applyBorder="1" applyAlignment="1">
      <alignment horizontal="center"/>
    </xf>
    <xf numFmtId="0" fontId="2" fillId="0" borderId="69" xfId="55" applyFont="1" applyBorder="1" applyAlignment="1">
      <alignment horizontal="center"/>
    </xf>
    <xf numFmtId="0" fontId="2" fillId="0" borderId="70" xfId="55" applyFont="1" applyBorder="1" applyAlignment="1">
      <alignment horizontal="center"/>
    </xf>
    <xf numFmtId="0" fontId="3" fillId="0" borderId="49" xfId="55" applyFont="1" applyBorder="1"/>
    <xf numFmtId="0" fontId="2" fillId="0" borderId="43" xfId="55" applyFont="1" applyBorder="1"/>
    <xf numFmtId="0" fontId="3" fillId="0" borderId="44" xfId="55" applyFont="1" applyBorder="1"/>
    <xf numFmtId="0" fontId="2" fillId="0" borderId="16" xfId="55" applyBorder="1"/>
    <xf numFmtId="0" fontId="2" fillId="0" borderId="19" xfId="55" applyBorder="1"/>
    <xf numFmtId="0" fontId="2" fillId="0" borderId="71" xfId="55" applyBorder="1"/>
    <xf numFmtId="0" fontId="3" fillId="0" borderId="43" xfId="55" applyFont="1" applyBorder="1" applyAlignment="1">
      <alignment horizontal="center"/>
    </xf>
    <xf numFmtId="0" fontId="3" fillId="0" borderId="43" xfId="55" applyFont="1" applyBorder="1" applyAlignment="1">
      <alignment horizontal="left"/>
    </xf>
    <xf numFmtId="0" fontId="2" fillId="0" borderId="44" xfId="55" applyBorder="1"/>
    <xf numFmtId="0" fontId="3" fillId="0" borderId="45" xfId="55" applyFont="1" applyBorder="1" applyAlignment="1">
      <alignment horizontal="left"/>
    </xf>
    <xf numFmtId="0" fontId="2" fillId="0" borderId="46" xfId="55" applyBorder="1"/>
    <xf numFmtId="0" fontId="2" fillId="0" borderId="0" xfId="41" applyBorder="1"/>
    <xf numFmtId="0" fontId="3" fillId="0" borderId="0" xfId="41" applyFont="1"/>
    <xf numFmtId="165" fontId="60" fillId="0" borderId="22" xfId="55" applyNumberFormat="1" applyFont="1" applyBorder="1" applyAlignment="1">
      <alignment horizontal="center"/>
    </xf>
    <xf numFmtId="165" fontId="60" fillId="0" borderId="16" xfId="55" applyNumberFormat="1" applyFont="1" applyBorder="1" applyAlignment="1">
      <alignment horizontal="center"/>
    </xf>
    <xf numFmtId="0" fontId="3" fillId="0" borderId="0" xfId="55" applyFont="1" applyBorder="1" applyAlignment="1">
      <alignment horizontal="center"/>
    </xf>
    <xf numFmtId="3" fontId="2" fillId="0" borderId="61" xfId="55" applyNumberFormat="1" applyFont="1" applyBorder="1" applyAlignment="1">
      <alignment horizontal="center"/>
    </xf>
    <xf numFmtId="0" fontId="2" fillId="0" borderId="60" xfId="55" applyFont="1" applyBorder="1" applyAlignment="1">
      <alignment horizontal="center"/>
    </xf>
    <xf numFmtId="165" fontId="17" fillId="0" borderId="20" xfId="26" quotePrefix="1" applyNumberFormat="1" applyBorder="1" applyAlignment="1">
      <alignment horizontal="center"/>
    </xf>
    <xf numFmtId="165" fontId="17" fillId="0" borderId="61" xfId="26" quotePrefix="1" applyNumberFormat="1" applyBorder="1" applyAlignment="1">
      <alignment horizontal="center"/>
    </xf>
    <xf numFmtId="0" fontId="2" fillId="0" borderId="20" xfId="55" applyFont="1" applyBorder="1" applyAlignment="1">
      <alignment horizontal="center"/>
    </xf>
    <xf numFmtId="0" fontId="3" fillId="0" borderId="61" xfId="55" applyFont="1" applyBorder="1"/>
    <xf numFmtId="0" fontId="2" fillId="0" borderId="50" xfId="55" applyFont="1" applyBorder="1" applyAlignment="1">
      <alignment horizontal="center"/>
    </xf>
    <xf numFmtId="0" fontId="2" fillId="0" borderId="76" xfId="55" applyFont="1" applyBorder="1" applyAlignment="1">
      <alignment horizontal="center"/>
    </xf>
    <xf numFmtId="0" fontId="2" fillId="0" borderId="47" xfId="55" applyFont="1" applyBorder="1"/>
    <xf numFmtId="165" fontId="17" fillId="0" borderId="55" xfId="26" applyNumberFormat="1" applyBorder="1" applyAlignment="1">
      <alignment horizontal="center"/>
    </xf>
    <xf numFmtId="165" fontId="17" fillId="0" borderId="54" xfId="26" quotePrefix="1" applyNumberFormat="1" applyBorder="1" applyAlignment="1">
      <alignment horizontal="center"/>
    </xf>
    <xf numFmtId="165" fontId="17" fillId="0" borderId="76" xfId="26" quotePrefix="1" applyNumberFormat="1" applyBorder="1" applyAlignment="1">
      <alignment horizontal="center"/>
    </xf>
    <xf numFmtId="3" fontId="2" fillId="0" borderId="76" xfId="55" applyNumberFormat="1" applyFont="1" applyBorder="1" applyAlignment="1">
      <alignment horizontal="center"/>
    </xf>
    <xf numFmtId="0" fontId="2" fillId="0" borderId="77" xfId="55" applyFont="1" applyBorder="1" applyAlignment="1">
      <alignment horizontal="center"/>
    </xf>
    <xf numFmtId="165" fontId="17" fillId="0" borderId="76" xfId="26" applyNumberFormat="1" applyBorder="1" applyAlignment="1">
      <alignment horizontal="center"/>
    </xf>
    <xf numFmtId="0" fontId="2" fillId="0" borderId="78" xfId="55" applyFont="1" applyBorder="1" applyAlignment="1">
      <alignment horizontal="center"/>
    </xf>
    <xf numFmtId="165" fontId="0" fillId="0" borderId="44" xfId="26" quotePrefix="1" applyNumberFormat="1" applyFont="1" applyBorder="1" applyAlignment="1">
      <alignment horizontal="center"/>
    </xf>
    <xf numFmtId="165" fontId="2" fillId="0" borderId="76" xfId="55" applyNumberFormat="1" applyFont="1" applyBorder="1" applyAlignment="1">
      <alignment horizontal="center"/>
    </xf>
    <xf numFmtId="0" fontId="2" fillId="0" borderId="79" xfId="55" applyFont="1" applyBorder="1" applyAlignment="1">
      <alignment horizontal="center"/>
    </xf>
    <xf numFmtId="0" fontId="2" fillId="0" borderId="47" xfId="55" applyBorder="1"/>
    <xf numFmtId="0" fontId="2" fillId="0" borderId="48" xfId="55" applyBorder="1"/>
    <xf numFmtId="0" fontId="2" fillId="0" borderId="49" xfId="55" applyFont="1" applyBorder="1"/>
    <xf numFmtId="0" fontId="17" fillId="0" borderId="25" xfId="52" applyBorder="1" applyAlignment="1"/>
    <xf numFmtId="0" fontId="17" fillId="0" borderId="23" xfId="52" applyBorder="1" applyAlignment="1"/>
    <xf numFmtId="0" fontId="0" fillId="0" borderId="24" xfId="52" applyFont="1" applyBorder="1" applyAlignment="1"/>
    <xf numFmtId="0" fontId="82" fillId="0" borderId="0" xfId="53" applyFont="1" applyAlignment="1">
      <alignment horizontal="center" vertical="top"/>
    </xf>
    <xf numFmtId="0" fontId="82" fillId="0" borderId="0" xfId="53" applyFont="1" applyAlignment="1">
      <alignment wrapText="1"/>
    </xf>
    <xf numFmtId="0" fontId="86" fillId="0" borderId="0" xfId="53" applyFont="1" applyAlignment="1">
      <alignment horizontal="center"/>
    </xf>
    <xf numFmtId="0" fontId="79" fillId="0" borderId="0" xfId="53" applyFont="1" applyAlignment="1">
      <alignment horizontal="center"/>
    </xf>
    <xf numFmtId="0" fontId="78" fillId="0" borderId="0" xfId="53" applyFont="1"/>
    <xf numFmtId="3" fontId="77" fillId="0" borderId="0" xfId="53" applyNumberFormat="1" applyFont="1"/>
    <xf numFmtId="0" fontId="86" fillId="0" borderId="0" xfId="53" applyFont="1" applyFill="1" applyAlignment="1">
      <alignment horizontal="center"/>
    </xf>
    <xf numFmtId="0" fontId="79" fillId="0" borderId="0" xfId="53" applyFont="1" applyFill="1" applyAlignment="1">
      <alignment horizontal="center"/>
    </xf>
    <xf numFmtId="3" fontId="84" fillId="0" borderId="38" xfId="53" applyNumberFormat="1" applyFont="1" applyBorder="1"/>
    <xf numFmtId="0" fontId="61" fillId="0" borderId="0" xfId="0" applyFont="1" applyAlignment="1">
      <alignment horizontal="right"/>
    </xf>
    <xf numFmtId="171" fontId="6" fillId="0" borderId="38" xfId="0" applyNumberFormat="1" applyFont="1" applyBorder="1"/>
    <xf numFmtId="171" fontId="4" fillId="0" borderId="38" xfId="0" applyNumberFormat="1" applyFont="1" applyBorder="1"/>
    <xf numFmtId="165" fontId="4" fillId="0" borderId="39" xfId="26" applyNumberFormat="1" applyFont="1" applyFill="1" applyBorder="1"/>
    <xf numFmtId="0" fontId="0" fillId="0" borderId="38" xfId="39" applyFont="1" applyBorder="1" applyAlignment="1">
      <alignment horizontal="left" vertical="top" wrapText="1"/>
    </xf>
    <xf numFmtId="0" fontId="17" fillId="0" borderId="0" xfId="39" applyFont="1" applyBorder="1" applyAlignment="1">
      <alignment horizontal="left" vertical="top" wrapText="1"/>
    </xf>
    <xf numFmtId="0" fontId="0" fillId="0" borderId="0" xfId="0"/>
    <xf numFmtId="165" fontId="11" fillId="0" borderId="0" xfId="26" applyNumberFormat="1" applyFont="1"/>
    <xf numFmtId="165" fontId="11" fillId="0" borderId="0" xfId="0" applyNumberFormat="1" applyFont="1"/>
    <xf numFmtId="0" fontId="0" fillId="26" borderId="25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/>
    <xf numFmtId="0" fontId="60" fillId="0" borderId="0" xfId="41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3" fontId="7" fillId="0" borderId="0" xfId="0" applyNumberFormat="1" applyFont="1" applyAlignment="1">
      <alignment horizontal="right" wrapText="1"/>
    </xf>
    <xf numFmtId="0" fontId="12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3" fontId="16" fillId="0" borderId="0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3" fontId="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6" fillId="0" borderId="0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0" fontId="16" fillId="26" borderId="24" xfId="0" applyFont="1" applyFill="1" applyBorder="1" applyAlignment="1">
      <alignment wrapText="1"/>
    </xf>
    <xf numFmtId="3" fontId="5" fillId="26" borderId="25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wrapText="1"/>
    </xf>
    <xf numFmtId="0" fontId="5" fillId="26" borderId="24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" fontId="7" fillId="0" borderId="0" xfId="0" applyNumberFormat="1" applyFont="1" applyAlignment="1">
      <alignment wrapText="1"/>
    </xf>
    <xf numFmtId="3" fontId="4" fillId="0" borderId="0" xfId="26" applyNumberFormat="1" applyFont="1" applyAlignment="1">
      <alignment horizontal="right" wrapText="1"/>
    </xf>
    <xf numFmtId="3" fontId="6" fillId="0" borderId="0" xfId="26" applyNumberFormat="1" applyFont="1" applyAlignment="1">
      <alignment horizontal="right" wrapText="1"/>
    </xf>
    <xf numFmtId="3" fontId="14" fillId="0" borderId="0" xfId="26" applyNumberFormat="1" applyFont="1" applyAlignment="1">
      <alignment horizontal="right" wrapText="1"/>
    </xf>
    <xf numFmtId="3" fontId="6" fillId="0" borderId="0" xfId="0" applyNumberFormat="1" applyFont="1" applyAlignment="1">
      <alignment wrapText="1"/>
    </xf>
    <xf numFmtId="0" fontId="11" fillId="0" borderId="0" xfId="42" applyFont="1" applyBorder="1" applyAlignment="1">
      <alignment horizontal="center" wrapText="1"/>
    </xf>
    <xf numFmtId="3" fontId="4" fillId="0" borderId="0" xfId="42" applyNumberFormat="1" applyFont="1" applyFill="1" applyBorder="1" applyAlignment="1">
      <alignment wrapText="1"/>
    </xf>
    <xf numFmtId="3" fontId="6" fillId="0" borderId="0" xfId="42" applyNumberFormat="1" applyFont="1" applyFill="1" applyBorder="1" applyAlignment="1">
      <alignment wrapText="1"/>
    </xf>
    <xf numFmtId="3" fontId="6" fillId="0" borderId="0" xfId="42" applyNumberFormat="1" applyFont="1" applyFill="1" applyBorder="1" applyAlignment="1">
      <alignment horizontal="right" wrapText="1"/>
    </xf>
    <xf numFmtId="0" fontId="6" fillId="0" borderId="0" xfId="42" applyFont="1" applyFill="1" applyBorder="1" applyAlignment="1">
      <alignment horizontal="center" wrapText="1"/>
    </xf>
    <xf numFmtId="0" fontId="6" fillId="0" borderId="0" xfId="42" applyFont="1" applyBorder="1" applyAlignment="1">
      <alignment wrapText="1"/>
    </xf>
    <xf numFmtId="0" fontId="17" fillId="0" borderId="0" xfId="0" applyFont="1" applyAlignment="1">
      <alignment wrapText="1"/>
    </xf>
    <xf numFmtId="0" fontId="0" fillId="0" borderId="0" xfId="39" applyFont="1" applyBorder="1" applyAlignment="1">
      <alignment horizontal="left" vertical="top" wrapText="1"/>
    </xf>
    <xf numFmtId="0" fontId="87" fillId="0" borderId="0" xfId="39" applyFont="1" applyFill="1" applyBorder="1" applyAlignment="1">
      <alignment horizontal="right"/>
    </xf>
    <xf numFmtId="0" fontId="87" fillId="0" borderId="0" xfId="39" applyFont="1" applyFill="1" applyAlignment="1">
      <alignment horizontal="right"/>
    </xf>
    <xf numFmtId="0" fontId="45" fillId="0" borderId="0" xfId="39" applyFont="1" applyAlignment="1">
      <alignment horizontal="right"/>
    </xf>
    <xf numFmtId="0" fontId="16" fillId="0" borderId="0" xfId="0" applyFont="1"/>
    <xf numFmtId="10" fontId="6" fillId="28" borderId="29" xfId="48" applyNumberFormat="1" applyFont="1" applyFill="1" applyBorder="1"/>
    <xf numFmtId="10" fontId="6" fillId="28" borderId="30" xfId="48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4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0" fillId="0" borderId="0" xfId="0"/>
    <xf numFmtId="3" fontId="5" fillId="26" borderId="14" xfId="41" applyNumberFormat="1" applyFont="1" applyFill="1" applyBorder="1"/>
    <xf numFmtId="3" fontId="6" fillId="26" borderId="34" xfId="26" applyNumberFormat="1" applyFont="1" applyFill="1" applyBorder="1"/>
    <xf numFmtId="49" fontId="4" fillId="0" borderId="0" xfId="0" applyNumberFormat="1" applyFont="1" applyAlignment="1">
      <alignment horizontal="left" wrapText="1"/>
    </xf>
    <xf numFmtId="0" fontId="45" fillId="0" borderId="38" xfId="39" applyFont="1" applyBorder="1"/>
    <xf numFmtId="3" fontId="1" fillId="0" borderId="38" xfId="39" applyNumberFormat="1" applyFont="1" applyBorder="1" applyAlignment="1">
      <alignment horizontal="right" vertical="top" wrapText="1"/>
    </xf>
    <xf numFmtId="0" fontId="45" fillId="0" borderId="0" xfId="39" applyFont="1"/>
    <xf numFmtId="0" fontId="0" fillId="0" borderId="38" xfId="56" applyFont="1" applyBorder="1" applyAlignment="1">
      <alignment vertical="center" wrapText="1"/>
    </xf>
    <xf numFmtId="0" fontId="0" fillId="0" borderId="0" xfId="0"/>
    <xf numFmtId="3" fontId="14" fillId="25" borderId="14" xfId="26" applyNumberFormat="1" applyFont="1" applyFill="1" applyBorder="1" applyAlignment="1" applyProtection="1">
      <alignment vertical="top"/>
    </xf>
    <xf numFmtId="3" fontId="6" fillId="26" borderId="14" xfId="0" applyNumberFormat="1" applyFont="1" applyFill="1" applyBorder="1" applyAlignment="1">
      <alignment vertical="top"/>
    </xf>
    <xf numFmtId="10" fontId="6" fillId="26" borderId="32" xfId="48" applyNumberFormat="1" applyFont="1" applyFill="1" applyBorder="1" applyAlignment="1">
      <alignment vertical="top"/>
    </xf>
    <xf numFmtId="0" fontId="11" fillId="0" borderId="38" xfId="39" applyFont="1" applyBorder="1" applyAlignment="1">
      <alignment horizontal="center" vertical="center" wrapText="1"/>
    </xf>
    <xf numFmtId="0" fontId="11" fillId="0" borderId="0" xfId="0" applyFont="1" applyAlignment="1"/>
    <xf numFmtId="165" fontId="17" fillId="0" borderId="38" xfId="50" applyNumberFormat="1" applyBorder="1" applyAlignment="1">
      <alignment horizontal="center"/>
    </xf>
    <xf numFmtId="165" fontId="11" fillId="0" borderId="38" xfId="50" applyNumberFormat="1" applyFont="1" applyBorder="1" applyAlignment="1">
      <alignment horizontal="center"/>
    </xf>
    <xf numFmtId="0" fontId="1" fillId="0" borderId="0" xfId="52" applyFont="1" applyAlignment="1">
      <alignment horizontal="right"/>
    </xf>
    <xf numFmtId="0" fontId="82" fillId="0" borderId="24" xfId="53" applyFont="1" applyBorder="1" applyAlignment="1">
      <alignment horizontal="center"/>
    </xf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0" fontId="0" fillId="0" borderId="0" xfId="52" applyFont="1" applyAlignment="1"/>
    <xf numFmtId="0" fontId="3" fillId="0" borderId="0" xfId="0" applyFont="1" applyAlignment="1">
      <alignment horizontal="center"/>
    </xf>
    <xf numFmtId="0" fontId="2" fillId="0" borderId="0" xfId="41" applyAlignment="1">
      <alignment horizontal="right"/>
    </xf>
    <xf numFmtId="0" fontId="0" fillId="0" borderId="0" xfId="0"/>
    <xf numFmtId="0" fontId="0" fillId="0" borderId="0" xfId="0" applyFont="1" applyAlignment="1">
      <alignment horizontal="center"/>
    </xf>
    <xf numFmtId="0" fontId="60" fillId="0" borderId="74" xfId="55" applyFont="1" applyBorder="1" applyAlignment="1">
      <alignment horizontal="left"/>
    </xf>
    <xf numFmtId="0" fontId="60" fillId="0" borderId="50" xfId="55" applyFont="1" applyBorder="1"/>
    <xf numFmtId="0" fontId="60" fillId="0" borderId="0" xfId="55" applyFont="1" applyBorder="1" applyAlignment="1">
      <alignment horizontal="left"/>
    </xf>
    <xf numFmtId="0" fontId="60" fillId="0" borderId="73" xfId="55" applyFont="1" applyBorder="1"/>
    <xf numFmtId="0" fontId="60" fillId="0" borderId="72" xfId="55" applyFont="1" applyBorder="1" applyAlignment="1">
      <alignment horizontal="left"/>
    </xf>
    <xf numFmtId="0" fontId="60" fillId="0" borderId="0" xfId="55" applyFont="1" applyBorder="1"/>
    <xf numFmtId="0" fontId="60" fillId="0" borderId="0" xfId="55" applyFont="1" applyBorder="1" applyAlignment="1">
      <alignment horizontal="center"/>
    </xf>
    <xf numFmtId="0" fontId="60" fillId="0" borderId="73" xfId="55" applyFont="1" applyBorder="1" applyAlignment="1">
      <alignment horizontal="center"/>
    </xf>
    <xf numFmtId="0" fontId="60" fillId="0" borderId="72" xfId="55" applyFont="1" applyBorder="1" applyAlignment="1">
      <alignment horizontal="center"/>
    </xf>
    <xf numFmtId="0" fontId="0" fillId="0" borderId="0" xfId="0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41" applyFont="1" applyBorder="1" applyAlignment="1">
      <alignment horizontal="center" wrapText="1"/>
    </xf>
    <xf numFmtId="0" fontId="3" fillId="0" borderId="0" xfId="41" applyFont="1" applyAlignment="1">
      <alignment horizontal="center" wrapText="1"/>
    </xf>
    <xf numFmtId="0" fontId="5" fillId="27" borderId="24" xfId="0" applyFont="1" applyFill="1" applyBorder="1" applyAlignment="1">
      <alignment horizontal="center" wrapText="1"/>
    </xf>
    <xf numFmtId="0" fontId="5" fillId="27" borderId="25" xfId="0" applyFont="1" applyFill="1" applyBorder="1" applyAlignment="1">
      <alignment horizontal="center" wrapText="1"/>
    </xf>
    <xf numFmtId="0" fontId="48" fillId="0" borderId="0" xfId="41" applyFont="1" applyFill="1" applyBorder="1" applyAlignment="1">
      <alignment horizontal="center" wrapText="1"/>
    </xf>
    <xf numFmtId="0" fontId="0" fillId="26" borderId="25" xfId="0" applyFont="1" applyFill="1" applyBorder="1" applyAlignment="1">
      <alignment wrapText="1"/>
    </xf>
    <xf numFmtId="0" fontId="16" fillId="27" borderId="24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49" fontId="5" fillId="27" borderId="24" xfId="0" applyNumberFormat="1" applyFont="1" applyFill="1" applyBorder="1" applyAlignment="1">
      <alignment horizontal="center" wrapText="1"/>
    </xf>
    <xf numFmtId="49" fontId="5" fillId="27" borderId="25" xfId="0" applyNumberFormat="1" applyFont="1" applyFill="1" applyBorder="1" applyAlignment="1">
      <alignment horizontal="center" wrapText="1"/>
    </xf>
    <xf numFmtId="0" fontId="12" fillId="27" borderId="24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26" borderId="24" xfId="42" applyFont="1" applyFill="1" applyBorder="1" applyAlignment="1">
      <alignment horizontal="center" wrapText="1"/>
    </xf>
    <xf numFmtId="0" fontId="6" fillId="26" borderId="25" xfId="42" applyFont="1" applyFill="1" applyBorder="1" applyAlignment="1">
      <alignment horizontal="center" wrapText="1"/>
    </xf>
    <xf numFmtId="0" fontId="5" fillId="27" borderId="24" xfId="43" applyFont="1" applyFill="1" applyBorder="1" applyAlignment="1">
      <alignment horizontal="center" wrapText="1"/>
    </xf>
    <xf numFmtId="0" fontId="5" fillId="27" borderId="25" xfId="43" applyFont="1" applyFill="1" applyBorder="1" applyAlignment="1">
      <alignment horizontal="center" wrapText="1"/>
    </xf>
    <xf numFmtId="0" fontId="47" fillId="0" borderId="0" xfId="42" applyFont="1" applyBorder="1" applyAlignment="1">
      <alignment horizontal="center" wrapText="1"/>
    </xf>
    <xf numFmtId="0" fontId="11" fillId="0" borderId="0" xfId="42" applyFont="1" applyBorder="1" applyAlignment="1">
      <alignment horizontal="center" wrapText="1"/>
    </xf>
    <xf numFmtId="0" fontId="64" fillId="0" borderId="0" xfId="39" applyFont="1" applyAlignment="1">
      <alignment horizontal="left"/>
    </xf>
    <xf numFmtId="0" fontId="69" fillId="0" borderId="0" xfId="39" applyFont="1" applyFill="1" applyBorder="1"/>
    <xf numFmtId="0" fontId="3" fillId="0" borderId="0" xfId="54" applyFont="1" applyAlignment="1">
      <alignment horizontal="center"/>
    </xf>
    <xf numFmtId="14" fontId="3" fillId="0" borderId="0" xfId="54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1" fillId="0" borderId="0" xfId="56" applyFont="1" applyAlignment="1">
      <alignment horizontal="center"/>
    </xf>
    <xf numFmtId="0" fontId="0" fillId="0" borderId="20" xfId="56" applyFont="1" applyBorder="1" applyAlignment="1">
      <alignment horizontal="right" vertical="center" wrapText="1"/>
    </xf>
    <xf numFmtId="0" fontId="1" fillId="0" borderId="20" xfId="56" applyFont="1" applyBorder="1" applyAlignment="1">
      <alignment horizontal="right" vertical="center" wrapText="1"/>
    </xf>
    <xf numFmtId="0" fontId="60" fillId="0" borderId="50" xfId="55" applyFont="1" applyBorder="1" applyAlignment="1">
      <alignment horizontal="center"/>
    </xf>
    <xf numFmtId="0" fontId="60" fillId="0" borderId="75" xfId="55" applyFont="1" applyBorder="1" applyAlignment="1">
      <alignment horizontal="center"/>
    </xf>
    <xf numFmtId="0" fontId="2" fillId="0" borderId="0" xfId="41" applyAlignment="1">
      <alignment horizontal="right"/>
    </xf>
    <xf numFmtId="0" fontId="0" fillId="0" borderId="0" xfId="52" applyFont="1" applyAlignment="1">
      <alignment horizontal="right"/>
    </xf>
    <xf numFmtId="0" fontId="17" fillId="0" borderId="0" xfId="52" applyAlignment="1">
      <alignment horizontal="right"/>
    </xf>
    <xf numFmtId="0" fontId="11" fillId="0" borderId="0" xfId="52" applyFont="1" applyAlignment="1">
      <alignment horizontal="center"/>
    </xf>
    <xf numFmtId="0" fontId="17" fillId="0" borderId="0" xfId="52" applyAlignment="1">
      <alignment horizontal="left"/>
    </xf>
    <xf numFmtId="0" fontId="47" fillId="0" borderId="0" xfId="52" applyFont="1" applyAlignment="1">
      <alignment horizontal="left"/>
    </xf>
    <xf numFmtId="0" fontId="11" fillId="0" borderId="38" xfId="52" applyFont="1" applyBorder="1" applyAlignment="1">
      <alignment horizontal="center"/>
    </xf>
    <xf numFmtId="0" fontId="17" fillId="0" borderId="24" xfId="52" applyBorder="1" applyAlignment="1"/>
    <xf numFmtId="0" fontId="17" fillId="0" borderId="25" xfId="52" applyBorder="1" applyAlignment="1"/>
    <xf numFmtId="0" fontId="17" fillId="0" borderId="23" xfId="52" applyBorder="1" applyAlignment="1"/>
    <xf numFmtId="0" fontId="11" fillId="0" borderId="38" xfId="52" applyFont="1" applyBorder="1" applyAlignment="1"/>
    <xf numFmtId="0" fontId="78" fillId="0" borderId="38" xfId="53" applyFont="1" applyBorder="1" applyAlignment="1">
      <alignment horizontal="center"/>
    </xf>
    <xf numFmtId="0" fontId="78" fillId="0" borderId="0" xfId="53" applyFont="1" applyBorder="1" applyAlignment="1">
      <alignment horizontal="center"/>
    </xf>
    <xf numFmtId="0" fontId="0" fillId="0" borderId="0" xfId="0"/>
    <xf numFmtId="3" fontId="2" fillId="0" borderId="0" xfId="41" applyNumberFormat="1" applyFont="1" applyAlignment="1">
      <alignment horizontal="right"/>
    </xf>
    <xf numFmtId="0" fontId="0" fillId="0" borderId="0" xfId="52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80" xfId="52" applyFont="1" applyBorder="1" applyAlignment="1">
      <alignment horizontal="center"/>
    </xf>
  </cellXfs>
  <cellStyles count="5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50"/>
    <cellStyle name="Ezres_Vagyonkimutatás-ezer forintos" xfId="5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3" xfId="52"/>
    <cellStyle name="Normál_2009. évi zárszámadás 2" xfId="49"/>
    <cellStyle name="Normál_2011_költségvetés-I. fordulós anyag-alap" xfId="40"/>
    <cellStyle name="Normál_ktgv2003_1" xfId="53"/>
    <cellStyle name="Normál_ktgvetés2007_beszámoló" xfId="54"/>
    <cellStyle name="Normál_ktgvetés2007_végleges" xfId="41"/>
    <cellStyle name="Normál_ktgvetés2007_végleges_2010_költségvetés-végleges" xfId="55"/>
    <cellStyle name="Normál_mellékletek testületnek-végleges" xfId="42"/>
    <cellStyle name="Normál_Munka1" xfId="43"/>
    <cellStyle name="Normál_Vagyonkimutatás-ezer forintos" xfId="56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  <cellStyle name="Százalék" xfId="4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1/Desktop/2016.%20&#233;vi%20k&#246;lts&#233;gvet&#233;s/II.%20fordul&#243;/munka%20anyagok/adatl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1/Desktop/2016.%20&#233;vi%20k&#246;lts&#233;gvet&#233;s/II.%20fordul&#243;/2016.%20&#233;vi%20k&#246;lts&#233;gvet&#233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Űrlap"/>
    </sheetNames>
    <sheetDataSet>
      <sheetData sheetId="0" refreshError="1">
        <row r="31">
          <cell r="G31">
            <v>29868800</v>
          </cell>
        </row>
        <row r="32">
          <cell r="G32">
            <v>9600000</v>
          </cell>
        </row>
        <row r="33">
          <cell r="G33">
            <v>1436000</v>
          </cell>
        </row>
        <row r="34">
          <cell r="G34">
            <v>14934400</v>
          </cell>
        </row>
        <row r="35">
          <cell r="G35">
            <v>4800000</v>
          </cell>
        </row>
        <row r="36">
          <cell r="G36">
            <v>718000</v>
          </cell>
        </row>
        <row r="37">
          <cell r="G37">
            <v>364000</v>
          </cell>
        </row>
        <row r="38">
          <cell r="G38">
            <v>17500</v>
          </cell>
        </row>
        <row r="40">
          <cell r="G40">
            <v>266667</v>
          </cell>
        </row>
        <row r="41">
          <cell r="G41">
            <v>5866667</v>
          </cell>
        </row>
        <row r="42">
          <cell r="G42">
            <v>133333</v>
          </cell>
        </row>
        <row r="43">
          <cell r="G43">
            <v>2933333</v>
          </cell>
        </row>
        <row r="49">
          <cell r="G49">
            <v>384000</v>
          </cell>
        </row>
        <row r="50">
          <cell r="G50">
            <v>704000</v>
          </cell>
        </row>
        <row r="96">
          <cell r="G96">
            <v>9387900</v>
          </cell>
        </row>
        <row r="97">
          <cell r="G97">
            <v>1037610</v>
          </cell>
        </row>
        <row r="111">
          <cell r="G111">
            <v>14622720</v>
          </cell>
        </row>
        <row r="112">
          <cell r="G112">
            <v>34947101</v>
          </cell>
        </row>
        <row r="113">
          <cell r="G113">
            <v>181260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77288658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143"/>
  <sheetViews>
    <sheetView tabSelected="1" topLeftCell="A22" workbookViewId="0">
      <selection sqref="A1:E1"/>
    </sheetView>
  </sheetViews>
  <sheetFormatPr defaultRowHeight="12.75"/>
  <cols>
    <col min="1" max="1" width="51.28515625" customWidth="1"/>
    <col min="2" max="2" width="10.140625" style="4" customWidth="1"/>
    <col min="3" max="3" width="12.28515625" customWidth="1"/>
    <col min="4" max="4" width="11.7109375" style="27" customWidth="1"/>
    <col min="5" max="5" width="7.28515625" customWidth="1"/>
    <col min="6" max="6" width="10.140625" hidden="1" customWidth="1"/>
    <col min="7" max="8" width="11.140625" hidden="1" customWidth="1"/>
    <col min="9" max="10" width="19" hidden="1" customWidth="1"/>
    <col min="11" max="11" width="14.7109375" hidden="1" customWidth="1"/>
  </cols>
  <sheetData>
    <row r="1" spans="1:10" s="557" customFormat="1">
      <c r="A1" s="646" t="s">
        <v>921</v>
      </c>
      <c r="B1" s="646"/>
      <c r="C1" s="646"/>
      <c r="D1" s="646"/>
      <c r="E1" s="646"/>
    </row>
    <row r="2" spans="1:10" s="557" customFormat="1">
      <c r="A2" s="79"/>
      <c r="B2" s="4"/>
      <c r="C2" s="79"/>
      <c r="D2" s="60"/>
      <c r="E2" s="79"/>
    </row>
    <row r="3" spans="1:10">
      <c r="A3" s="647" t="s">
        <v>908</v>
      </c>
      <c r="B3" s="647"/>
      <c r="C3" s="647"/>
      <c r="D3" s="647"/>
      <c r="E3" s="647"/>
    </row>
    <row r="4" spans="1:10" s="634" customFormat="1">
      <c r="A4" s="632"/>
      <c r="B4" s="632"/>
      <c r="C4" s="635"/>
      <c r="D4" s="60"/>
      <c r="E4" s="256" t="s">
        <v>260</v>
      </c>
    </row>
    <row r="5" spans="1:10" ht="13.5" thickBot="1">
      <c r="A5" s="607"/>
      <c r="B5" s="95" t="s">
        <v>206</v>
      </c>
      <c r="C5" s="93" t="s">
        <v>202</v>
      </c>
      <c r="D5" s="99" t="s">
        <v>203</v>
      </c>
      <c r="E5" s="196" t="s">
        <v>204</v>
      </c>
    </row>
    <row r="6" spans="1:10" ht="23.25" thickBot="1">
      <c r="A6" s="101" t="s">
        <v>256</v>
      </c>
      <c r="B6" s="7">
        <f>B7+B8+B9+B10+B11</f>
        <v>140820930</v>
      </c>
      <c r="C6" s="94">
        <f>SUM(C7:C11)</f>
        <v>113960430</v>
      </c>
      <c r="D6" s="94">
        <f>SUM(D7:D11)</f>
        <v>97489803</v>
      </c>
      <c r="E6" s="208">
        <f>D6/C6*100</f>
        <v>85.547064889102302</v>
      </c>
      <c r="H6" s="27"/>
      <c r="I6" s="227">
        <v>453285430</v>
      </c>
      <c r="J6" s="229">
        <v>438392803</v>
      </c>
    </row>
    <row r="7" spans="1:10">
      <c r="A7" s="91" t="s">
        <v>127</v>
      </c>
      <c r="B7" s="4">
        <f>'3_melléklet'!B6</f>
        <v>98678550</v>
      </c>
      <c r="C7" s="4">
        <f>'3_melléklet'!C6</f>
        <v>73088050</v>
      </c>
      <c r="D7" s="4">
        <f>'3_melléklet'!D6</f>
        <v>60570949</v>
      </c>
      <c r="E7" s="195">
        <f t="shared" ref="E7:E68" si="0">D7/C7*100</f>
        <v>82.873943141183815</v>
      </c>
      <c r="I7" s="27">
        <f>-C101</f>
        <v>-339325000</v>
      </c>
      <c r="J7" s="229">
        <f>-D101</f>
        <v>-340903000</v>
      </c>
    </row>
    <row r="8" spans="1:10">
      <c r="A8" s="102" t="s">
        <v>45</v>
      </c>
      <c r="B8" s="4">
        <f>'3_melléklet'!B60</f>
        <v>9144000</v>
      </c>
      <c r="C8" s="4">
        <v>7874000</v>
      </c>
      <c r="D8" s="4">
        <f>'3_melléklet'!D60</f>
        <v>8520334</v>
      </c>
      <c r="E8" s="195">
        <f t="shared" si="0"/>
        <v>108.20845821691643</v>
      </c>
      <c r="I8" s="227">
        <f>SUM(I6:I7)</f>
        <v>113960430</v>
      </c>
      <c r="J8" s="278">
        <f>SUM(J6:J7)</f>
        <v>97489803</v>
      </c>
    </row>
    <row r="9" spans="1:10">
      <c r="A9" s="102" t="s">
        <v>46</v>
      </c>
      <c r="B9" s="4">
        <f>'3_melléklet'!B81</f>
        <v>16987470</v>
      </c>
      <c r="C9" s="4">
        <v>16987470</v>
      </c>
      <c r="D9" s="4">
        <f>'3_melléklet'!D81</f>
        <v>16556052</v>
      </c>
      <c r="E9" s="195">
        <f t="shared" si="0"/>
        <v>97.460375205960631</v>
      </c>
      <c r="J9" s="229"/>
    </row>
    <row r="10" spans="1:10">
      <c r="A10" s="102" t="s">
        <v>265</v>
      </c>
      <c r="B10" s="4">
        <f>'3_melléklet'!B102</f>
        <v>15934910</v>
      </c>
      <c r="C10" s="4">
        <v>15934910</v>
      </c>
      <c r="D10" s="4">
        <f>'3_melléklet'!D102</f>
        <v>11766466</v>
      </c>
      <c r="E10" s="195">
        <f t="shared" si="0"/>
        <v>73.840806129435308</v>
      </c>
      <c r="J10" s="229"/>
    </row>
    <row r="11" spans="1:10">
      <c r="A11" s="102" t="s">
        <v>199</v>
      </c>
      <c r="B11" s="4">
        <f>'3_melléklet'!B118</f>
        <v>76000</v>
      </c>
      <c r="C11" s="4">
        <v>76000</v>
      </c>
      <c r="D11" s="4">
        <f>'3_melléklet'!D118</f>
        <v>76002</v>
      </c>
      <c r="E11" s="195">
        <f t="shared" si="0"/>
        <v>100.00263157894737</v>
      </c>
      <c r="J11" s="229"/>
    </row>
    <row r="12" spans="1:10" ht="13.5" thickBot="1">
      <c r="A12" s="102"/>
      <c r="B12" s="5"/>
      <c r="C12" s="14"/>
      <c r="D12" s="4"/>
      <c r="E12" s="197"/>
      <c r="J12" s="229"/>
    </row>
    <row r="13" spans="1:10" ht="13.5" thickBot="1">
      <c r="A13" s="101" t="s">
        <v>6</v>
      </c>
      <c r="B13" s="7">
        <f>B14+B26</f>
        <v>148620000</v>
      </c>
      <c r="C13" s="94">
        <f>C14+C26</f>
        <v>158620000</v>
      </c>
      <c r="D13" s="94">
        <f>D14+D26</f>
        <v>168200747</v>
      </c>
      <c r="E13" s="208">
        <f t="shared" si="0"/>
        <v>106.04006241331486</v>
      </c>
    </row>
    <row r="14" spans="1:10">
      <c r="A14" s="103" t="s">
        <v>5</v>
      </c>
      <c r="B14" s="71">
        <f>B15+B20+B23</f>
        <v>148370000</v>
      </c>
      <c r="C14" s="10">
        <f>C15+C20+C23</f>
        <v>158370000</v>
      </c>
      <c r="D14" s="10">
        <f>D15+D20+D23</f>
        <v>168007628</v>
      </c>
      <c r="E14" s="209">
        <f t="shared" si="0"/>
        <v>106.08551367051842</v>
      </c>
      <c r="G14">
        <f>7438704+134597543</f>
        <v>142036247</v>
      </c>
      <c r="H14" s="27"/>
      <c r="I14" t="s">
        <v>403</v>
      </c>
    </row>
    <row r="15" spans="1:10">
      <c r="A15" s="104" t="s">
        <v>8</v>
      </c>
      <c r="B15" s="4">
        <f>SUM(B16:B17)</f>
        <v>137200000</v>
      </c>
      <c r="C15" s="4">
        <f>C16+C17</f>
        <v>147200000</v>
      </c>
      <c r="D15" s="4">
        <f>SUM(D16:D19)</f>
        <v>156448813</v>
      </c>
      <c r="E15" s="195">
        <f t="shared" si="0"/>
        <v>106.28316100543478</v>
      </c>
      <c r="G15" s="27">
        <f>D14-G14</f>
        <v>25971381</v>
      </c>
    </row>
    <row r="16" spans="1:10">
      <c r="A16" s="91" t="s">
        <v>9</v>
      </c>
      <c r="B16" s="4">
        <f>123000000+5000000</f>
        <v>128000000</v>
      </c>
      <c r="C16" s="4">
        <v>138000000</v>
      </c>
      <c r="D16" s="4">
        <v>147960104</v>
      </c>
      <c r="E16" s="195">
        <f t="shared" si="0"/>
        <v>107.21746666666667</v>
      </c>
    </row>
    <row r="17" spans="1:10">
      <c r="A17" s="91" t="s">
        <v>220</v>
      </c>
      <c r="B17" s="4">
        <v>9200000</v>
      </c>
      <c r="C17" s="4">
        <v>9200000</v>
      </c>
      <c r="D17" s="4">
        <v>8137015</v>
      </c>
      <c r="E17" s="195">
        <f t="shared" si="0"/>
        <v>88.445815217391299</v>
      </c>
    </row>
    <row r="18" spans="1:10">
      <c r="A18" s="91" t="s">
        <v>221</v>
      </c>
      <c r="C18" s="4"/>
      <c r="D18" s="4">
        <v>349694</v>
      </c>
      <c r="E18" s="195"/>
    </row>
    <row r="19" spans="1:10">
      <c r="A19" s="91" t="s">
        <v>398</v>
      </c>
      <c r="C19" s="4"/>
      <c r="D19" s="4">
        <v>2000</v>
      </c>
      <c r="E19" s="195"/>
    </row>
    <row r="20" spans="1:10">
      <c r="A20" s="104" t="s">
        <v>10</v>
      </c>
      <c r="B20" s="4">
        <f>B21+B22</f>
        <v>10020000</v>
      </c>
      <c r="C20" s="4">
        <v>10020000</v>
      </c>
      <c r="D20" s="4">
        <f>SUM(D21:D22)</f>
        <v>10719888</v>
      </c>
      <c r="E20" s="195">
        <f t="shared" si="0"/>
        <v>106.98491017964071</v>
      </c>
    </row>
    <row r="21" spans="1:10">
      <c r="A21" s="91" t="s">
        <v>11</v>
      </c>
      <c r="B21" s="4">
        <v>10000000</v>
      </c>
      <c r="C21" s="4">
        <v>10000000</v>
      </c>
      <c r="D21" s="4">
        <v>10719888</v>
      </c>
      <c r="E21" s="195">
        <f t="shared" si="0"/>
        <v>107.19888</v>
      </c>
    </row>
    <row r="22" spans="1:10">
      <c r="A22" s="91" t="s">
        <v>12</v>
      </c>
      <c r="B22" s="4">
        <v>20000</v>
      </c>
      <c r="C22" s="4">
        <v>20000</v>
      </c>
      <c r="D22" s="4">
        <v>0</v>
      </c>
      <c r="E22" s="195">
        <f t="shared" si="0"/>
        <v>0</v>
      </c>
    </row>
    <row r="23" spans="1:10">
      <c r="A23" s="104" t="s">
        <v>13</v>
      </c>
      <c r="B23" s="4">
        <f>B24+B25</f>
        <v>1150000</v>
      </c>
      <c r="C23" s="4">
        <v>1150000</v>
      </c>
      <c r="D23" s="4">
        <f>SUM(D24:D25)</f>
        <v>838927</v>
      </c>
      <c r="E23" s="195">
        <f t="shared" si="0"/>
        <v>72.950173913043486</v>
      </c>
    </row>
    <row r="24" spans="1:10">
      <c r="A24" s="91" t="s">
        <v>173</v>
      </c>
      <c r="B24" s="4">
        <v>800000</v>
      </c>
      <c r="C24" s="4">
        <v>800000</v>
      </c>
      <c r="D24" s="4">
        <v>610411</v>
      </c>
      <c r="E24" s="195">
        <f t="shared" si="0"/>
        <v>76.301375000000007</v>
      </c>
    </row>
    <row r="25" spans="1:10">
      <c r="A25" s="91" t="s">
        <v>251</v>
      </c>
      <c r="B25" s="4">
        <v>350000</v>
      </c>
      <c r="C25" s="4">
        <v>350000</v>
      </c>
      <c r="D25" s="4">
        <v>228516</v>
      </c>
      <c r="E25" s="195">
        <f t="shared" si="0"/>
        <v>65.290285714285716</v>
      </c>
    </row>
    <row r="26" spans="1:10">
      <c r="A26" s="103" t="s">
        <v>7</v>
      </c>
      <c r="B26" s="10">
        <f>B27</f>
        <v>250000</v>
      </c>
      <c r="C26" s="10">
        <v>250000</v>
      </c>
      <c r="D26" s="10">
        <f>D27</f>
        <v>193119</v>
      </c>
      <c r="E26" s="209">
        <f t="shared" si="0"/>
        <v>77.247600000000006</v>
      </c>
    </row>
    <row r="27" spans="1:10">
      <c r="A27" s="104" t="s">
        <v>14</v>
      </c>
      <c r="B27" s="4">
        <f>B28+B29</f>
        <v>250000</v>
      </c>
      <c r="C27" s="4">
        <v>250000</v>
      </c>
      <c r="D27" s="4">
        <f>D29+D30</f>
        <v>193119</v>
      </c>
      <c r="E27" s="195">
        <f t="shared" si="0"/>
        <v>77.247600000000006</v>
      </c>
    </row>
    <row r="28" spans="1:10">
      <c r="A28" s="105" t="s">
        <v>15</v>
      </c>
      <c r="B28" s="4">
        <v>50000</v>
      </c>
      <c r="C28" s="4">
        <v>50000</v>
      </c>
      <c r="D28" s="4">
        <v>0</v>
      </c>
      <c r="E28" s="195">
        <f t="shared" si="0"/>
        <v>0</v>
      </c>
    </row>
    <row r="29" spans="1:10">
      <c r="A29" s="105" t="s">
        <v>16</v>
      </c>
      <c r="B29" s="4">
        <v>200000</v>
      </c>
      <c r="C29" s="4">
        <v>200000</v>
      </c>
      <c r="D29" s="4">
        <v>188119</v>
      </c>
      <c r="E29" s="195">
        <f t="shared" si="0"/>
        <v>94.0595</v>
      </c>
    </row>
    <row r="30" spans="1:10">
      <c r="A30" s="105" t="s">
        <v>252</v>
      </c>
      <c r="C30" s="4"/>
      <c r="D30" s="4">
        <f>5000</f>
        <v>5000</v>
      </c>
      <c r="E30" s="195"/>
    </row>
    <row r="31" spans="1:10" ht="10.5" customHeight="1" thickBot="1">
      <c r="A31" s="102"/>
      <c r="C31" s="14"/>
      <c r="D31" s="4"/>
      <c r="E31" s="197"/>
    </row>
    <row r="32" spans="1:10" ht="13.5" thickBot="1">
      <c r="A32" s="101" t="s">
        <v>219</v>
      </c>
      <c r="B32" s="26">
        <f>B33+B61+B77</f>
        <v>349533611</v>
      </c>
      <c r="C32" s="94">
        <v>449723763</v>
      </c>
      <c r="D32" s="94">
        <f>D33+D61+D77+D81+D79</f>
        <v>450755160</v>
      </c>
      <c r="E32" s="208">
        <f t="shared" si="0"/>
        <v>100.22934011605697</v>
      </c>
      <c r="H32">
        <v>449618763</v>
      </c>
      <c r="I32" s="27">
        <f>C32-H32</f>
        <v>105000</v>
      </c>
      <c r="J32" s="229">
        <v>450630160</v>
      </c>
    </row>
    <row r="33" spans="1:10">
      <c r="A33" s="113" t="s">
        <v>43</v>
      </c>
      <c r="B33" s="82">
        <f>B34+B38+B48+B59</f>
        <v>317977687</v>
      </c>
      <c r="C33" s="8">
        <v>308907629</v>
      </c>
      <c r="D33" s="8">
        <f>D34+D38+D48+D59</f>
        <v>308907629</v>
      </c>
      <c r="E33" s="213">
        <f t="shared" si="0"/>
        <v>100</v>
      </c>
      <c r="G33" s="27">
        <f>D33+D68+D70+D71+D72</f>
        <v>323645656</v>
      </c>
      <c r="H33" s="27">
        <f>C33+C72+C73+C74+C71+C70+C68+C75</f>
        <v>329684654</v>
      </c>
      <c r="J33" s="229">
        <f>J32-D32</f>
        <v>-125000</v>
      </c>
    </row>
    <row r="34" spans="1:10">
      <c r="A34" s="103" t="s">
        <v>49</v>
      </c>
      <c r="B34" s="10">
        <f>SUM(B35:B37)</f>
        <v>99787336</v>
      </c>
      <c r="C34" s="10">
        <f>C35+C36+C37</f>
        <v>99787336</v>
      </c>
      <c r="D34" s="10">
        <f>D35+D36+D37</f>
        <v>99787336</v>
      </c>
      <c r="E34" s="209">
        <f t="shared" si="0"/>
        <v>100</v>
      </c>
      <c r="J34" s="229"/>
    </row>
    <row r="35" spans="1:10">
      <c r="A35" s="91" t="s">
        <v>50</v>
      </c>
      <c r="B35" s="4">
        <v>74196000</v>
      </c>
      <c r="C35" s="4">
        <v>74196000</v>
      </c>
      <c r="D35" s="4">
        <v>74196000</v>
      </c>
      <c r="E35" s="195">
        <f t="shared" si="0"/>
        <v>100</v>
      </c>
      <c r="G35" s="27">
        <f>D33+D61</f>
        <v>436645423</v>
      </c>
      <c r="H35">
        <v>329684654</v>
      </c>
      <c r="J35" s="229"/>
    </row>
    <row r="36" spans="1:10" ht="33.75">
      <c r="A36" s="92" t="s">
        <v>51</v>
      </c>
      <c r="B36" s="4">
        <v>25132358</v>
      </c>
      <c r="C36" s="4">
        <v>25132358</v>
      </c>
      <c r="D36" s="4">
        <v>25132358</v>
      </c>
      <c r="E36" s="195">
        <f t="shared" si="0"/>
        <v>100</v>
      </c>
      <c r="H36" s="27">
        <f>H33-H35</f>
        <v>0</v>
      </c>
    </row>
    <row r="37" spans="1:10">
      <c r="A37" s="92" t="s">
        <v>186</v>
      </c>
      <c r="B37" s="4">
        <v>458978</v>
      </c>
      <c r="C37" s="4">
        <v>458978</v>
      </c>
      <c r="D37" s="4">
        <v>458978</v>
      </c>
      <c r="E37" s="195">
        <f t="shared" si="0"/>
        <v>100</v>
      </c>
      <c r="J37" s="27">
        <f>C32-105000</f>
        <v>449618763</v>
      </c>
    </row>
    <row r="38" spans="1:10">
      <c r="A38" s="103" t="s">
        <v>52</v>
      </c>
      <c r="B38" s="83">
        <f>B39+B45+B46+B47</f>
        <v>73917200</v>
      </c>
      <c r="C38" s="121">
        <v>74625566</v>
      </c>
      <c r="D38" s="121">
        <v>74625566</v>
      </c>
      <c r="E38" s="209">
        <f t="shared" si="0"/>
        <v>100</v>
      </c>
      <c r="H38" s="27">
        <f>D33+D70+D71+D72+D73+D75+D68+D74</f>
        <v>329684654</v>
      </c>
    </row>
    <row r="39" spans="1:10" ht="14.25" customHeight="1">
      <c r="A39" s="104" t="s">
        <v>110</v>
      </c>
      <c r="B39" s="84">
        <f>SUM(B40:B44)</f>
        <v>61738700</v>
      </c>
      <c r="C39" s="212">
        <v>62527066</v>
      </c>
      <c r="D39" s="212">
        <v>62527066</v>
      </c>
      <c r="E39" s="210">
        <f t="shared" si="0"/>
        <v>100</v>
      </c>
      <c r="H39">
        <v>329684654</v>
      </c>
    </row>
    <row r="40" spans="1:10">
      <c r="A40" s="102" t="s">
        <v>71</v>
      </c>
      <c r="B40" s="65">
        <f>[1]Űrlap!$G$31</f>
        <v>29868800</v>
      </c>
      <c r="C40" s="4">
        <v>30068766</v>
      </c>
      <c r="D40" s="4">
        <v>30068766</v>
      </c>
      <c r="E40" s="195">
        <f t="shared" si="0"/>
        <v>100</v>
      </c>
      <c r="H40" s="27">
        <f>H39-H38</f>
        <v>0</v>
      </c>
    </row>
    <row r="41" spans="1:10">
      <c r="A41" s="102" t="s">
        <v>73</v>
      </c>
      <c r="B41" s="65">
        <f>[1]Űrlap!$G$32+[1]Űrlap!$G$33</f>
        <v>11036000</v>
      </c>
      <c r="C41" s="4">
        <v>11036000</v>
      </c>
      <c r="D41" s="4">
        <v>11036000</v>
      </c>
      <c r="E41" s="195">
        <f t="shared" si="0"/>
        <v>100</v>
      </c>
    </row>
    <row r="42" spans="1:10">
      <c r="A42" s="102" t="s">
        <v>72</v>
      </c>
      <c r="B42" s="65">
        <f>[1]Űrlap!$G$34</f>
        <v>14934400</v>
      </c>
      <c r="C42" s="4">
        <v>15508800</v>
      </c>
      <c r="D42" s="4">
        <v>15508800</v>
      </c>
      <c r="E42" s="195">
        <f t="shared" si="0"/>
        <v>100</v>
      </c>
    </row>
    <row r="43" spans="1:10">
      <c r="A43" s="102" t="s">
        <v>38</v>
      </c>
      <c r="B43" s="65">
        <f>[1]Űrlap!$G$35+[1]Űrlap!$G$36</f>
        <v>5518000</v>
      </c>
      <c r="C43" s="4">
        <v>5518000</v>
      </c>
      <c r="D43" s="4">
        <v>5518000</v>
      </c>
      <c r="E43" s="195">
        <f t="shared" si="0"/>
        <v>100</v>
      </c>
    </row>
    <row r="44" spans="1:10">
      <c r="A44" s="102" t="s">
        <v>122</v>
      </c>
      <c r="B44" s="65">
        <f>[1]Űrlap!$G$37+[1]Űrlap!$G$38</f>
        <v>381500</v>
      </c>
      <c r="C44" s="4">
        <v>395500</v>
      </c>
      <c r="D44" s="4">
        <v>395500</v>
      </c>
      <c r="E44" s="195">
        <f t="shared" si="0"/>
        <v>100</v>
      </c>
    </row>
    <row r="45" spans="1:10">
      <c r="A45" s="104" t="s">
        <v>111</v>
      </c>
      <c r="B45" s="84">
        <f>[1]Űrlap!$G$40+[1]Űrlap!$G$41+[1]Űrlap!$G$42+[1]Űrlap!$G$43</f>
        <v>9200000</v>
      </c>
      <c r="C45" s="59">
        <v>9120000</v>
      </c>
      <c r="D45" s="59">
        <v>9120000</v>
      </c>
      <c r="E45" s="210">
        <f t="shared" si="0"/>
        <v>100</v>
      </c>
    </row>
    <row r="46" spans="1:10" ht="22.5">
      <c r="A46" s="106" t="s">
        <v>0</v>
      </c>
      <c r="B46" s="84">
        <f>[1]Űrlap!$G$49+[1]Űrlap!$G$50-352000</f>
        <v>736000</v>
      </c>
      <c r="C46" s="59">
        <v>736000</v>
      </c>
      <c r="D46" s="59">
        <v>736000</v>
      </c>
      <c r="E46" s="210">
        <f t="shared" si="0"/>
        <v>100</v>
      </c>
    </row>
    <row r="47" spans="1:10" ht="22.5">
      <c r="A47" s="107" t="s">
        <v>1</v>
      </c>
      <c r="B47" s="59">
        <v>2242500</v>
      </c>
      <c r="C47" s="59">
        <v>2242500</v>
      </c>
      <c r="D47" s="59">
        <v>2242500</v>
      </c>
      <c r="E47" s="210">
        <f t="shared" si="0"/>
        <v>100</v>
      </c>
    </row>
    <row r="48" spans="1:10" ht="22.5">
      <c r="A48" s="103" t="s">
        <v>53</v>
      </c>
      <c r="B48" s="83">
        <f>B49+B51+B57+B58</f>
        <v>138419251</v>
      </c>
      <c r="C48" s="10">
        <v>128640827</v>
      </c>
      <c r="D48" s="10">
        <v>128640827</v>
      </c>
      <c r="E48" s="209">
        <f t="shared" si="0"/>
        <v>100</v>
      </c>
    </row>
    <row r="49" spans="1:7" ht="22.5">
      <c r="A49" s="104" t="s">
        <v>123</v>
      </c>
      <c r="B49" s="59">
        <v>43798740</v>
      </c>
      <c r="C49" s="59">
        <v>43798740</v>
      </c>
      <c r="D49" s="59">
        <v>43798740</v>
      </c>
      <c r="E49" s="210">
        <f t="shared" si="0"/>
        <v>100</v>
      </c>
      <c r="G49" s="27">
        <f>C49+C51</f>
        <v>80680210</v>
      </c>
    </row>
    <row r="50" spans="1:7" hidden="1">
      <c r="A50" s="102" t="s">
        <v>56</v>
      </c>
      <c r="B50" s="59"/>
      <c r="C50" s="211"/>
      <c r="D50" s="211"/>
      <c r="E50" s="210" t="e">
        <f t="shared" si="0"/>
        <v>#DIV/0!</v>
      </c>
    </row>
    <row r="51" spans="1:7">
      <c r="A51" s="104" t="s">
        <v>112</v>
      </c>
      <c r="B51" s="59">
        <f>B52+B53+B54+B55+B56</f>
        <v>41851910</v>
      </c>
      <c r="C51" s="59">
        <v>36881470</v>
      </c>
      <c r="D51" s="59">
        <v>36881470</v>
      </c>
      <c r="E51" s="210">
        <f t="shared" si="0"/>
        <v>100</v>
      </c>
      <c r="G51">
        <v>61457894</v>
      </c>
    </row>
    <row r="52" spans="1:7">
      <c r="A52" s="102" t="s">
        <v>184</v>
      </c>
      <c r="B52" s="4">
        <v>3000000</v>
      </c>
      <c r="C52" s="4">
        <v>3000000</v>
      </c>
      <c r="D52" s="4">
        <v>3000000</v>
      </c>
      <c r="E52" s="195">
        <f t="shared" si="0"/>
        <v>100</v>
      </c>
      <c r="G52" s="228">
        <f>G51/G49</f>
        <v>0.76174682738183253</v>
      </c>
    </row>
    <row r="53" spans="1:7">
      <c r="A53" s="102" t="s">
        <v>124</v>
      </c>
      <c r="B53" s="4">
        <v>4982400</v>
      </c>
      <c r="C53" s="4">
        <v>4982400</v>
      </c>
      <c r="D53" s="4">
        <v>4982400</v>
      </c>
      <c r="E53" s="195">
        <f t="shared" si="0"/>
        <v>100</v>
      </c>
    </row>
    <row r="54" spans="1:7">
      <c r="A54" s="102" t="s">
        <v>125</v>
      </c>
      <c r="B54" s="4">
        <v>11890000</v>
      </c>
      <c r="C54" s="4">
        <v>6919560</v>
      </c>
      <c r="D54" s="4">
        <v>6919560</v>
      </c>
      <c r="E54" s="195">
        <f t="shared" si="0"/>
        <v>100</v>
      </c>
    </row>
    <row r="55" spans="1:7">
      <c r="A55" s="102" t="s">
        <v>2</v>
      </c>
      <c r="B55" s="4">
        <v>11554000</v>
      </c>
      <c r="C55" s="4">
        <v>11554000</v>
      </c>
      <c r="D55" s="4">
        <v>11554000</v>
      </c>
      <c r="E55" s="195">
        <f t="shared" si="0"/>
        <v>100</v>
      </c>
    </row>
    <row r="56" spans="1:7">
      <c r="A56" s="102" t="s">
        <v>55</v>
      </c>
      <c r="B56" s="4">
        <f>[1]Űrlap!$G$96+[1]Űrlap!$G$97</f>
        <v>10425510</v>
      </c>
      <c r="C56" s="4">
        <v>10425510</v>
      </c>
      <c r="D56" s="4">
        <v>10425510</v>
      </c>
      <c r="E56" s="195">
        <f t="shared" si="0"/>
        <v>100</v>
      </c>
    </row>
    <row r="57" spans="1:7">
      <c r="A57" s="102" t="s">
        <v>54</v>
      </c>
      <c r="B57" s="4">
        <f>[1]Űrlap!$G$111+[1]Űrlap!$G$112+[1]Űrlap!$G$113</f>
        <v>49751081</v>
      </c>
      <c r="C57" s="4">
        <v>44943097</v>
      </c>
      <c r="D57" s="4">
        <v>44943097</v>
      </c>
      <c r="E57" s="195">
        <f t="shared" si="0"/>
        <v>100</v>
      </c>
    </row>
    <row r="58" spans="1:7" ht="22.5">
      <c r="A58" s="90" t="s">
        <v>263</v>
      </c>
      <c r="B58" s="4">
        <v>3017520</v>
      </c>
      <c r="C58" s="4">
        <v>3017520</v>
      </c>
      <c r="D58" s="4">
        <v>3017520</v>
      </c>
      <c r="E58" s="195">
        <f t="shared" si="0"/>
        <v>100</v>
      </c>
    </row>
    <row r="59" spans="1:7">
      <c r="A59" s="103" t="s">
        <v>3</v>
      </c>
      <c r="B59" s="10">
        <v>5853900</v>
      </c>
      <c r="C59" s="10">
        <v>5853900</v>
      </c>
      <c r="D59" s="10">
        <v>5853900</v>
      </c>
      <c r="E59" s="209">
        <f t="shared" si="0"/>
        <v>100</v>
      </c>
    </row>
    <row r="60" spans="1:7" ht="10.9" customHeight="1">
      <c r="A60" s="103"/>
      <c r="C60" s="14"/>
      <c r="D60" s="14"/>
      <c r="E60" s="195"/>
    </row>
    <row r="61" spans="1:7" ht="22.5">
      <c r="A61" s="108" t="s">
        <v>167</v>
      </c>
      <c r="B61" s="8">
        <f>B62+B66</f>
        <v>30747355</v>
      </c>
      <c r="C61" s="8">
        <v>126467413</v>
      </c>
      <c r="D61" s="8">
        <f>D62+D66</f>
        <v>127737794</v>
      </c>
      <c r="E61" s="213">
        <f t="shared" si="0"/>
        <v>101.0045125221309</v>
      </c>
    </row>
    <row r="62" spans="1:7">
      <c r="A62" s="109" t="s">
        <v>151</v>
      </c>
      <c r="B62" s="33">
        <f>SUM(B63:B65)</f>
        <v>17417300</v>
      </c>
      <c r="C62" s="10">
        <v>17417300</v>
      </c>
      <c r="D62" s="10">
        <f>SUM(D63:D65)</f>
        <v>19509800</v>
      </c>
      <c r="E62" s="209">
        <f t="shared" si="0"/>
        <v>112.01391719726939</v>
      </c>
    </row>
    <row r="63" spans="1:7">
      <c r="A63" s="102" t="s">
        <v>152</v>
      </c>
      <c r="B63" s="23">
        <v>8441000</v>
      </c>
      <c r="C63" s="4">
        <v>8441000</v>
      </c>
      <c r="D63" s="4">
        <v>9031100</v>
      </c>
      <c r="E63" s="195">
        <f t="shared" si="0"/>
        <v>106.99087785807369</v>
      </c>
    </row>
    <row r="64" spans="1:7">
      <c r="A64" s="102" t="s">
        <v>153</v>
      </c>
      <c r="B64" s="23">
        <v>232300</v>
      </c>
      <c r="C64" s="4">
        <v>232300</v>
      </c>
      <c r="D64" s="4">
        <v>232800</v>
      </c>
      <c r="E64" s="195">
        <f t="shared" si="0"/>
        <v>100.21523891519585</v>
      </c>
    </row>
    <row r="65" spans="1:9">
      <c r="A65" s="102" t="s">
        <v>154</v>
      </c>
      <c r="B65" s="23">
        <v>8744000</v>
      </c>
      <c r="C65" s="4">
        <v>8744000</v>
      </c>
      <c r="D65" s="4">
        <v>10245900</v>
      </c>
      <c r="E65" s="195">
        <f t="shared" si="0"/>
        <v>117.1763494967978</v>
      </c>
    </row>
    <row r="66" spans="1:9">
      <c r="A66" s="110" t="s">
        <v>155</v>
      </c>
      <c r="B66" s="33">
        <f>SUM(B67:B69)</f>
        <v>13330055</v>
      </c>
      <c r="C66" s="10">
        <v>109050113</v>
      </c>
      <c r="D66" s="10">
        <f>SUM(D67:D76)</f>
        <v>108227994</v>
      </c>
      <c r="E66" s="209">
        <f t="shared" si="0"/>
        <v>99.246108988442771</v>
      </c>
    </row>
    <row r="67" spans="1:9" ht="25.5" customHeight="1">
      <c r="A67" s="102" t="s">
        <v>239</v>
      </c>
      <c r="B67" s="23">
        <v>810000</v>
      </c>
      <c r="C67" s="4">
        <v>810000</v>
      </c>
      <c r="D67" s="4">
        <v>810000</v>
      </c>
      <c r="E67" s="195">
        <f t="shared" si="0"/>
        <v>100</v>
      </c>
      <c r="I67" s="277">
        <v>2592612</v>
      </c>
    </row>
    <row r="68" spans="1:9">
      <c r="A68" s="102" t="s">
        <v>156</v>
      </c>
      <c r="B68" s="23">
        <v>1003000</v>
      </c>
      <c r="C68" s="4">
        <v>1433000</v>
      </c>
      <c r="D68" s="4">
        <v>1433000</v>
      </c>
      <c r="E68" s="195">
        <f t="shared" si="0"/>
        <v>100</v>
      </c>
      <c r="I68" s="277">
        <v>84929816</v>
      </c>
    </row>
    <row r="69" spans="1:9">
      <c r="A69" s="102" t="s">
        <v>241</v>
      </c>
      <c r="B69" s="23">
        <f>5736000+2114713+4927431+9433297+613084-1499698-4573964-5233808</f>
        <v>11517055</v>
      </c>
      <c r="C69" s="4">
        <v>85653488</v>
      </c>
      <c r="D69" s="4">
        <f>84107697+723672</f>
        <v>84831369</v>
      </c>
      <c r="E69" s="195">
        <f t="shared" ref="E69:E120" si="1">D69/C69*100</f>
        <v>99.040180360197354</v>
      </c>
      <c r="I69" s="277">
        <v>11141248</v>
      </c>
    </row>
    <row r="70" spans="1:9">
      <c r="A70" s="102" t="s">
        <v>210</v>
      </c>
      <c r="B70" s="23"/>
      <c r="C70" s="4">
        <v>8620927</v>
      </c>
      <c r="D70" s="4">
        <v>8620927</v>
      </c>
      <c r="E70" s="195">
        <f t="shared" si="1"/>
        <v>100</v>
      </c>
      <c r="I70" s="277">
        <f>SUM(I67:I69)</f>
        <v>98663676</v>
      </c>
    </row>
    <row r="71" spans="1:9">
      <c r="A71" s="102" t="s">
        <v>238</v>
      </c>
      <c r="B71" s="23"/>
      <c r="C71" s="4">
        <v>3848100</v>
      </c>
      <c r="D71" s="4">
        <v>3848100</v>
      </c>
      <c r="E71" s="195">
        <f t="shared" si="1"/>
        <v>100</v>
      </c>
      <c r="I71" s="277">
        <f>C77+C69</f>
        <v>98663676</v>
      </c>
    </row>
    <row r="72" spans="1:9">
      <c r="A72" s="9" t="s">
        <v>242</v>
      </c>
      <c r="B72" s="23"/>
      <c r="C72" s="4">
        <v>836000</v>
      </c>
      <c r="D72" s="4">
        <v>836000</v>
      </c>
      <c r="E72" s="195">
        <f t="shared" si="1"/>
        <v>100</v>
      </c>
      <c r="I72" s="277"/>
    </row>
    <row r="73" spans="1:9">
      <c r="A73" s="9" t="s">
        <v>381</v>
      </c>
      <c r="B73" s="23"/>
      <c r="C73" s="4">
        <v>4557882</v>
      </c>
      <c r="D73" s="4">
        <v>4557882</v>
      </c>
      <c r="E73" s="195">
        <f t="shared" si="1"/>
        <v>100</v>
      </c>
    </row>
    <row r="74" spans="1:9">
      <c r="A74" s="9" t="s">
        <v>382</v>
      </c>
      <c r="B74" s="23"/>
      <c r="C74" s="4">
        <v>281116</v>
      </c>
      <c r="D74" s="4">
        <v>281116</v>
      </c>
      <c r="E74" s="195">
        <f t="shared" si="1"/>
        <v>100</v>
      </c>
    </row>
    <row r="75" spans="1:9">
      <c r="A75" s="9" t="s">
        <v>384</v>
      </c>
      <c r="B75" s="23"/>
      <c r="C75" s="4">
        <v>1200000</v>
      </c>
      <c r="D75" s="4">
        <v>1200000</v>
      </c>
      <c r="E75" s="195">
        <f t="shared" si="1"/>
        <v>100</v>
      </c>
    </row>
    <row r="76" spans="1:9">
      <c r="A76" s="9" t="s">
        <v>383</v>
      </c>
      <c r="B76" s="23"/>
      <c r="C76" s="4">
        <v>1809600</v>
      </c>
      <c r="D76" s="4">
        <v>1809600</v>
      </c>
      <c r="E76" s="195">
        <f t="shared" si="1"/>
        <v>100</v>
      </c>
    </row>
    <row r="77" spans="1:9">
      <c r="A77" s="108" t="s">
        <v>218</v>
      </c>
      <c r="B77" s="8">
        <f>B78</f>
        <v>808569</v>
      </c>
      <c r="C77" s="8">
        <v>13010188</v>
      </c>
      <c r="D77" s="8">
        <f>D78</f>
        <v>12751204</v>
      </c>
      <c r="E77" s="213">
        <f t="shared" si="1"/>
        <v>98.009375421784839</v>
      </c>
    </row>
    <row r="78" spans="1:9">
      <c r="A78" s="111" t="s">
        <v>168</v>
      </c>
      <c r="B78" s="23">
        <f>2425707-1617138</f>
        <v>808569</v>
      </c>
      <c r="C78" s="4">
        <v>13010188</v>
      </c>
      <c r="D78" s="4">
        <f>11875180+876024</f>
        <v>12751204</v>
      </c>
      <c r="E78" s="195">
        <f t="shared" si="1"/>
        <v>98.009375421784839</v>
      </c>
    </row>
    <row r="79" spans="1:9">
      <c r="A79" s="254" t="s">
        <v>243</v>
      </c>
      <c r="B79" s="23"/>
      <c r="C79" s="8">
        <v>1233533</v>
      </c>
      <c r="D79" s="8">
        <f>D80</f>
        <v>1233533</v>
      </c>
      <c r="E79" s="213">
        <f t="shared" si="1"/>
        <v>100</v>
      </c>
    </row>
    <row r="80" spans="1:9">
      <c r="A80" s="222" t="s">
        <v>244</v>
      </c>
      <c r="B80" s="23"/>
      <c r="C80" s="4">
        <v>1233533</v>
      </c>
      <c r="D80" s="4">
        <v>1233533</v>
      </c>
      <c r="E80" s="195">
        <f t="shared" si="1"/>
        <v>100</v>
      </c>
    </row>
    <row r="81" spans="1:11" ht="22.5">
      <c r="A81" s="108" t="s">
        <v>245</v>
      </c>
      <c r="B81" s="23"/>
      <c r="C81" s="58">
        <v>105000</v>
      </c>
      <c r="D81" s="8">
        <f>SUM(D82:D83)</f>
        <v>125000</v>
      </c>
      <c r="E81" s="213">
        <f t="shared" si="1"/>
        <v>119.04761904761905</v>
      </c>
    </row>
    <row r="82" spans="1:11">
      <c r="A82" s="111" t="s">
        <v>246</v>
      </c>
      <c r="B82" s="23"/>
      <c r="C82" s="4">
        <v>105000</v>
      </c>
      <c r="D82" s="4">
        <v>105000</v>
      </c>
      <c r="E82" s="195">
        <f t="shared" si="1"/>
        <v>100</v>
      </c>
    </row>
    <row r="83" spans="1:11">
      <c r="A83" s="111" t="s">
        <v>397</v>
      </c>
      <c r="B83" s="23"/>
      <c r="C83" s="4"/>
      <c r="D83" s="4">
        <v>20000</v>
      </c>
      <c r="E83" s="195"/>
    </row>
    <row r="84" spans="1:11" ht="9" customHeight="1" thickBot="1">
      <c r="A84" s="102"/>
      <c r="B84" s="23"/>
      <c r="C84" s="14"/>
      <c r="D84" s="4"/>
      <c r="E84" s="200"/>
    </row>
    <row r="85" spans="1:11" ht="13.5" thickBot="1">
      <c r="A85" s="101" t="s">
        <v>118</v>
      </c>
      <c r="B85" s="28">
        <f>B6+B13+B32</f>
        <v>638974541</v>
      </c>
      <c r="C85" s="94">
        <f>C6+C13+C32</f>
        <v>722304193</v>
      </c>
      <c r="D85" s="94">
        <f>D6+D13+D32</f>
        <v>716445710</v>
      </c>
      <c r="E85" s="208">
        <f t="shared" si="1"/>
        <v>99.18891748701229</v>
      </c>
    </row>
    <row r="86" spans="1:11" ht="13.5" customHeight="1" thickBot="1">
      <c r="A86" s="102"/>
      <c r="B86" s="23"/>
      <c r="C86" s="14"/>
      <c r="D86" s="8"/>
      <c r="E86" s="214"/>
    </row>
    <row r="87" spans="1:11" ht="13.5" thickBot="1">
      <c r="A87" s="101" t="s">
        <v>119</v>
      </c>
      <c r="B87" s="28">
        <f>B88</f>
        <v>52518956</v>
      </c>
      <c r="C87" s="94">
        <f>C88+C94+C99</f>
        <v>398483392</v>
      </c>
      <c r="D87" s="94">
        <f>D88+D94+D99</f>
        <v>400046623</v>
      </c>
      <c r="E87" s="208">
        <f t="shared" si="1"/>
        <v>100.39229514488774</v>
      </c>
      <c r="F87" s="27">
        <f>D87-D101-D95</f>
        <v>57193623</v>
      </c>
      <c r="I87">
        <v>57208392</v>
      </c>
      <c r="J87" s="27">
        <f>C101</f>
        <v>339325000</v>
      </c>
      <c r="K87" s="27">
        <f>J87+J88+I88+I87</f>
        <v>398483392</v>
      </c>
    </row>
    <row r="88" spans="1:11" ht="15.75" customHeight="1">
      <c r="A88" s="113" t="s">
        <v>113</v>
      </c>
      <c r="B88" s="24">
        <f>B89</f>
        <v>52518956</v>
      </c>
      <c r="C88" s="8">
        <v>56626392</v>
      </c>
      <c r="D88" s="8">
        <f>D89</f>
        <v>57193623</v>
      </c>
      <c r="E88" s="213">
        <f t="shared" si="1"/>
        <v>101.00170782556657</v>
      </c>
      <c r="I88" s="27">
        <v>1950000</v>
      </c>
    </row>
    <row r="89" spans="1:11">
      <c r="A89" s="109" t="s">
        <v>120</v>
      </c>
      <c r="B89" s="33">
        <f>SUM(B90:B92)</f>
        <v>52518956</v>
      </c>
      <c r="C89" s="10">
        <v>56626392</v>
      </c>
      <c r="D89" s="10">
        <f>SUM(D90:D93)</f>
        <v>57193623</v>
      </c>
      <c r="E89" s="209">
        <f t="shared" si="1"/>
        <v>101.00170782556657</v>
      </c>
    </row>
    <row r="90" spans="1:11">
      <c r="A90" s="102" t="s">
        <v>187</v>
      </c>
      <c r="B90" s="23">
        <f>2880736+33279401</f>
        <v>36160137</v>
      </c>
      <c r="C90" s="4">
        <v>38510033</v>
      </c>
      <c r="D90" s="4">
        <v>38510030</v>
      </c>
      <c r="E90" s="195">
        <f t="shared" si="1"/>
        <v>99.99999220982231</v>
      </c>
    </row>
    <row r="91" spans="1:11">
      <c r="A91" s="102" t="s">
        <v>99</v>
      </c>
      <c r="B91" s="23">
        <f>5279507</f>
        <v>5279507</v>
      </c>
      <c r="C91" s="4">
        <v>5279507</v>
      </c>
      <c r="D91" s="4">
        <v>5264741</v>
      </c>
      <c r="E91" s="195">
        <f t="shared" si="1"/>
        <v>99.720314794544265</v>
      </c>
    </row>
    <row r="92" spans="1:11">
      <c r="A92" s="102" t="s">
        <v>100</v>
      </c>
      <c r="B92" s="23">
        <f>7829022+5015519-1765228-1</f>
        <v>11079312</v>
      </c>
      <c r="C92" s="4">
        <v>12836852</v>
      </c>
      <c r="D92" s="4">
        <v>12836852</v>
      </c>
      <c r="E92" s="195">
        <f t="shared" si="1"/>
        <v>100</v>
      </c>
    </row>
    <row r="93" spans="1:11">
      <c r="A93" s="9" t="s">
        <v>911</v>
      </c>
      <c r="C93" s="4">
        <v>582000</v>
      </c>
      <c r="D93" s="4">
        <v>582000</v>
      </c>
      <c r="E93" s="195">
        <f t="shared" si="1"/>
        <v>100</v>
      </c>
    </row>
    <row r="94" spans="1:11">
      <c r="A94" s="113" t="s">
        <v>234</v>
      </c>
      <c r="B94" s="23"/>
      <c r="C94" s="8">
        <f>C95</f>
        <v>1950000</v>
      </c>
      <c r="D94" s="8">
        <f>D95</f>
        <v>1950000</v>
      </c>
      <c r="E94" s="213">
        <f t="shared" si="1"/>
        <v>100</v>
      </c>
    </row>
    <row r="95" spans="1:11">
      <c r="A95" s="109" t="s">
        <v>235</v>
      </c>
      <c r="B95" s="23"/>
      <c r="C95" s="10">
        <f>C96</f>
        <v>1950000</v>
      </c>
      <c r="D95" s="10">
        <f>D96</f>
        <v>1950000</v>
      </c>
      <c r="E95" s="209">
        <f t="shared" si="1"/>
        <v>100</v>
      </c>
    </row>
    <row r="96" spans="1:11">
      <c r="A96" s="102" t="s">
        <v>236</v>
      </c>
      <c r="B96" s="23"/>
      <c r="C96" s="4">
        <f>C97+C98</f>
        <v>1950000</v>
      </c>
      <c r="D96" s="4">
        <f>D97+D98</f>
        <v>1950000</v>
      </c>
      <c r="E96" s="195">
        <f t="shared" si="1"/>
        <v>100</v>
      </c>
    </row>
    <row r="97" spans="1:11">
      <c r="A97" s="9" t="s">
        <v>237</v>
      </c>
      <c r="C97" s="4">
        <v>1050000</v>
      </c>
      <c r="D97" s="4">
        <v>1050000</v>
      </c>
      <c r="E97" s="195">
        <f t="shared" si="1"/>
        <v>100</v>
      </c>
    </row>
    <row r="98" spans="1:11">
      <c r="A98" s="9" t="s">
        <v>264</v>
      </c>
      <c r="C98" s="4">
        <v>900000</v>
      </c>
      <c r="D98" s="4">
        <v>900000</v>
      </c>
      <c r="E98" s="195">
        <f t="shared" si="1"/>
        <v>100</v>
      </c>
    </row>
    <row r="99" spans="1:11">
      <c r="A99" s="224" t="s">
        <v>257</v>
      </c>
      <c r="C99" s="8">
        <v>339907000</v>
      </c>
      <c r="D99" s="8">
        <f>D100</f>
        <v>340903000</v>
      </c>
      <c r="E99" s="195">
        <f t="shared" si="1"/>
        <v>100.29302132642164</v>
      </c>
    </row>
    <row r="100" spans="1:11">
      <c r="A100" s="223" t="s">
        <v>247</v>
      </c>
      <c r="C100" s="10">
        <v>339907000</v>
      </c>
      <c r="D100" s="10">
        <f>D101</f>
        <v>340903000</v>
      </c>
      <c r="E100" s="195">
        <f t="shared" si="1"/>
        <v>100.29302132642164</v>
      </c>
    </row>
    <row r="101" spans="1:11">
      <c r="A101" s="9" t="s">
        <v>248</v>
      </c>
      <c r="C101" s="4">
        <v>339325000</v>
      </c>
      <c r="D101" s="4">
        <v>340903000</v>
      </c>
      <c r="E101" s="195">
        <f t="shared" si="1"/>
        <v>100.46504089000221</v>
      </c>
    </row>
    <row r="102" spans="1:11" ht="13.5" thickBot="1">
      <c r="A102" s="79"/>
      <c r="C102" s="79"/>
      <c r="D102" s="60"/>
      <c r="E102" s="195"/>
    </row>
    <row r="103" spans="1:11" ht="13.5" thickBot="1">
      <c r="A103" s="101" t="s">
        <v>180</v>
      </c>
      <c r="B103" s="28">
        <f>B87</f>
        <v>52518956</v>
      </c>
      <c r="C103" s="94">
        <f>C87</f>
        <v>398483392</v>
      </c>
      <c r="D103" s="94">
        <f>D87</f>
        <v>400046623</v>
      </c>
      <c r="E103" s="208">
        <f t="shared" si="1"/>
        <v>100.39229514488774</v>
      </c>
    </row>
    <row r="104" spans="1:11" ht="13.5" thickBot="1">
      <c r="A104" s="102"/>
      <c r="B104" s="35"/>
      <c r="C104" s="4"/>
      <c r="D104" s="4"/>
      <c r="E104" s="214"/>
    </row>
    <row r="105" spans="1:11" ht="23.25" thickBot="1">
      <c r="A105" s="114" t="s">
        <v>181</v>
      </c>
      <c r="B105" s="28">
        <f>B103+B85</f>
        <v>691493497</v>
      </c>
      <c r="C105" s="94">
        <v>1120787585</v>
      </c>
      <c r="D105" s="94">
        <f>D103+D85</f>
        <v>1116492333</v>
      </c>
      <c r="E105" s="208">
        <f t="shared" si="1"/>
        <v>99.616764848443609</v>
      </c>
      <c r="F105" s="227"/>
    </row>
    <row r="106" spans="1:11" ht="13.5" customHeight="1" thickBot="1">
      <c r="A106" s="282"/>
      <c r="B106" s="283"/>
      <c r="C106" s="284"/>
      <c r="D106" s="285"/>
      <c r="E106" s="286"/>
    </row>
    <row r="107" spans="1:11" ht="16.5" customHeight="1" thickBot="1">
      <c r="A107" s="287" t="s">
        <v>385</v>
      </c>
      <c r="B107" s="288"/>
      <c r="C107" s="94">
        <v>10168502</v>
      </c>
      <c r="D107" s="94">
        <f>D108</f>
        <v>10168502</v>
      </c>
      <c r="E107" s="289">
        <f>D107/C107*100</f>
        <v>100</v>
      </c>
    </row>
    <row r="108" spans="1:11" ht="12" customHeight="1">
      <c r="A108" s="291" t="s">
        <v>400</v>
      </c>
      <c r="B108" s="46"/>
      <c r="C108" s="199">
        <v>10168502</v>
      </c>
      <c r="D108" s="199">
        <v>10168502</v>
      </c>
      <c r="E108" s="195">
        <f t="shared" si="1"/>
        <v>100</v>
      </c>
    </row>
    <row r="109" spans="1:11" ht="9.75" customHeight="1">
      <c r="A109" s="112"/>
      <c r="B109" s="46"/>
      <c r="C109" s="198"/>
      <c r="D109" s="199"/>
      <c r="E109" s="200"/>
    </row>
    <row r="110" spans="1:11" ht="9.75" customHeight="1" thickBot="1">
      <c r="A110" s="112"/>
      <c r="B110" s="46"/>
      <c r="C110" s="198"/>
      <c r="D110" s="199"/>
      <c r="E110" s="200"/>
    </row>
    <row r="111" spans="1:11" ht="13.5" thickBot="1">
      <c r="A111" s="101" t="s">
        <v>401</v>
      </c>
      <c r="B111" s="36">
        <f>SUM(B112:B116)</f>
        <v>55660442</v>
      </c>
      <c r="C111" s="94">
        <v>55661442</v>
      </c>
      <c r="D111" s="94">
        <v>55661442</v>
      </c>
      <c r="E111" s="208">
        <f t="shared" si="1"/>
        <v>100</v>
      </c>
    </row>
    <row r="112" spans="1:11">
      <c r="A112" s="91" t="s">
        <v>127</v>
      </c>
      <c r="B112" s="37">
        <v>49085314</v>
      </c>
      <c r="C112" s="4">
        <v>49085314</v>
      </c>
      <c r="D112" s="4">
        <v>49085314</v>
      </c>
      <c r="E112" s="195">
        <f t="shared" si="1"/>
        <v>100</v>
      </c>
      <c r="I112" s="229">
        <v>-1064690697</v>
      </c>
      <c r="J112" s="229">
        <v>1124524439</v>
      </c>
      <c r="K112" s="229">
        <f>SUM(I112:J112)</f>
        <v>59833742</v>
      </c>
    </row>
    <row r="113" spans="1:11">
      <c r="A113" s="102" t="s">
        <v>45</v>
      </c>
      <c r="B113" s="23">
        <v>1563106</v>
      </c>
      <c r="C113" s="4">
        <v>1563106</v>
      </c>
      <c r="D113" s="4">
        <v>1563106</v>
      </c>
      <c r="E113" s="195">
        <f t="shared" si="1"/>
        <v>100</v>
      </c>
    </row>
    <row r="114" spans="1:11">
      <c r="A114" s="102" t="s">
        <v>46</v>
      </c>
      <c r="B114" s="37">
        <v>2761538</v>
      </c>
      <c r="C114" s="4">
        <v>2761538</v>
      </c>
      <c r="D114" s="4">
        <v>2761538</v>
      </c>
      <c r="E114" s="195">
        <f t="shared" si="1"/>
        <v>100</v>
      </c>
    </row>
    <row r="115" spans="1:11">
      <c r="A115" s="102" t="s">
        <v>265</v>
      </c>
      <c r="B115" s="37">
        <v>2177322</v>
      </c>
      <c r="C115" s="4">
        <v>2177322</v>
      </c>
      <c r="D115" s="4">
        <v>2177322</v>
      </c>
      <c r="E115" s="195">
        <f t="shared" si="1"/>
        <v>100</v>
      </c>
    </row>
    <row r="116" spans="1:11">
      <c r="A116" s="102" t="s">
        <v>109</v>
      </c>
      <c r="B116" s="4">
        <v>73162</v>
      </c>
      <c r="C116" s="4">
        <v>74162</v>
      </c>
      <c r="D116" s="4">
        <v>74162</v>
      </c>
      <c r="E116" s="195">
        <f t="shared" si="1"/>
        <v>100</v>
      </c>
    </row>
    <row r="117" spans="1:11" ht="13.5" thickBot="1">
      <c r="A117" s="207"/>
      <c r="B117" s="86"/>
      <c r="C117" s="86"/>
      <c r="D117" s="86"/>
      <c r="E117" s="197"/>
    </row>
    <row r="118" spans="1:11" ht="13.5" thickBot="1">
      <c r="A118" s="207"/>
      <c r="B118" s="86"/>
      <c r="C118" s="86"/>
      <c r="D118" s="86"/>
      <c r="E118" s="197"/>
    </row>
    <row r="119" spans="1:11" ht="13.5" thickBot="1">
      <c r="A119" s="102"/>
      <c r="C119" s="4"/>
      <c r="D119" s="4"/>
      <c r="E119" s="195"/>
      <c r="I119" s="229">
        <v>1541392387</v>
      </c>
      <c r="J119" s="229">
        <v>1536901171</v>
      </c>
      <c r="K119" s="231"/>
    </row>
    <row r="120" spans="1:11" ht="13.5" thickBot="1">
      <c r="A120" s="101" t="s">
        <v>402</v>
      </c>
      <c r="B120" s="34">
        <f>B105+B111</f>
        <v>747153939</v>
      </c>
      <c r="C120" s="94">
        <v>1186617529</v>
      </c>
      <c r="D120" s="94">
        <f>D105+D111+D107</f>
        <v>1182322277</v>
      </c>
      <c r="E120" s="208">
        <f t="shared" si="1"/>
        <v>99.638025573107811</v>
      </c>
      <c r="I120" s="229">
        <f>-(126655355+103180907+123422530+1516066)</f>
        <v>-354774858</v>
      </c>
      <c r="J120" s="229">
        <f>-(126655355+103180907+123422530+1320102)</f>
        <v>-354578894</v>
      </c>
      <c r="K120" s="231"/>
    </row>
    <row r="121" spans="1:11" hidden="1">
      <c r="A121" s="112"/>
      <c r="B121" s="46"/>
      <c r="D121" s="60"/>
      <c r="I121" s="229"/>
      <c r="J121" s="229"/>
    </row>
    <row r="122" spans="1:11" hidden="1">
      <c r="A122" s="115" t="s">
        <v>32</v>
      </c>
      <c r="B122" s="60" t="e">
        <f>#REF!</f>
        <v>#REF!</v>
      </c>
      <c r="D122" s="60"/>
      <c r="I122" s="229"/>
      <c r="J122" s="229"/>
    </row>
    <row r="123" spans="1:11" hidden="1">
      <c r="A123" s="116" t="s">
        <v>24</v>
      </c>
      <c r="B123" s="80">
        <v>20000000</v>
      </c>
      <c r="D123" s="60"/>
      <c r="I123" s="229"/>
      <c r="J123" s="229"/>
    </row>
    <row r="124" spans="1:11" hidden="1">
      <c r="A124" s="117" t="s">
        <v>25</v>
      </c>
      <c r="B124" s="60">
        <f>B111</f>
        <v>55660442</v>
      </c>
      <c r="D124" s="60"/>
      <c r="I124" s="229"/>
      <c r="J124" s="229"/>
    </row>
    <row r="125" spans="1:11" hidden="1">
      <c r="A125" s="118" t="s">
        <v>26</v>
      </c>
      <c r="B125" s="60" t="e">
        <f>B90+#REF!+#REF!-kiadások!#REF!-kiadások!#REF!</f>
        <v>#REF!</v>
      </c>
      <c r="D125" s="60"/>
      <c r="I125" s="229"/>
      <c r="J125" s="229"/>
    </row>
    <row r="126" spans="1:11" hidden="1">
      <c r="A126" s="118" t="s">
        <v>27</v>
      </c>
      <c r="B126" s="60" t="e">
        <f>#REF!+B91+B92-kiadások!B49</f>
        <v>#REF!</v>
      </c>
      <c r="D126" s="60"/>
      <c r="I126" s="229"/>
      <c r="J126" s="229"/>
    </row>
    <row r="127" spans="1:11" hidden="1">
      <c r="A127" s="118" t="s">
        <v>28</v>
      </c>
      <c r="B127" s="60">
        <f>B85-kiadások!B6</f>
        <v>-3660442</v>
      </c>
      <c r="D127" s="60"/>
      <c r="I127" s="229"/>
      <c r="J127" s="229"/>
    </row>
    <row r="128" spans="1:11" hidden="1">
      <c r="A128" s="118" t="s">
        <v>29</v>
      </c>
      <c r="B128" s="60" t="e">
        <f>-(kiadások!B58+kiadások!B59+kiadások!B67+kiadások!B70+kiadások!B73+kiadások!#REF!+kiadások!B80)-kiadások!B81-kiadások!#REF!</f>
        <v>#REF!</v>
      </c>
      <c r="D128" s="60"/>
      <c r="I128" s="229"/>
      <c r="J128" s="229"/>
    </row>
    <row r="129" spans="1:11" hidden="1">
      <c r="A129" s="119" t="s">
        <v>146</v>
      </c>
      <c r="B129" s="85">
        <f>-kiadások!B96</f>
        <v>-49500000</v>
      </c>
      <c r="D129" s="60"/>
      <c r="I129" s="229"/>
      <c r="J129" s="229"/>
    </row>
    <row r="130" spans="1:11" hidden="1">
      <c r="A130" s="120" t="s">
        <v>30</v>
      </c>
      <c r="B130" s="52" t="e">
        <f>SUM(B122:B129)</f>
        <v>#REF!</v>
      </c>
      <c r="D130" s="60"/>
      <c r="I130" s="229"/>
      <c r="J130" s="229"/>
    </row>
    <row r="131" spans="1:11" hidden="1">
      <c r="A131" s="118"/>
      <c r="B131" s="60"/>
      <c r="D131" s="60"/>
      <c r="I131" s="229"/>
      <c r="J131" s="229"/>
    </row>
    <row r="132" spans="1:11" hidden="1">
      <c r="A132" s="118"/>
      <c r="B132" s="60"/>
      <c r="D132" s="60"/>
      <c r="I132" s="229"/>
      <c r="J132" s="229"/>
    </row>
    <row r="133" spans="1:11" hidden="1">
      <c r="A133" s="118"/>
      <c r="B133" s="60"/>
      <c r="D133" s="60"/>
      <c r="I133" s="229"/>
      <c r="J133" s="229"/>
    </row>
    <row r="134" spans="1:11" hidden="1">
      <c r="A134" s="118"/>
      <c r="B134" s="60"/>
      <c r="D134" s="60"/>
      <c r="I134" s="229"/>
      <c r="J134" s="229"/>
    </row>
    <row r="135" spans="1:11" hidden="1">
      <c r="A135" s="118" t="s">
        <v>17</v>
      </c>
      <c r="B135" s="60" t="e">
        <f>B122+B123+B125+B126+B128</f>
        <v>#REF!</v>
      </c>
      <c r="D135" s="60"/>
      <c r="I135" s="229"/>
      <c r="J135" s="229"/>
    </row>
    <row r="136" spans="1:11" hidden="1">
      <c r="A136" s="118" t="s">
        <v>18</v>
      </c>
      <c r="B136" s="60">
        <f>B127+B129</f>
        <v>-53160442</v>
      </c>
      <c r="D136" s="60"/>
      <c r="I136" s="229"/>
      <c r="J136" s="229"/>
    </row>
    <row r="137" spans="1:11" hidden="1">
      <c r="A137" s="118"/>
      <c r="B137" s="60" t="e">
        <f>SUM(B135:B136)</f>
        <v>#REF!</v>
      </c>
      <c r="D137" s="60"/>
      <c r="I137" s="229"/>
      <c r="J137" s="229"/>
    </row>
    <row r="138" spans="1:11" hidden="1">
      <c r="A138" s="118"/>
      <c r="D138" s="60"/>
      <c r="I138" s="229"/>
      <c r="J138" s="229"/>
    </row>
    <row r="139" spans="1:11" hidden="1">
      <c r="A139" s="118"/>
      <c r="D139" s="60"/>
      <c r="I139" s="229"/>
      <c r="J139" s="229"/>
    </row>
    <row r="140" spans="1:11" ht="18" hidden="1">
      <c r="B140" s="215"/>
      <c r="C140" s="281">
        <f>C120-kiadások!C123</f>
        <v>0</v>
      </c>
      <c r="D140" s="281">
        <f>D120-kiadások!D123</f>
        <v>0</v>
      </c>
      <c r="I140" s="229"/>
      <c r="J140" s="229"/>
    </row>
    <row r="141" spans="1:11">
      <c r="D141" s="60"/>
      <c r="I141" s="229"/>
      <c r="J141" s="229"/>
    </row>
    <row r="142" spans="1:11">
      <c r="B142" s="253"/>
      <c r="C142" s="253"/>
      <c r="D142" s="253"/>
      <c r="I142" s="229"/>
      <c r="K142" s="231"/>
    </row>
    <row r="143" spans="1:11">
      <c r="I143" s="229"/>
      <c r="J143" s="231"/>
      <c r="K143" s="231"/>
    </row>
  </sheetData>
  <mergeCells count="2">
    <mergeCell ref="A1:E1"/>
    <mergeCell ref="A3:E3"/>
  </mergeCells>
  <phoneticPr fontId="4" type="noConversion"/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 xml:space="preserve">&amp;C&amp;P&amp;R        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G2" sqref="G2"/>
    </sheetView>
  </sheetViews>
  <sheetFormatPr defaultRowHeight="12.75"/>
  <cols>
    <col min="1" max="1" width="37.7109375" customWidth="1"/>
    <col min="2" max="3" width="9.42578125" customWidth="1"/>
    <col min="4" max="4" width="9.5703125" customWidth="1"/>
    <col min="5" max="5" width="9.42578125" customWidth="1"/>
    <col min="6" max="6" width="9.5703125" customWidth="1"/>
    <col min="7" max="7" width="10" customWidth="1"/>
    <col min="8" max="8" width="9.7109375" customWidth="1"/>
    <col min="9" max="9" width="9.5703125" bestFit="1" customWidth="1"/>
    <col min="10" max="11" width="9.28515625" customWidth="1"/>
    <col min="12" max="12" width="9.140625" customWidth="1"/>
  </cols>
  <sheetData>
    <row r="1" spans="1:12">
      <c r="A1" s="558" t="s">
        <v>763</v>
      </c>
      <c r="G1" s="673" t="s">
        <v>929</v>
      </c>
      <c r="H1" s="673"/>
      <c r="I1" s="673"/>
      <c r="J1" s="673"/>
      <c r="K1" s="673"/>
      <c r="L1" s="556"/>
    </row>
    <row r="2" spans="1:12">
      <c r="A2" s="558" t="s">
        <v>571</v>
      </c>
    </row>
    <row r="3" spans="1:12">
      <c r="A3" s="671" t="s">
        <v>633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</row>
    <row r="4" spans="1:12">
      <c r="A4" s="672" t="s">
        <v>882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</row>
    <row r="5" spans="1:12">
      <c r="A5" s="344"/>
      <c r="B5" s="344"/>
      <c r="C5" s="344"/>
      <c r="D5" s="344"/>
      <c r="E5" s="344"/>
      <c r="F5" s="344"/>
      <c r="G5" s="300"/>
      <c r="H5" s="300"/>
      <c r="I5" s="300"/>
      <c r="J5" s="300"/>
      <c r="K5" s="300"/>
    </row>
    <row r="6" spans="1:12">
      <c r="A6" s="344"/>
      <c r="B6" s="344"/>
      <c r="C6" s="344"/>
      <c r="D6" s="344"/>
      <c r="E6" s="344"/>
      <c r="F6" s="344"/>
      <c r="G6" s="300"/>
      <c r="H6" s="300"/>
      <c r="I6" s="300"/>
      <c r="J6" s="300"/>
      <c r="K6" s="300"/>
    </row>
    <row r="7" spans="1:12">
      <c r="A7" s="344"/>
      <c r="B7" s="345"/>
      <c r="C7" s="344"/>
      <c r="D7" s="344"/>
      <c r="E7" s="344"/>
      <c r="F7" s="344"/>
      <c r="G7" s="300"/>
      <c r="H7" s="300"/>
      <c r="I7" s="300"/>
      <c r="J7" s="300"/>
      <c r="K7" s="300"/>
    </row>
    <row r="8" spans="1:12">
      <c r="A8" s="344"/>
      <c r="B8" s="344"/>
      <c r="C8" s="344"/>
      <c r="D8" s="344"/>
      <c r="E8" s="344"/>
      <c r="F8" s="344"/>
      <c r="G8" s="300"/>
      <c r="H8" s="300"/>
      <c r="I8" s="300"/>
      <c r="J8" s="300"/>
      <c r="K8" s="343" t="s">
        <v>260</v>
      </c>
    </row>
    <row r="9" spans="1:12">
      <c r="A9" s="342"/>
      <c r="B9" s="341" t="s">
        <v>632</v>
      </c>
      <c r="C9" s="340" t="s">
        <v>631</v>
      </c>
      <c r="D9" s="339" t="s">
        <v>630</v>
      </c>
      <c r="E9" s="339" t="s">
        <v>629</v>
      </c>
      <c r="F9" s="339" t="s">
        <v>628</v>
      </c>
      <c r="G9" s="338" t="s">
        <v>627</v>
      </c>
      <c r="H9" s="338" t="s">
        <v>626</v>
      </c>
      <c r="I9" s="338" t="s">
        <v>625</v>
      </c>
      <c r="J9" s="338" t="s">
        <v>624</v>
      </c>
      <c r="K9" s="338" t="s">
        <v>774</v>
      </c>
    </row>
    <row r="10" spans="1:12">
      <c r="A10" s="336" t="s">
        <v>623</v>
      </c>
      <c r="B10" s="332">
        <f>904479689+158433550</f>
        <v>1062913239</v>
      </c>
      <c r="C10" s="332">
        <v>1074392886</v>
      </c>
      <c r="D10" s="332">
        <v>1145331000</v>
      </c>
      <c r="E10" s="332">
        <v>1226993000</v>
      </c>
      <c r="F10" s="332">
        <v>1225836000</v>
      </c>
      <c r="G10" s="332">
        <v>1227792000</v>
      </c>
      <c r="H10" s="332">
        <v>1233188000</v>
      </c>
      <c r="I10" s="332">
        <v>1365044000</v>
      </c>
      <c r="J10" s="332">
        <v>3472410000</v>
      </c>
      <c r="K10" s="332">
        <v>5088732000</v>
      </c>
    </row>
    <row r="11" spans="1:12">
      <c r="A11" s="331" t="s">
        <v>622</v>
      </c>
      <c r="B11" s="330"/>
      <c r="C11" s="337"/>
      <c r="D11" s="330"/>
      <c r="E11" s="330"/>
      <c r="F11" s="330"/>
      <c r="G11" s="330"/>
      <c r="H11" s="330"/>
      <c r="I11" s="330"/>
      <c r="J11" s="330"/>
      <c r="K11" s="330"/>
    </row>
    <row r="12" spans="1:12">
      <c r="A12" s="331" t="s">
        <v>621</v>
      </c>
      <c r="B12" s="330">
        <v>0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</row>
    <row r="13" spans="1:12">
      <c r="A13" s="336" t="s">
        <v>620</v>
      </c>
      <c r="B13" s="332">
        <f>18094933+22610906</f>
        <v>40705839</v>
      </c>
      <c r="C13" s="332">
        <v>44664108</v>
      </c>
      <c r="D13" s="332">
        <v>48525000</v>
      </c>
      <c r="E13" s="332">
        <v>43396000</v>
      </c>
      <c r="F13" s="332">
        <v>54445000</v>
      </c>
      <c r="G13" s="332">
        <v>59432000</v>
      </c>
      <c r="H13" s="332">
        <v>58688000</v>
      </c>
      <c r="I13" s="332">
        <v>97812000</v>
      </c>
      <c r="J13" s="332">
        <v>412755000</v>
      </c>
      <c r="K13" s="332">
        <v>850380000</v>
      </c>
    </row>
    <row r="14" spans="1:12">
      <c r="A14" s="331" t="s">
        <v>619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spans="1:12">
      <c r="A15" s="335" t="s">
        <v>618</v>
      </c>
      <c r="B15" s="334">
        <f>12488186+14070240</f>
        <v>26558426</v>
      </c>
      <c r="C15" s="334">
        <v>28605323</v>
      </c>
      <c r="D15" s="334">
        <v>30262000</v>
      </c>
      <c r="E15" s="334">
        <v>28971000</v>
      </c>
      <c r="F15" s="334">
        <v>32636000</v>
      </c>
      <c r="G15" s="334">
        <v>37800000</v>
      </c>
      <c r="H15" s="334">
        <v>31104000</v>
      </c>
      <c r="I15" s="334">
        <v>67178000</v>
      </c>
      <c r="J15" s="334">
        <v>65522000</v>
      </c>
      <c r="K15" s="334">
        <v>60218000</v>
      </c>
    </row>
    <row r="16" spans="1:12">
      <c r="A16" s="333" t="s">
        <v>617</v>
      </c>
      <c r="B16" s="332">
        <f>7891675+2250972</f>
        <v>10142647</v>
      </c>
      <c r="C16" s="332">
        <v>13814647</v>
      </c>
      <c r="D16" s="330">
        <v>23209000</v>
      </c>
      <c r="E16" s="330">
        <v>23209000</v>
      </c>
      <c r="F16" s="330">
        <v>23209000</v>
      </c>
      <c r="G16" s="330">
        <v>23735000</v>
      </c>
      <c r="H16" s="330">
        <v>32936000</v>
      </c>
      <c r="I16" s="330"/>
      <c r="J16" s="330"/>
      <c r="K16" s="330"/>
    </row>
    <row r="17" spans="1:11">
      <c r="A17" s="331" t="s">
        <v>616</v>
      </c>
      <c r="B17" s="334">
        <f>7354342+2250972</f>
        <v>9605314</v>
      </c>
      <c r="C17" s="334">
        <v>10142647</v>
      </c>
      <c r="D17" s="330">
        <v>9717000</v>
      </c>
      <c r="E17" s="330">
        <v>9717000</v>
      </c>
      <c r="F17" s="330">
        <v>9717000</v>
      </c>
      <c r="G17" s="330">
        <v>8948000</v>
      </c>
      <c r="H17" s="330">
        <v>12620000</v>
      </c>
      <c r="I17" s="330"/>
      <c r="J17" s="330"/>
      <c r="K17" s="330"/>
    </row>
    <row r="18" spans="1:11">
      <c r="A18" s="336" t="s">
        <v>615</v>
      </c>
      <c r="B18" s="332">
        <f>8128022+647915</f>
        <v>8775937</v>
      </c>
      <c r="C18" s="332">
        <v>12127937</v>
      </c>
      <c r="D18" s="332">
        <v>18732000</v>
      </c>
      <c r="E18" s="332">
        <v>16024000</v>
      </c>
      <c r="F18" s="332">
        <v>24373000</v>
      </c>
      <c r="G18" s="332">
        <v>24373000</v>
      </c>
      <c r="H18" s="332">
        <v>18699000</v>
      </c>
      <c r="I18" s="332">
        <v>18448000</v>
      </c>
      <c r="J18" s="332">
        <v>18079000</v>
      </c>
      <c r="K18" s="332">
        <v>18315000</v>
      </c>
    </row>
    <row r="19" spans="1:11">
      <c r="A19" s="335" t="s">
        <v>614</v>
      </c>
      <c r="B19" s="334">
        <f>7936862+647915</f>
        <v>8584777</v>
      </c>
      <c r="C19" s="334">
        <v>8510377</v>
      </c>
      <c r="D19" s="334">
        <v>8702000</v>
      </c>
      <c r="E19" s="334">
        <v>8347000</v>
      </c>
      <c r="F19" s="334">
        <v>9373000</v>
      </c>
      <c r="G19" s="334">
        <v>15474000</v>
      </c>
      <c r="H19" s="334">
        <v>8764000</v>
      </c>
      <c r="I19" s="334">
        <v>16014000</v>
      </c>
      <c r="J19" s="334">
        <v>16129000</v>
      </c>
      <c r="K19" s="334">
        <v>16072000</v>
      </c>
    </row>
    <row r="20" spans="1:11">
      <c r="A20" s="333" t="s">
        <v>613</v>
      </c>
      <c r="B20" s="332">
        <v>118329066</v>
      </c>
      <c r="C20" s="330">
        <v>118329066</v>
      </c>
      <c r="D20" s="330">
        <v>88231000</v>
      </c>
      <c r="E20" s="330">
        <v>88617000</v>
      </c>
      <c r="F20" s="330">
        <v>88893000</v>
      </c>
      <c r="G20" s="330">
        <v>90890000</v>
      </c>
      <c r="H20" s="330">
        <v>126294000</v>
      </c>
      <c r="I20" s="330"/>
      <c r="J20" s="330"/>
      <c r="K20" s="330"/>
    </row>
    <row r="21" spans="1:11">
      <c r="A21" s="331" t="s">
        <v>612</v>
      </c>
      <c r="B21" s="330">
        <v>845168</v>
      </c>
      <c r="C21" s="330">
        <v>845168</v>
      </c>
      <c r="D21" s="330">
        <v>845000</v>
      </c>
      <c r="E21" s="330">
        <v>945000</v>
      </c>
      <c r="F21" s="330">
        <v>845000</v>
      </c>
      <c r="G21" s="330">
        <v>845000</v>
      </c>
      <c r="H21" s="330">
        <v>1883000</v>
      </c>
      <c r="I21" s="330"/>
      <c r="J21" s="330"/>
      <c r="K21" s="330"/>
    </row>
    <row r="22" spans="1:11">
      <c r="A22" s="329" t="s">
        <v>611</v>
      </c>
      <c r="B22" s="328">
        <f>B10+B13+B16+B18+B20</f>
        <v>1240866728</v>
      </c>
      <c r="C22" s="328">
        <f>C10+C13+C16+C18+C20</f>
        <v>1263328644</v>
      </c>
      <c r="D22" s="328">
        <f>D10+D13+D16+D18+D20</f>
        <v>1324028000</v>
      </c>
      <c r="E22" s="328">
        <v>1398239000</v>
      </c>
      <c r="F22" s="328">
        <v>1416846000</v>
      </c>
      <c r="G22" s="328">
        <v>1426322000</v>
      </c>
      <c r="H22" s="328">
        <v>1469805000</v>
      </c>
      <c r="I22" s="328">
        <f>I10+I13+I16+I18</f>
        <v>1481304000</v>
      </c>
      <c r="J22" s="328">
        <f>J10+J13+J16+J18</f>
        <v>3903244000</v>
      </c>
      <c r="K22" s="328">
        <f>K10+K13+K16+K18</f>
        <v>5957427000</v>
      </c>
    </row>
    <row r="23" spans="1:11">
      <c r="A23" s="300"/>
      <c r="B23" s="300"/>
      <c r="C23" s="300"/>
      <c r="D23" s="300"/>
      <c r="E23" s="300"/>
      <c r="F23" s="300"/>
      <c r="G23" s="300"/>
      <c r="H23" s="300"/>
      <c r="I23" s="300"/>
      <c r="J23" s="300"/>
      <c r="K23" s="300"/>
    </row>
    <row r="24" spans="1:11">
      <c r="A24" s="327" t="s">
        <v>610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</row>
    <row r="25" spans="1:11">
      <c r="A25" s="327" t="s">
        <v>609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</row>
    <row r="26" spans="1:11">
      <c r="A26" s="327" t="s">
        <v>608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>
      <c r="A27" s="327" t="s">
        <v>607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</row>
  </sheetData>
  <mergeCells count="3">
    <mergeCell ref="A3:K3"/>
    <mergeCell ref="A4:K4"/>
    <mergeCell ref="G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selection activeCell="A2" sqref="A2"/>
    </sheetView>
  </sheetViews>
  <sheetFormatPr defaultRowHeight="12.75"/>
  <cols>
    <col min="1" max="1" width="63.28515625" customWidth="1"/>
    <col min="2" max="2" width="13" customWidth="1"/>
    <col min="3" max="3" width="12.5703125" customWidth="1"/>
  </cols>
  <sheetData>
    <row r="1" spans="1:5">
      <c r="A1" s="646" t="s">
        <v>930</v>
      </c>
      <c r="B1" s="646"/>
      <c r="C1" s="646"/>
      <c r="D1" s="629"/>
      <c r="E1" s="629"/>
    </row>
    <row r="2" spans="1:5" s="619" customFormat="1">
      <c r="A2" s="630"/>
      <c r="B2" s="630"/>
      <c r="C2" s="630"/>
      <c r="D2" s="630"/>
      <c r="E2" s="630"/>
    </row>
    <row r="3" spans="1:5" s="619" customFormat="1">
      <c r="A3" s="630"/>
      <c r="B3" s="630"/>
      <c r="C3" s="630"/>
      <c r="D3" s="630"/>
      <c r="E3" s="630"/>
    </row>
    <row r="4" spans="1:5">
      <c r="A4" s="674" t="s">
        <v>47</v>
      </c>
      <c r="B4" s="674"/>
      <c r="C4" s="674"/>
    </row>
    <row r="5" spans="1:5">
      <c r="A5" s="674" t="s">
        <v>813</v>
      </c>
      <c r="B5" s="674"/>
      <c r="C5" s="674"/>
    </row>
    <row r="6" spans="1:5">
      <c r="A6" s="375"/>
      <c r="B6" s="375"/>
      <c r="C6" s="375"/>
    </row>
    <row r="7" spans="1:5">
      <c r="A7" s="374"/>
      <c r="B7" s="675" t="s">
        <v>878</v>
      </c>
      <c r="C7" s="676"/>
    </row>
    <row r="8" spans="1:5">
      <c r="A8" s="373" t="s">
        <v>721</v>
      </c>
      <c r="B8" s="373" t="s">
        <v>720</v>
      </c>
      <c r="C8" s="373" t="s">
        <v>719</v>
      </c>
    </row>
    <row r="9" spans="1:5">
      <c r="A9" s="362" t="s">
        <v>718</v>
      </c>
      <c r="B9" s="360">
        <f>SUM(B10:B13)</f>
        <v>18315</v>
      </c>
      <c r="C9" s="360">
        <f>SUM(C10:C13)</f>
        <v>743</v>
      </c>
    </row>
    <row r="10" spans="1:5">
      <c r="A10" s="369" t="s">
        <v>717</v>
      </c>
      <c r="B10" s="363">
        <f>D10+F10+H10+J10+L10</f>
        <v>0</v>
      </c>
      <c r="C10" s="363">
        <f>E10+I10+K10+M10+G10</f>
        <v>0</v>
      </c>
    </row>
    <row r="11" spans="1:5">
      <c r="A11" s="369" t="s">
        <v>716</v>
      </c>
      <c r="B11" s="363">
        <v>293</v>
      </c>
      <c r="C11" s="363">
        <v>293</v>
      </c>
    </row>
    <row r="12" spans="1:5">
      <c r="A12" s="369" t="s">
        <v>715</v>
      </c>
      <c r="B12" s="363">
        <v>1950</v>
      </c>
      <c r="C12" s="363">
        <v>450</v>
      </c>
    </row>
    <row r="13" spans="1:5">
      <c r="A13" s="369" t="s">
        <v>714</v>
      </c>
      <c r="B13" s="363">
        <v>16072</v>
      </c>
      <c r="C13" s="363">
        <f>E13+I13+K13+M13+G13</f>
        <v>0</v>
      </c>
    </row>
    <row r="14" spans="1:5">
      <c r="A14" s="362" t="s">
        <v>713</v>
      </c>
      <c r="B14" s="360">
        <f>B15+B20+B25+B29</f>
        <v>5950302</v>
      </c>
      <c r="C14" s="360">
        <f>C15+C20+C25</f>
        <v>5287688</v>
      </c>
    </row>
    <row r="15" spans="1:5">
      <c r="A15" s="372" t="s">
        <v>712</v>
      </c>
      <c r="B15" s="371">
        <f>SUM(B16:B19)</f>
        <v>5088732</v>
      </c>
      <c r="C15" s="371">
        <f>C16+C17+C18+C19</f>
        <v>4628274</v>
      </c>
    </row>
    <row r="16" spans="1:5">
      <c r="A16" s="369" t="s">
        <v>711</v>
      </c>
      <c r="B16" s="363">
        <v>732888</v>
      </c>
      <c r="C16" s="363">
        <v>539882</v>
      </c>
    </row>
    <row r="17" spans="1:3" ht="25.5">
      <c r="A17" s="369" t="s">
        <v>710</v>
      </c>
      <c r="B17" s="363">
        <v>3381047</v>
      </c>
      <c r="C17" s="363">
        <v>3148374</v>
      </c>
    </row>
    <row r="18" spans="1:3" ht="25.5">
      <c r="A18" s="369" t="s">
        <v>709</v>
      </c>
      <c r="B18" s="363">
        <v>974797</v>
      </c>
      <c r="C18" s="363">
        <v>940018</v>
      </c>
    </row>
    <row r="19" spans="1:3">
      <c r="A19" s="369" t="s">
        <v>708</v>
      </c>
      <c r="B19" s="363">
        <f>D19+F19+H19+J19+L19</f>
        <v>0</v>
      </c>
      <c r="C19" s="363">
        <f>E19+I19+K19+M19+G19</f>
        <v>0</v>
      </c>
    </row>
    <row r="20" spans="1:3">
      <c r="A20" s="372" t="s">
        <v>707</v>
      </c>
      <c r="B20" s="371">
        <f>SUM(B21:B24)</f>
        <v>850380</v>
      </c>
      <c r="C20" s="371">
        <f>SUM(C21:C24)</f>
        <v>648224</v>
      </c>
    </row>
    <row r="21" spans="1:3">
      <c r="A21" s="369" t="s">
        <v>706</v>
      </c>
      <c r="B21" s="363">
        <v>0</v>
      </c>
      <c r="C21" s="363">
        <v>0</v>
      </c>
    </row>
    <row r="22" spans="1:3" ht="25.5">
      <c r="A22" s="369" t="s">
        <v>705</v>
      </c>
      <c r="B22" s="363">
        <v>382811</v>
      </c>
      <c r="C22" s="363">
        <v>275888</v>
      </c>
    </row>
    <row r="23" spans="1:3" ht="25.5">
      <c r="A23" s="369" t="s">
        <v>704</v>
      </c>
      <c r="B23" s="363">
        <v>407351</v>
      </c>
      <c r="C23" s="363">
        <v>372336</v>
      </c>
    </row>
    <row r="24" spans="1:3">
      <c r="A24" s="369" t="s">
        <v>703</v>
      </c>
      <c r="B24" s="363">
        <v>60218</v>
      </c>
      <c r="C24" s="363">
        <f>E24+I24+K24+M24+G24</f>
        <v>0</v>
      </c>
    </row>
    <row r="25" spans="1:3">
      <c r="A25" s="372" t="s">
        <v>702</v>
      </c>
      <c r="B25" s="371">
        <f>SUM(B26:B28)</f>
        <v>11190</v>
      </c>
      <c r="C25" s="371">
        <f>SUM(C26:C28)</f>
        <v>11190</v>
      </c>
    </row>
    <row r="26" spans="1:3">
      <c r="A26" s="369" t="s">
        <v>701</v>
      </c>
      <c r="B26" s="363">
        <v>6222</v>
      </c>
      <c r="C26" s="363">
        <v>6222</v>
      </c>
    </row>
    <row r="27" spans="1:3">
      <c r="A27" s="369" t="s">
        <v>700</v>
      </c>
      <c r="B27" s="363">
        <v>4428</v>
      </c>
      <c r="C27" s="363">
        <v>4428</v>
      </c>
    </row>
    <row r="28" spans="1:3">
      <c r="A28" s="369" t="s">
        <v>699</v>
      </c>
      <c r="B28" s="363">
        <v>540</v>
      </c>
      <c r="C28" s="363">
        <v>540</v>
      </c>
    </row>
    <row r="29" spans="1:3">
      <c r="A29" s="370" t="s">
        <v>698</v>
      </c>
      <c r="B29" s="363">
        <f>D29+F29+H29+J29+L29</f>
        <v>0</v>
      </c>
      <c r="C29" s="363">
        <f>E29+I29+K29+M29+G29</f>
        <v>0</v>
      </c>
    </row>
    <row r="30" spans="1:3" ht="30.6" customHeight="1">
      <c r="A30" s="362" t="s">
        <v>697</v>
      </c>
      <c r="B30" s="360">
        <f>B32+B33</f>
        <v>34686</v>
      </c>
      <c r="C30" s="360">
        <f>C32+C33</f>
        <v>34686</v>
      </c>
    </row>
    <row r="31" spans="1:3" ht="16.5" customHeight="1">
      <c r="A31" s="369" t="s">
        <v>696</v>
      </c>
      <c r="B31" s="363">
        <f>D31+F31+H31+J31+L31</f>
        <v>0</v>
      </c>
      <c r="C31" s="363">
        <f>E31+G31+I31+K31+M31</f>
        <v>0</v>
      </c>
    </row>
    <row r="32" spans="1:3" ht="23.25" customHeight="1">
      <c r="A32" s="369" t="s">
        <v>695</v>
      </c>
      <c r="B32" s="363">
        <v>6000</v>
      </c>
      <c r="C32" s="363">
        <v>6000</v>
      </c>
    </row>
    <row r="33" spans="1:3" ht="21.75" customHeight="1">
      <c r="A33" s="369" t="s">
        <v>694</v>
      </c>
      <c r="B33" s="363">
        <v>28686</v>
      </c>
      <c r="C33" s="363">
        <v>28686</v>
      </c>
    </row>
    <row r="34" spans="1:3" ht="27" customHeight="1">
      <c r="A34" s="618" t="s">
        <v>693</v>
      </c>
      <c r="B34" s="363">
        <f>D34+F34+H34+J34+L34</f>
        <v>0</v>
      </c>
      <c r="C34" s="363">
        <f>E34+G34+I34+K34+M34</f>
        <v>0</v>
      </c>
    </row>
    <row r="35" spans="1:3" ht="25.5">
      <c r="A35" s="618" t="s">
        <v>892</v>
      </c>
      <c r="B35" s="363">
        <f>D35+F35+H35+J35+L35</f>
        <v>0</v>
      </c>
      <c r="C35" s="363">
        <f>E35+G35+I35+K35+M35</f>
        <v>0</v>
      </c>
    </row>
    <row r="36" spans="1:3" ht="25.5">
      <c r="A36" s="618" t="s">
        <v>893</v>
      </c>
      <c r="B36" s="363">
        <v>0</v>
      </c>
      <c r="C36" s="363">
        <v>0</v>
      </c>
    </row>
    <row r="37" spans="1:3" ht="21" customHeight="1">
      <c r="A37" s="368" t="s">
        <v>692</v>
      </c>
      <c r="B37" s="363">
        <f>D37+F37+H37+J37+L37</f>
        <v>0</v>
      </c>
      <c r="C37" s="363">
        <f>E37+G37+I37+K37+M37</f>
        <v>0</v>
      </c>
    </row>
    <row r="38" spans="1:3" ht="25.9" customHeight="1">
      <c r="A38" s="362" t="s">
        <v>691</v>
      </c>
      <c r="B38" s="360">
        <f>D38+F38+H38+J38+L38</f>
        <v>0</v>
      </c>
      <c r="C38" s="360">
        <f>E38+I38+K38+M38+G38</f>
        <v>0</v>
      </c>
    </row>
    <row r="39" spans="1:3" ht="33.6" customHeight="1">
      <c r="A39" s="367" t="s">
        <v>690</v>
      </c>
      <c r="B39" s="360">
        <f>D39+F39+H39+J39+L39</f>
        <v>0</v>
      </c>
      <c r="C39" s="360">
        <f>E39+I39+K39+M39+G39</f>
        <v>0</v>
      </c>
    </row>
    <row r="40" spans="1:3" ht="24" customHeight="1">
      <c r="A40" s="366" t="s">
        <v>689</v>
      </c>
      <c r="B40" s="360">
        <v>270000</v>
      </c>
      <c r="C40" s="360">
        <v>270000</v>
      </c>
    </row>
    <row r="41" spans="1:3" ht="28.15" customHeight="1">
      <c r="A41" s="366" t="s">
        <v>688</v>
      </c>
      <c r="B41" s="360">
        <v>108466</v>
      </c>
      <c r="C41" s="360">
        <v>108466</v>
      </c>
    </row>
    <row r="42" spans="1:3" ht="30" customHeight="1">
      <c r="A42" s="364" t="s">
        <v>687</v>
      </c>
      <c r="B42" s="363">
        <v>108466</v>
      </c>
      <c r="C42" s="363">
        <v>108466</v>
      </c>
    </row>
    <row r="43" spans="1:3" ht="32.450000000000003" customHeight="1">
      <c r="A43" s="362" t="s">
        <v>686</v>
      </c>
      <c r="B43" s="360">
        <f>SUM(B44:B46)</f>
        <v>23541</v>
      </c>
      <c r="C43" s="360">
        <f>SUM(C44:C46)</f>
        <v>23541</v>
      </c>
    </row>
    <row r="44" spans="1:3" ht="36" customHeight="1">
      <c r="A44" s="364" t="s">
        <v>685</v>
      </c>
      <c r="B44" s="363">
        <v>23036</v>
      </c>
      <c r="C44" s="363">
        <v>23036</v>
      </c>
    </row>
    <row r="45" spans="1:3" ht="34.15" customHeight="1">
      <c r="A45" s="364" t="s">
        <v>684</v>
      </c>
      <c r="B45" s="363">
        <v>26</v>
      </c>
      <c r="C45" s="363">
        <v>26</v>
      </c>
    </row>
    <row r="46" spans="1:3" ht="30" customHeight="1">
      <c r="A46" s="365" t="s">
        <v>683</v>
      </c>
      <c r="B46" s="363">
        <v>479</v>
      </c>
      <c r="C46" s="363">
        <v>479</v>
      </c>
    </row>
    <row r="47" spans="1:3" ht="31.9" customHeight="1">
      <c r="A47" s="362" t="s">
        <v>682</v>
      </c>
      <c r="B47" s="360">
        <f>SUM(B48)</f>
        <v>3948</v>
      </c>
      <c r="C47" s="360">
        <f>SUM(C48)</f>
        <v>3948</v>
      </c>
    </row>
    <row r="48" spans="1:3" ht="29.45" customHeight="1">
      <c r="A48" s="364" t="s">
        <v>681</v>
      </c>
      <c r="B48" s="363">
        <v>3948</v>
      </c>
      <c r="C48" s="363">
        <v>3948</v>
      </c>
    </row>
    <row r="49" spans="1:3" ht="33" customHeight="1">
      <c r="A49" s="362" t="s">
        <v>680</v>
      </c>
      <c r="B49" s="360">
        <f>D49+F49+H49+J49+L49</f>
        <v>0</v>
      </c>
      <c r="C49" s="360">
        <f>E49+G49+I49+K49+M49</f>
        <v>0</v>
      </c>
    </row>
    <row r="50" spans="1:3" ht="25.15" customHeight="1">
      <c r="A50" s="361" t="s">
        <v>679</v>
      </c>
      <c r="B50" s="360">
        <f>B9+B14+B30+B38+B39+B40+B41+B43+B47+B49</f>
        <v>6409258</v>
      </c>
      <c r="C50" s="360">
        <f>C9+C14+C30+C38+C39+C40+C41+C43+C47+C49</f>
        <v>5729072</v>
      </c>
    </row>
    <row r="51" spans="1:3">
      <c r="A51" s="358"/>
      <c r="B51" s="359"/>
      <c r="C51" s="359"/>
    </row>
    <row r="52" spans="1:3">
      <c r="A52" s="358"/>
      <c r="B52" s="355"/>
      <c r="C52" s="355"/>
    </row>
    <row r="53" spans="1:3" ht="26.25" customHeight="1">
      <c r="A53" s="357" t="s">
        <v>495</v>
      </c>
      <c r="B53" s="356" t="s">
        <v>678</v>
      </c>
      <c r="C53" s="355"/>
    </row>
    <row r="54" spans="1:3" ht="29.45" customHeight="1">
      <c r="A54" s="348" t="s">
        <v>677</v>
      </c>
      <c r="B54" s="347">
        <f>SUM(B55:B60)</f>
        <v>3412901</v>
      </c>
      <c r="C54" s="355"/>
    </row>
    <row r="55" spans="1:3" ht="26.45" customHeight="1">
      <c r="A55" s="350" t="s">
        <v>676</v>
      </c>
      <c r="B55" s="351">
        <v>3444208</v>
      </c>
      <c r="C55" s="354"/>
    </row>
    <row r="56" spans="1:3" ht="23.45" customHeight="1">
      <c r="A56" s="350" t="s">
        <v>675</v>
      </c>
      <c r="B56" s="351">
        <v>323981</v>
      </c>
      <c r="C56" s="354"/>
    </row>
    <row r="57" spans="1:3" ht="26.45" customHeight="1">
      <c r="A57" s="350" t="s">
        <v>674</v>
      </c>
      <c r="B57" s="351">
        <v>17146</v>
      </c>
      <c r="C57" s="354"/>
    </row>
    <row r="58" spans="1:3" ht="22.15" customHeight="1">
      <c r="A58" s="350" t="s">
        <v>673</v>
      </c>
      <c r="B58" s="351">
        <v>-526355</v>
      </c>
      <c r="C58" s="354"/>
    </row>
    <row r="59" spans="1:3" ht="26.45" customHeight="1">
      <c r="A59" s="350" t="s">
        <v>672</v>
      </c>
      <c r="B59" s="351">
        <v>0</v>
      </c>
      <c r="C59" s="354"/>
    </row>
    <row r="60" spans="1:3" ht="27" customHeight="1">
      <c r="A60" s="350" t="s">
        <v>671</v>
      </c>
      <c r="B60" s="351">
        <v>153921</v>
      </c>
      <c r="C60" s="354"/>
    </row>
    <row r="61" spans="1:3" ht="30.75" customHeight="1">
      <c r="A61" s="348" t="s">
        <v>670</v>
      </c>
      <c r="B61" s="347">
        <f>SUM(B62:B70)</f>
        <v>848</v>
      </c>
      <c r="C61" s="354"/>
    </row>
    <row r="62" spans="1:3" ht="31.5" customHeight="1">
      <c r="A62" s="350" t="s">
        <v>669</v>
      </c>
      <c r="B62" s="351">
        <v>0</v>
      </c>
      <c r="C62" s="354"/>
    </row>
    <row r="63" spans="1:3" ht="30.6" customHeight="1">
      <c r="A63" s="350" t="s">
        <v>668</v>
      </c>
      <c r="B63" s="351">
        <v>0</v>
      </c>
      <c r="C63" s="354"/>
    </row>
    <row r="64" spans="1:3" ht="19.5" customHeight="1">
      <c r="A64" s="350" t="s">
        <v>667</v>
      </c>
      <c r="B64" s="351">
        <v>840</v>
      </c>
      <c r="C64" s="354"/>
    </row>
    <row r="65" spans="1:3" ht="31.15" customHeight="1">
      <c r="A65" s="350" t="s">
        <v>666</v>
      </c>
      <c r="B65" s="351">
        <v>0</v>
      </c>
      <c r="C65" s="354"/>
    </row>
    <row r="66" spans="1:3" ht="33" customHeight="1">
      <c r="A66" s="350" t="s">
        <v>665</v>
      </c>
      <c r="B66" s="351">
        <v>0</v>
      </c>
      <c r="C66" s="354"/>
    </row>
    <row r="67" spans="1:3" ht="17.25" customHeight="1">
      <c r="A67" s="350" t="s">
        <v>664</v>
      </c>
      <c r="B67" s="351">
        <v>0</v>
      </c>
      <c r="C67" s="354"/>
    </row>
    <row r="68" spans="1:3" ht="24.6" customHeight="1">
      <c r="A68" s="350" t="s">
        <v>663</v>
      </c>
      <c r="B68" s="351">
        <v>8</v>
      </c>
      <c r="C68" s="354"/>
    </row>
    <row r="69" spans="1:3" ht="25.5">
      <c r="A69" s="350" t="s">
        <v>662</v>
      </c>
      <c r="B69" s="351">
        <v>0</v>
      </c>
      <c r="C69" s="354"/>
    </row>
    <row r="70" spans="1:3" ht="28.5" customHeight="1">
      <c r="A70" s="350" t="s">
        <v>661</v>
      </c>
      <c r="B70" s="351">
        <v>0</v>
      </c>
      <c r="C70" s="354"/>
    </row>
    <row r="71" spans="1:3">
      <c r="A71" s="348" t="s">
        <v>660</v>
      </c>
      <c r="B71" s="347">
        <f>SUM(B72:B81)</f>
        <v>243527</v>
      </c>
      <c r="C71" s="346"/>
    </row>
    <row r="72" spans="1:3" ht="25.5">
      <c r="A72" s="350" t="s">
        <v>659</v>
      </c>
      <c r="B72" s="351">
        <v>0</v>
      </c>
      <c r="C72" s="346"/>
    </row>
    <row r="73" spans="1:3" ht="25.5">
      <c r="A73" s="350" t="s">
        <v>658</v>
      </c>
      <c r="B73" s="351">
        <v>0</v>
      </c>
      <c r="C73" s="346"/>
    </row>
    <row r="74" spans="1:3" ht="36.6" customHeight="1">
      <c r="A74" s="350" t="s">
        <v>657</v>
      </c>
      <c r="B74" s="351">
        <v>0</v>
      </c>
      <c r="C74" s="346"/>
    </row>
    <row r="75" spans="1:3" ht="34.9" customHeight="1">
      <c r="A75" s="350" t="s">
        <v>656</v>
      </c>
      <c r="B75" s="351">
        <v>0</v>
      </c>
      <c r="C75" s="346"/>
    </row>
    <row r="76" spans="1:3" ht="33" customHeight="1">
      <c r="A76" s="350" t="s">
        <v>655</v>
      </c>
      <c r="B76" s="351">
        <v>22</v>
      </c>
      <c r="C76" s="346"/>
    </row>
    <row r="77" spans="1:3" ht="37.15" customHeight="1">
      <c r="A77" s="350" t="s">
        <v>654</v>
      </c>
      <c r="B77" s="351">
        <v>0</v>
      </c>
      <c r="C77" s="346"/>
    </row>
    <row r="78" spans="1:3" ht="31.15" customHeight="1">
      <c r="A78" s="350" t="s">
        <v>653</v>
      </c>
      <c r="B78" s="351">
        <v>0</v>
      </c>
      <c r="C78" s="346"/>
    </row>
    <row r="79" spans="1:3" ht="36.6" customHeight="1">
      <c r="A79" s="350" t="s">
        <v>652</v>
      </c>
      <c r="B79" s="351">
        <v>0</v>
      </c>
      <c r="C79" s="346"/>
    </row>
    <row r="80" spans="1:3" ht="37.15" customHeight="1">
      <c r="A80" s="350" t="s">
        <v>651</v>
      </c>
      <c r="B80" s="351">
        <v>233336</v>
      </c>
      <c r="C80" s="346"/>
    </row>
    <row r="81" spans="1:3" ht="33.6" customHeight="1">
      <c r="A81" s="350" t="s">
        <v>650</v>
      </c>
      <c r="B81" s="351">
        <v>10169</v>
      </c>
      <c r="C81" s="346"/>
    </row>
    <row r="82" spans="1:3" ht="28.15" customHeight="1">
      <c r="A82" s="348" t="s">
        <v>649</v>
      </c>
      <c r="B82" s="353">
        <f>SUM(B83:B90)</f>
        <v>36940</v>
      </c>
      <c r="C82" s="346"/>
    </row>
    <row r="83" spans="1:3" ht="27" customHeight="1">
      <c r="A83" s="350" t="s">
        <v>648</v>
      </c>
      <c r="B83" s="351">
        <v>8482</v>
      </c>
      <c r="C83" s="346"/>
    </row>
    <row r="84" spans="1:3" ht="33.6" customHeight="1">
      <c r="A84" s="350" t="s">
        <v>647</v>
      </c>
      <c r="B84" s="351">
        <v>0</v>
      </c>
      <c r="C84" s="346"/>
    </row>
    <row r="85" spans="1:3" ht="31.9" customHeight="1">
      <c r="A85" s="350" t="s">
        <v>646</v>
      </c>
      <c r="B85" s="351">
        <v>409</v>
      </c>
      <c r="C85" s="346"/>
    </row>
    <row r="86" spans="1:3" ht="28.15" customHeight="1">
      <c r="A86" s="350" t="s">
        <v>645</v>
      </c>
      <c r="B86" s="351">
        <v>0</v>
      </c>
      <c r="C86" s="346"/>
    </row>
    <row r="87" spans="1:3" ht="29.45" customHeight="1">
      <c r="A87" s="350" t="s">
        <v>644</v>
      </c>
      <c r="B87" s="351">
        <v>0</v>
      </c>
      <c r="C87" s="346"/>
    </row>
    <row r="88" spans="1:3" ht="39" customHeight="1">
      <c r="A88" s="350" t="s">
        <v>643</v>
      </c>
      <c r="B88" s="351">
        <v>0</v>
      </c>
      <c r="C88" s="346"/>
    </row>
    <row r="89" spans="1:3" ht="38.450000000000003" customHeight="1">
      <c r="A89" s="350" t="s">
        <v>642</v>
      </c>
      <c r="B89" s="351">
        <v>0</v>
      </c>
      <c r="C89" s="346"/>
    </row>
    <row r="90" spans="1:3" ht="36" customHeight="1">
      <c r="A90" s="352" t="s">
        <v>641</v>
      </c>
      <c r="B90" s="351">
        <v>28049</v>
      </c>
      <c r="C90" s="346"/>
    </row>
    <row r="91" spans="1:3" ht="28.15" customHeight="1">
      <c r="A91" s="348" t="s">
        <v>640</v>
      </c>
      <c r="B91" s="347">
        <f>B61+B71+B82</f>
        <v>281315</v>
      </c>
      <c r="C91" s="346"/>
    </row>
    <row r="92" spans="1:3" ht="32.450000000000003" customHeight="1">
      <c r="A92" s="348" t="s">
        <v>639</v>
      </c>
      <c r="B92" s="347">
        <v>0</v>
      </c>
      <c r="C92" s="346"/>
    </row>
    <row r="93" spans="1:3" ht="36.6" customHeight="1">
      <c r="A93" s="348" t="s">
        <v>897</v>
      </c>
      <c r="B93" s="347">
        <v>0</v>
      </c>
      <c r="C93" s="346"/>
    </row>
    <row r="94" spans="1:3" ht="34.9" customHeight="1">
      <c r="A94" s="348" t="s">
        <v>638</v>
      </c>
      <c r="B94" s="347">
        <f>B96+B97</f>
        <v>2034856</v>
      </c>
      <c r="C94" s="346"/>
    </row>
    <row r="95" spans="1:3" ht="30" customHeight="1">
      <c r="A95" s="350" t="s">
        <v>637</v>
      </c>
      <c r="B95" s="349">
        <v>0</v>
      </c>
      <c r="C95" s="346"/>
    </row>
    <row r="96" spans="1:3" ht="27" customHeight="1">
      <c r="A96" s="350" t="s">
        <v>636</v>
      </c>
      <c r="B96" s="349">
        <v>31958</v>
      </c>
      <c r="C96" s="346"/>
    </row>
    <row r="97" spans="1:3" ht="26.45" customHeight="1">
      <c r="A97" s="350" t="s">
        <v>635</v>
      </c>
      <c r="B97" s="349">
        <v>2002898</v>
      </c>
      <c r="C97" s="346"/>
    </row>
    <row r="98" spans="1:3" ht="33" customHeight="1">
      <c r="A98" s="348" t="s">
        <v>634</v>
      </c>
      <c r="B98" s="347">
        <f>B54+B91+B94</f>
        <v>5729072</v>
      </c>
      <c r="C98" s="346"/>
    </row>
  </sheetData>
  <mergeCells count="4">
    <mergeCell ref="A4:C4"/>
    <mergeCell ref="A5:C5"/>
    <mergeCell ref="B7:C7"/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C2" sqref="C2"/>
    </sheetView>
  </sheetViews>
  <sheetFormatPr defaultRowHeight="12.75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>
      <c r="C1" s="679" t="s">
        <v>931</v>
      </c>
      <c r="D1" s="679"/>
      <c r="E1" s="679"/>
      <c r="F1" s="679"/>
      <c r="G1" s="679"/>
    </row>
    <row r="2" spans="1:7"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558" t="s">
        <v>763</v>
      </c>
      <c r="B4" s="508" t="s">
        <v>815</v>
      </c>
      <c r="D4" s="1"/>
      <c r="E4" s="1"/>
      <c r="F4" s="1"/>
      <c r="G4" s="1"/>
    </row>
    <row r="5" spans="1:7">
      <c r="A5" s="558" t="s">
        <v>571</v>
      </c>
      <c r="B5" s="1"/>
      <c r="C5" s="1"/>
      <c r="D5" s="1"/>
      <c r="E5" s="1"/>
      <c r="F5" s="1"/>
      <c r="G5" s="1"/>
    </row>
    <row r="6" spans="1:7" ht="13.5" thickBot="1">
      <c r="A6" s="1"/>
      <c r="B6" s="507"/>
      <c r="C6" s="1"/>
      <c r="D6" s="1"/>
      <c r="E6" s="1"/>
      <c r="F6" s="2" t="s">
        <v>808</v>
      </c>
      <c r="G6" s="633"/>
    </row>
    <row r="7" spans="1:7">
      <c r="A7" s="533" t="s">
        <v>570</v>
      </c>
      <c r="B7" s="677" t="s">
        <v>807</v>
      </c>
      <c r="C7" s="678"/>
      <c r="D7" s="636" t="s">
        <v>806</v>
      </c>
      <c r="E7" s="637"/>
      <c r="F7" s="506"/>
      <c r="G7" s="505" t="s">
        <v>805</v>
      </c>
    </row>
    <row r="8" spans="1:7">
      <c r="A8" s="466"/>
      <c r="B8" s="638"/>
      <c r="C8" s="639"/>
      <c r="D8" s="640" t="s">
        <v>804</v>
      </c>
      <c r="E8" s="641"/>
      <c r="F8" s="504"/>
      <c r="G8" s="503"/>
    </row>
    <row r="9" spans="1:7">
      <c r="A9" s="466"/>
      <c r="B9" s="638"/>
      <c r="C9" s="639"/>
      <c r="D9" s="640"/>
      <c r="E9" s="641"/>
      <c r="F9" s="504"/>
      <c r="G9" s="503"/>
    </row>
    <row r="10" spans="1:7">
      <c r="A10" s="532"/>
      <c r="B10" s="642" t="s">
        <v>803</v>
      </c>
      <c r="C10" s="643" t="s">
        <v>802</v>
      </c>
      <c r="D10" s="644" t="s">
        <v>803</v>
      </c>
      <c r="E10" s="642" t="s">
        <v>802</v>
      </c>
      <c r="F10" s="448" t="s">
        <v>803</v>
      </c>
      <c r="G10" s="502" t="s">
        <v>802</v>
      </c>
    </row>
    <row r="11" spans="1:7" ht="13.5" thickBot="1">
      <c r="A11" s="531"/>
      <c r="B11" s="499"/>
      <c r="C11" s="501"/>
      <c r="D11" s="500"/>
      <c r="E11" s="499"/>
      <c r="F11" s="498"/>
      <c r="G11" s="497"/>
    </row>
    <row r="12" spans="1:7">
      <c r="A12" s="496" t="s">
        <v>801</v>
      </c>
      <c r="B12" s="530"/>
      <c r="C12" s="495"/>
      <c r="D12" s="459"/>
      <c r="E12" s="495"/>
      <c r="F12" s="456"/>
      <c r="G12" s="494"/>
    </row>
    <row r="13" spans="1:7">
      <c r="A13" s="466" t="s">
        <v>800</v>
      </c>
      <c r="B13" s="529"/>
      <c r="C13" s="464"/>
      <c r="D13" s="469"/>
      <c r="E13" s="479"/>
      <c r="F13" s="467"/>
      <c r="G13" s="493"/>
    </row>
    <row r="14" spans="1:7">
      <c r="A14" s="466" t="s">
        <v>799</v>
      </c>
      <c r="B14" s="519">
        <v>798</v>
      </c>
      <c r="C14" s="464">
        <v>4788000</v>
      </c>
      <c r="D14" s="528">
        <v>0</v>
      </c>
      <c r="E14" s="468">
        <v>0</v>
      </c>
      <c r="F14" s="487">
        <f>B14+D14</f>
        <v>798</v>
      </c>
      <c r="G14" s="492">
        <f>C14+E14</f>
        <v>4788000</v>
      </c>
    </row>
    <row r="15" spans="1:7">
      <c r="A15" s="466"/>
      <c r="C15" s="488"/>
      <c r="D15" s="491"/>
      <c r="E15" s="490"/>
      <c r="F15" s="489"/>
      <c r="G15" s="488"/>
    </row>
    <row r="16" spans="1:7">
      <c r="A16" s="466" t="s">
        <v>796</v>
      </c>
      <c r="B16" s="519">
        <v>1</v>
      </c>
      <c r="C16" s="464">
        <v>6000</v>
      </c>
      <c r="D16" s="469">
        <v>0</v>
      </c>
      <c r="E16" s="479">
        <v>0</v>
      </c>
      <c r="F16" s="487">
        <f>B16+D16</f>
        <v>1</v>
      </c>
      <c r="G16" s="486">
        <f>C16+E16</f>
        <v>6000</v>
      </c>
    </row>
    <row r="17" spans="1:7">
      <c r="A17" s="485" t="s">
        <v>798</v>
      </c>
      <c r="B17" s="527"/>
      <c r="C17" s="484"/>
      <c r="D17" s="483"/>
      <c r="E17" s="482"/>
      <c r="F17" s="481"/>
      <c r="G17" s="480"/>
    </row>
    <row r="18" spans="1:7">
      <c r="A18" s="466"/>
      <c r="B18" s="519"/>
      <c r="C18" s="464"/>
      <c r="D18" s="469"/>
      <c r="E18" s="479"/>
      <c r="F18" s="465"/>
      <c r="G18" s="470"/>
    </row>
    <row r="19" spans="1:7">
      <c r="A19" s="466" t="s">
        <v>796</v>
      </c>
      <c r="B19" s="526">
        <v>0</v>
      </c>
      <c r="C19" s="462">
        <v>0</v>
      </c>
      <c r="D19" s="469">
        <v>1</v>
      </c>
      <c r="E19" s="468">
        <v>316055</v>
      </c>
      <c r="F19" s="467">
        <v>1</v>
      </c>
      <c r="G19" s="521">
        <f>E19</f>
        <v>316055</v>
      </c>
    </row>
    <row r="20" spans="1:7">
      <c r="A20" s="478"/>
      <c r="B20" s="525"/>
      <c r="C20" s="477"/>
      <c r="D20" s="476"/>
      <c r="E20" s="475"/>
      <c r="F20" s="474"/>
      <c r="G20" s="473"/>
    </row>
    <row r="21" spans="1:7">
      <c r="A21" s="485" t="s">
        <v>797</v>
      </c>
      <c r="B21" s="519"/>
      <c r="C21" s="464"/>
      <c r="D21" s="463"/>
      <c r="E21" s="462"/>
      <c r="F21" s="465"/>
      <c r="G21" s="470"/>
    </row>
    <row r="22" spans="1:7">
      <c r="A22" s="466"/>
      <c r="B22" s="524"/>
      <c r="C22" s="464"/>
      <c r="D22" s="472"/>
      <c r="E22" s="462"/>
      <c r="F22" s="471"/>
      <c r="G22" s="470"/>
    </row>
    <row r="23" spans="1:7">
      <c r="A23" s="466" t="s">
        <v>796</v>
      </c>
      <c r="B23" s="523">
        <v>1</v>
      </c>
      <c r="C23" s="462">
        <v>592650</v>
      </c>
      <c r="D23" s="469">
        <v>3</v>
      </c>
      <c r="E23" s="468">
        <v>74730</v>
      </c>
      <c r="F23" s="522">
        <f>B23+D23</f>
        <v>4</v>
      </c>
      <c r="G23" s="521">
        <f>C23+E23</f>
        <v>667380</v>
      </c>
    </row>
    <row r="24" spans="1:7" ht="13.5" thickBot="1">
      <c r="A24" s="520"/>
      <c r="B24" s="519"/>
      <c r="C24" s="464"/>
      <c r="D24" s="463"/>
      <c r="E24" s="462"/>
      <c r="F24" s="461"/>
      <c r="G24" s="460"/>
    </row>
    <row r="25" spans="1:7">
      <c r="A25" s="451" t="s">
        <v>795</v>
      </c>
      <c r="B25" s="518"/>
      <c r="C25" s="455"/>
      <c r="D25" s="458"/>
      <c r="E25" s="457"/>
      <c r="F25" s="456"/>
      <c r="G25" s="455"/>
    </row>
    <row r="26" spans="1:7">
      <c r="A26" s="451" t="s">
        <v>794</v>
      </c>
      <c r="B26" s="454">
        <f>B14</f>
        <v>798</v>
      </c>
      <c r="C26" s="452">
        <f>C14</f>
        <v>4788000</v>
      </c>
      <c r="D26" s="452">
        <v>0</v>
      </c>
      <c r="E26" s="454">
        <v>0</v>
      </c>
      <c r="F26" s="453">
        <f>F14</f>
        <v>798</v>
      </c>
      <c r="G26" s="452">
        <f>G14</f>
        <v>4788000</v>
      </c>
    </row>
    <row r="27" spans="1:7">
      <c r="A27" s="517"/>
      <c r="B27" s="516"/>
      <c r="C27" s="512"/>
      <c r="D27" s="515"/>
      <c r="E27" s="514"/>
      <c r="F27" s="513"/>
      <c r="G27" s="512"/>
    </row>
    <row r="28" spans="1:7">
      <c r="A28" s="451"/>
      <c r="B28" s="511"/>
      <c r="C28" s="447"/>
      <c r="D28" s="450"/>
      <c r="E28" s="449"/>
      <c r="F28" s="448"/>
      <c r="G28" s="447"/>
    </row>
    <row r="29" spans="1:7" ht="13.5" thickBot="1">
      <c r="A29" s="446" t="s">
        <v>793</v>
      </c>
      <c r="B29" s="510">
        <f>B23+B16</f>
        <v>2</v>
      </c>
      <c r="C29" s="509">
        <f>C23+C16</f>
        <v>598650</v>
      </c>
      <c r="D29" s="444">
        <f>D19+D23</f>
        <v>4</v>
      </c>
      <c r="E29" s="444">
        <f>E19+E23</f>
        <v>390785</v>
      </c>
      <c r="F29" s="445">
        <f>F16+F19+F23</f>
        <v>6</v>
      </c>
      <c r="G29" s="444">
        <f>G16+G19+G23</f>
        <v>989435</v>
      </c>
    </row>
    <row r="30" spans="1:7">
      <c r="G30" s="231"/>
    </row>
    <row r="31" spans="1:7">
      <c r="A31" s="433" t="s">
        <v>792</v>
      </c>
    </row>
    <row r="32" spans="1:7">
      <c r="A32" s="433" t="s">
        <v>814</v>
      </c>
      <c r="G32" t="s">
        <v>255</v>
      </c>
    </row>
    <row r="33" spans="1:3" ht="13.5" thickBot="1">
      <c r="A33" s="443"/>
      <c r="B33" s="443"/>
    </row>
    <row r="34" spans="1:3">
      <c r="A34" s="442" t="s">
        <v>570</v>
      </c>
      <c r="B34" s="441" t="s">
        <v>791</v>
      </c>
    </row>
    <row r="35" spans="1:3">
      <c r="A35" s="439"/>
      <c r="B35" s="438"/>
    </row>
    <row r="36" spans="1:3">
      <c r="A36" s="439" t="s">
        <v>790</v>
      </c>
      <c r="B36" s="440">
        <v>4836000</v>
      </c>
    </row>
    <row r="37" spans="1:3">
      <c r="A37" s="439"/>
      <c r="B37" s="438"/>
    </row>
    <row r="38" spans="1:3" ht="13.5" thickBot="1">
      <c r="A38" s="437" t="s">
        <v>789</v>
      </c>
      <c r="B38" s="436">
        <v>387000</v>
      </c>
    </row>
    <row r="40" spans="1:3" hidden="1">
      <c r="A40" t="s">
        <v>788</v>
      </c>
      <c r="B40">
        <f>43*10*3500</f>
        <v>1505000</v>
      </c>
      <c r="C40" t="s">
        <v>787</v>
      </c>
    </row>
    <row r="41" spans="1:3" hidden="1">
      <c r="A41" t="s">
        <v>786</v>
      </c>
      <c r="B41">
        <f>43*7*3000</f>
        <v>903000</v>
      </c>
      <c r="C41" t="s">
        <v>784</v>
      </c>
    </row>
    <row r="42" spans="1:3" hidden="1">
      <c r="A42" t="s">
        <v>785</v>
      </c>
      <c r="B42">
        <f>52*24*3000</f>
        <v>3744000</v>
      </c>
      <c r="C42" t="s">
        <v>784</v>
      </c>
    </row>
    <row r="43" spans="1:3" hidden="1">
      <c r="A43" t="s">
        <v>783</v>
      </c>
      <c r="B43">
        <f>52*6*3000</f>
        <v>936000</v>
      </c>
    </row>
    <row r="44" spans="1:3" hidden="1"/>
    <row r="45" spans="1:3" hidden="1">
      <c r="A45" t="s">
        <v>782</v>
      </c>
      <c r="B45">
        <f>B40+B41+B43</f>
        <v>3344000</v>
      </c>
    </row>
  </sheetData>
  <mergeCells count="2">
    <mergeCell ref="B7:C7"/>
    <mergeCell ref="C1:G1"/>
  </mergeCells>
  <pageMargins left="0.74803149606299213" right="0.74803149606299213" top="0.59055118110236227" bottom="0.59055118110236227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A2" sqref="A2"/>
    </sheetView>
  </sheetViews>
  <sheetFormatPr defaultRowHeight="12.75"/>
  <cols>
    <col min="2" max="2" width="7.140625" customWidth="1"/>
    <col min="4" max="4" width="22.7109375" customWidth="1"/>
    <col min="5" max="5" width="31.28515625" customWidth="1"/>
    <col min="6" max="6" width="17.7109375" customWidth="1"/>
    <col min="7" max="7" width="24.42578125" customWidth="1"/>
  </cols>
  <sheetData>
    <row r="1" spans="1:11">
      <c r="A1" s="680" t="s">
        <v>932</v>
      </c>
      <c r="B1" s="681"/>
      <c r="C1" s="681"/>
      <c r="D1" s="681"/>
      <c r="E1" s="681"/>
      <c r="F1" s="376"/>
      <c r="G1" s="376"/>
      <c r="H1" s="376"/>
      <c r="I1" s="376"/>
      <c r="J1" s="376"/>
      <c r="K1" s="376"/>
    </row>
    <row r="2" spans="1:11" s="619" customFormat="1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 s="619" customFormat="1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4" spans="1:11">
      <c r="A4" s="387" t="s">
        <v>730</v>
      </c>
      <c r="B4" s="387"/>
      <c r="C4" s="387"/>
      <c r="D4" s="387"/>
      <c r="E4" s="627"/>
      <c r="H4" s="385"/>
      <c r="I4" s="385"/>
      <c r="J4" s="388"/>
      <c r="K4" s="376"/>
    </row>
    <row r="5" spans="1:11">
      <c r="A5" s="387" t="s">
        <v>571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</row>
    <row r="6" spans="1:11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</row>
    <row r="7" spans="1:11">
      <c r="A7" s="376"/>
      <c r="B7" s="376"/>
      <c r="C7" s="386"/>
      <c r="D7" s="386"/>
      <c r="E7" s="386"/>
      <c r="F7" s="386"/>
      <c r="G7" s="386"/>
      <c r="H7" s="386"/>
      <c r="I7" s="386"/>
      <c r="J7" s="386"/>
      <c r="K7" s="386"/>
    </row>
    <row r="8" spans="1:11">
      <c r="A8" s="682" t="s">
        <v>816</v>
      </c>
      <c r="B8" s="682"/>
      <c r="C8" s="682"/>
      <c r="D8" s="682"/>
      <c r="E8" s="682"/>
      <c r="F8" s="385"/>
      <c r="G8" s="385"/>
      <c r="H8" s="385"/>
      <c r="I8" s="385"/>
      <c r="J8" s="384"/>
      <c r="K8" s="384"/>
    </row>
    <row r="9" spans="1:11">
      <c r="A9" s="385" t="s">
        <v>729</v>
      </c>
      <c r="B9" s="385"/>
      <c r="C9" s="385"/>
      <c r="D9" s="385"/>
      <c r="E9" s="385"/>
      <c r="F9" s="385"/>
      <c r="G9" s="385"/>
      <c r="H9" s="385"/>
      <c r="I9" s="385"/>
      <c r="J9" s="384"/>
      <c r="K9" s="384"/>
    </row>
    <row r="10" spans="1:11">
      <c r="A10" s="385"/>
      <c r="B10" s="385"/>
      <c r="C10" s="385"/>
      <c r="D10" s="385"/>
      <c r="E10" s="385"/>
      <c r="F10" s="385"/>
      <c r="G10" s="385"/>
      <c r="H10" s="385"/>
      <c r="I10" s="385"/>
      <c r="J10" s="384"/>
      <c r="K10" s="384"/>
    </row>
    <row r="11" spans="1:11">
      <c r="A11" s="376"/>
      <c r="B11" s="376"/>
      <c r="C11" s="376"/>
      <c r="D11" s="376"/>
      <c r="E11" s="376"/>
      <c r="F11" s="376"/>
      <c r="G11" s="376"/>
      <c r="H11" s="376"/>
      <c r="I11" s="376"/>
      <c r="J11" s="376"/>
      <c r="K11" s="376"/>
    </row>
    <row r="12" spans="1:11">
      <c r="A12" s="383" t="s">
        <v>728</v>
      </c>
      <c r="B12" s="376"/>
      <c r="C12" s="376"/>
      <c r="D12" s="376"/>
      <c r="E12" s="376"/>
      <c r="F12" s="376"/>
      <c r="G12" s="376"/>
      <c r="H12" s="376"/>
      <c r="I12" s="376"/>
    </row>
    <row r="13" spans="1:11">
      <c r="A13" s="376"/>
      <c r="B13" s="376"/>
      <c r="C13" s="376"/>
      <c r="D13" s="376"/>
      <c r="E13" s="376"/>
      <c r="F13" s="376"/>
      <c r="G13" s="376"/>
      <c r="H13" s="376"/>
      <c r="I13" s="376"/>
    </row>
    <row r="14" spans="1:11">
      <c r="A14" s="685" t="s">
        <v>724</v>
      </c>
      <c r="B14" s="685"/>
      <c r="C14" s="685"/>
      <c r="D14" s="685"/>
      <c r="E14" s="379" t="s">
        <v>727</v>
      </c>
      <c r="F14" s="376"/>
      <c r="G14" s="376"/>
      <c r="H14" s="376"/>
      <c r="I14" s="376"/>
    </row>
    <row r="15" spans="1:11">
      <c r="A15" s="686" t="s">
        <v>726</v>
      </c>
      <c r="B15" s="687"/>
      <c r="C15" s="687"/>
      <c r="D15" s="688"/>
      <c r="E15" s="378">
        <v>28686000</v>
      </c>
      <c r="F15" s="376"/>
      <c r="G15" s="376"/>
      <c r="H15" s="376"/>
      <c r="I15" s="376"/>
    </row>
    <row r="16" spans="1:11">
      <c r="A16" s="686" t="s">
        <v>722</v>
      </c>
      <c r="B16" s="687"/>
      <c r="C16" s="687"/>
      <c r="D16" s="688"/>
      <c r="E16" s="378">
        <v>3000000</v>
      </c>
      <c r="F16" s="376"/>
      <c r="G16" s="376"/>
      <c r="H16" s="376"/>
      <c r="I16" s="376"/>
    </row>
    <row r="17" spans="1:9">
      <c r="A17" s="536" t="s">
        <v>817</v>
      </c>
      <c r="B17" s="534"/>
      <c r="C17" s="534"/>
      <c r="D17" s="535"/>
      <c r="E17" s="378">
        <v>3000000</v>
      </c>
      <c r="F17" s="376"/>
      <c r="G17" s="376"/>
      <c r="H17" s="376"/>
      <c r="I17" s="376"/>
    </row>
    <row r="18" spans="1:9">
      <c r="A18" s="689" t="s">
        <v>611</v>
      </c>
      <c r="B18" s="689"/>
      <c r="C18" s="689"/>
      <c r="D18" s="689"/>
      <c r="E18" s="377">
        <f>SUM(E15:E17)</f>
        <v>34686000</v>
      </c>
      <c r="F18" s="376"/>
      <c r="G18" s="376"/>
      <c r="H18" s="376"/>
      <c r="I18" s="376"/>
    </row>
    <row r="19" spans="1:9">
      <c r="A19" s="382"/>
      <c r="B19" s="382"/>
      <c r="C19" s="382"/>
      <c r="D19" s="382"/>
      <c r="E19" s="381"/>
      <c r="F19" s="376"/>
      <c r="G19" s="376"/>
      <c r="H19" s="376"/>
      <c r="I19" s="376"/>
    </row>
    <row r="20" spans="1:9">
      <c r="A20" s="376"/>
      <c r="B20" s="376"/>
      <c r="C20" s="376"/>
      <c r="D20" s="376"/>
      <c r="E20" s="376"/>
      <c r="F20" s="376"/>
      <c r="G20" s="376"/>
      <c r="H20" s="376"/>
      <c r="I20" s="376"/>
    </row>
    <row r="21" spans="1:9">
      <c r="A21" s="683"/>
      <c r="B21" s="683"/>
      <c r="C21" s="380"/>
      <c r="D21" s="380"/>
      <c r="E21" s="380"/>
      <c r="F21" s="376"/>
      <c r="G21" s="376"/>
      <c r="H21" s="376"/>
      <c r="I21" s="376"/>
    </row>
    <row r="22" spans="1:9">
      <c r="A22" s="684" t="s">
        <v>725</v>
      </c>
      <c r="B22" s="684"/>
      <c r="C22" s="684"/>
      <c r="D22" s="684"/>
      <c r="E22" s="684"/>
      <c r="F22" s="376"/>
      <c r="G22" s="376"/>
      <c r="H22" s="376"/>
      <c r="I22" s="376"/>
    </row>
    <row r="23" spans="1:9">
      <c r="A23" s="376"/>
      <c r="B23" s="376"/>
      <c r="C23" s="376"/>
      <c r="D23" s="376"/>
      <c r="E23" s="376"/>
      <c r="F23" s="376"/>
      <c r="G23" s="376"/>
      <c r="H23" s="376"/>
      <c r="I23" s="376"/>
    </row>
    <row r="24" spans="1:9">
      <c r="A24" s="685" t="s">
        <v>724</v>
      </c>
      <c r="B24" s="685"/>
      <c r="C24" s="685"/>
      <c r="D24" s="685"/>
      <c r="E24" s="379" t="s">
        <v>723</v>
      </c>
      <c r="F24" s="376"/>
      <c r="G24" s="376"/>
      <c r="H24" s="376"/>
      <c r="I24" s="376"/>
    </row>
    <row r="25" spans="1:9">
      <c r="A25" s="686" t="s">
        <v>722</v>
      </c>
      <c r="B25" s="687"/>
      <c r="C25" s="687"/>
      <c r="D25" s="688"/>
      <c r="E25" s="625">
        <v>0</v>
      </c>
      <c r="F25" s="376"/>
      <c r="G25" s="376"/>
      <c r="H25" s="376"/>
      <c r="I25" s="376"/>
    </row>
    <row r="26" spans="1:9">
      <c r="A26" s="536" t="s">
        <v>817</v>
      </c>
      <c r="B26" s="534"/>
      <c r="C26" s="534"/>
      <c r="D26" s="535"/>
      <c r="E26" s="625">
        <v>0</v>
      </c>
      <c r="F26" s="376"/>
      <c r="G26" s="376"/>
      <c r="H26" s="376"/>
      <c r="I26" s="376"/>
    </row>
    <row r="27" spans="1:9">
      <c r="A27" s="689" t="s">
        <v>611</v>
      </c>
      <c r="B27" s="689"/>
      <c r="C27" s="689"/>
      <c r="D27" s="689"/>
      <c r="E27" s="626">
        <f>SUM(E25:E25)</f>
        <v>0</v>
      </c>
      <c r="F27" s="376"/>
      <c r="G27" s="376"/>
      <c r="H27" s="376"/>
      <c r="I27" s="376"/>
    </row>
  </sheetData>
  <mergeCells count="11">
    <mergeCell ref="A25:D25"/>
    <mergeCell ref="A27:D27"/>
    <mergeCell ref="A14:D14"/>
    <mergeCell ref="A15:D15"/>
    <mergeCell ref="A16:D16"/>
    <mergeCell ref="A18:D18"/>
    <mergeCell ref="A1:E1"/>
    <mergeCell ref="A8:E8"/>
    <mergeCell ref="A21:B21"/>
    <mergeCell ref="A22:E22"/>
    <mergeCell ref="A24:D2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44"/>
  <sheetViews>
    <sheetView view="pageLayout" topLeftCell="B1" zoomScaleNormal="100" workbookViewId="0">
      <selection activeCell="B1" sqref="B1:F1"/>
    </sheetView>
  </sheetViews>
  <sheetFormatPr defaultRowHeight="12.75"/>
  <cols>
    <col min="2" max="2" width="44" customWidth="1"/>
    <col min="3" max="3" width="8.85546875" customWidth="1"/>
    <col min="4" max="4" width="8.42578125" customWidth="1"/>
    <col min="5" max="6" width="8.28515625" customWidth="1"/>
    <col min="10" max="10" width="24.5703125" customWidth="1"/>
  </cols>
  <sheetData>
    <row r="1" spans="1:13" s="645" customFormat="1">
      <c r="B1" s="680" t="s">
        <v>933</v>
      </c>
      <c r="C1" s="680"/>
      <c r="D1" s="680"/>
      <c r="E1" s="680"/>
      <c r="F1" s="680"/>
    </row>
    <row r="2" spans="1:13">
      <c r="A2" s="558" t="s">
        <v>763</v>
      </c>
      <c r="B2" s="1"/>
      <c r="C2" s="1"/>
      <c r="D2" s="693" t="s">
        <v>255</v>
      </c>
      <c r="E2" s="693"/>
      <c r="F2" s="693"/>
      <c r="G2" s="79"/>
      <c r="H2" s="79"/>
    </row>
    <row r="3" spans="1:13">
      <c r="A3" s="558" t="s">
        <v>571</v>
      </c>
      <c r="B3" s="1"/>
      <c r="C3" s="1"/>
      <c r="D3" s="18"/>
      <c r="E3" s="18"/>
      <c r="F3" s="18"/>
      <c r="G3" s="79"/>
      <c r="H3" s="79"/>
    </row>
    <row r="4" spans="1:13">
      <c r="A4" s="1"/>
      <c r="B4" s="1"/>
      <c r="C4" s="1"/>
      <c r="D4" s="18"/>
      <c r="E4" s="18"/>
      <c r="F4" s="18"/>
      <c r="G4" s="79"/>
      <c r="H4" s="79"/>
    </row>
    <row r="5" spans="1:13" s="619" customFormat="1">
      <c r="A5" s="1"/>
      <c r="G5" s="384"/>
      <c r="H5" s="79"/>
    </row>
    <row r="6" spans="1:13" s="619" customFormat="1">
      <c r="A6" s="1"/>
      <c r="B6" s="1"/>
      <c r="C6" s="1"/>
      <c r="D6" s="18"/>
      <c r="E6" s="18"/>
      <c r="F6" s="18"/>
      <c r="G6" s="79"/>
      <c r="H6" s="79"/>
    </row>
    <row r="7" spans="1:13">
      <c r="A7" s="691" t="s">
        <v>762</v>
      </c>
      <c r="B7" s="692"/>
      <c r="C7" s="692"/>
      <c r="D7" s="692"/>
      <c r="E7" s="692"/>
      <c r="F7" s="692"/>
      <c r="G7" s="79"/>
      <c r="H7" s="79"/>
    </row>
    <row r="8" spans="1:13">
      <c r="A8" s="691" t="s">
        <v>920</v>
      </c>
      <c r="B8" s="692"/>
      <c r="C8" s="692"/>
      <c r="D8" s="692"/>
      <c r="E8" s="692"/>
      <c r="F8" s="692"/>
      <c r="G8" s="79"/>
      <c r="H8" s="79"/>
    </row>
    <row r="9" spans="1:13">
      <c r="A9" s="410"/>
      <c r="B9" s="409"/>
      <c r="C9" s="409"/>
      <c r="D9" s="18"/>
      <c r="E9" s="408"/>
      <c r="F9" s="18"/>
      <c r="G9" s="79"/>
      <c r="H9" s="79"/>
    </row>
    <row r="10" spans="1:13">
      <c r="A10" s="410"/>
      <c r="B10" s="409"/>
      <c r="C10" s="409"/>
      <c r="D10" s="18"/>
      <c r="E10" s="408"/>
      <c r="F10" s="18"/>
      <c r="G10" s="79"/>
      <c r="H10" s="79"/>
    </row>
    <row r="11" spans="1:13">
      <c r="A11" s="410"/>
      <c r="B11" s="409"/>
      <c r="C11" s="409"/>
      <c r="D11" s="18"/>
      <c r="E11" s="408"/>
      <c r="F11" s="18"/>
      <c r="G11" s="79"/>
      <c r="H11" s="79"/>
    </row>
    <row r="12" spans="1:13">
      <c r="A12" s="398" t="s">
        <v>761</v>
      </c>
      <c r="B12" s="398" t="s">
        <v>570</v>
      </c>
      <c r="C12" s="398"/>
      <c r="D12" s="396"/>
      <c r="E12" s="392"/>
      <c r="F12" s="407" t="s">
        <v>760</v>
      </c>
      <c r="G12" s="79"/>
      <c r="H12" s="79"/>
    </row>
    <row r="13" spans="1:13">
      <c r="A13" s="395"/>
      <c r="B13" s="394"/>
      <c r="C13" s="394"/>
      <c r="D13" s="396"/>
      <c r="E13" s="392"/>
      <c r="F13" s="396"/>
      <c r="G13" s="79"/>
      <c r="H13" s="79"/>
    </row>
    <row r="14" spans="1:13">
      <c r="A14" s="406"/>
      <c r="B14" s="405" t="s">
        <v>759</v>
      </c>
      <c r="C14" s="398"/>
      <c r="D14" s="404"/>
      <c r="E14" s="392" t="s">
        <v>255</v>
      </c>
      <c r="F14" s="396"/>
      <c r="G14" s="79"/>
      <c r="H14" s="79"/>
    </row>
    <row r="15" spans="1:13">
      <c r="A15" s="395"/>
      <c r="B15" s="394"/>
      <c r="C15" s="403" t="s">
        <v>758</v>
      </c>
      <c r="D15" s="402" t="s">
        <v>757</v>
      </c>
      <c r="E15" s="402" t="s">
        <v>756</v>
      </c>
      <c r="F15" s="402" t="s">
        <v>818</v>
      </c>
      <c r="G15" s="259"/>
      <c r="H15" s="259"/>
      <c r="I15" s="410"/>
      <c r="J15" s="409"/>
      <c r="K15" s="399"/>
      <c r="L15" s="399"/>
      <c r="M15" s="399"/>
    </row>
    <row r="16" spans="1:13">
      <c r="A16" s="395">
        <v>1</v>
      </c>
      <c r="B16" s="394" t="s">
        <v>755</v>
      </c>
      <c r="C16" s="393">
        <v>109621</v>
      </c>
      <c r="D16" s="393">
        <v>125000</v>
      </c>
      <c r="E16" s="393">
        <v>127000</v>
      </c>
      <c r="F16" s="393">
        <v>129000</v>
      </c>
      <c r="G16" s="259"/>
      <c r="H16" s="259"/>
      <c r="I16" s="410"/>
      <c r="J16" s="409"/>
      <c r="K16" s="399"/>
      <c r="L16" s="399"/>
      <c r="M16" s="399"/>
    </row>
    <row r="17" spans="1:13" ht="15.6" customHeight="1">
      <c r="A17" s="395">
        <v>2</v>
      </c>
      <c r="B17" s="394" t="s">
        <v>754</v>
      </c>
      <c r="C17" s="393">
        <v>160470</v>
      </c>
      <c r="D17" s="393">
        <v>160500</v>
      </c>
      <c r="E17" s="393">
        <v>160500</v>
      </c>
      <c r="F17" s="393">
        <v>160500</v>
      </c>
      <c r="G17" s="259"/>
      <c r="H17" s="259"/>
      <c r="I17" s="537"/>
      <c r="J17" s="538"/>
      <c r="K17" s="399"/>
      <c r="L17" s="399"/>
      <c r="M17" s="399"/>
    </row>
    <row r="18" spans="1:13" ht="12" customHeight="1">
      <c r="A18" s="401">
        <v>3</v>
      </c>
      <c r="B18" s="400" t="s">
        <v>753</v>
      </c>
      <c r="C18" s="393">
        <v>326057</v>
      </c>
      <c r="D18" s="393">
        <f>330000-17000</f>
        <v>313000</v>
      </c>
      <c r="E18" s="393">
        <f>335000-17000</f>
        <v>318000</v>
      </c>
      <c r="F18" s="393">
        <f>340000-17000</f>
        <v>323000</v>
      </c>
      <c r="G18" s="259"/>
      <c r="H18" s="259"/>
      <c r="I18" s="410"/>
      <c r="J18" s="409"/>
      <c r="K18" s="399"/>
      <c r="L18" s="399"/>
      <c r="M18" s="399"/>
    </row>
    <row r="19" spans="1:13" ht="12" customHeight="1">
      <c r="A19" s="410">
        <v>4</v>
      </c>
      <c r="B19" s="394" t="s">
        <v>752</v>
      </c>
      <c r="C19" s="393"/>
      <c r="D19" s="393">
        <v>0</v>
      </c>
      <c r="E19" s="393">
        <v>0</v>
      </c>
      <c r="F19" s="393">
        <v>0</v>
      </c>
      <c r="G19" s="259"/>
      <c r="H19" s="259"/>
      <c r="I19" s="410"/>
      <c r="J19" s="409"/>
      <c r="K19" s="399"/>
      <c r="L19" s="399"/>
      <c r="M19" s="399"/>
    </row>
    <row r="20" spans="1:13">
      <c r="A20" s="628">
        <v>5</v>
      </c>
      <c r="B20" s="394" t="s">
        <v>819</v>
      </c>
      <c r="C20" s="393">
        <v>25000</v>
      </c>
      <c r="D20" s="393">
        <v>27500</v>
      </c>
      <c r="E20" s="393">
        <v>23500</v>
      </c>
      <c r="F20" s="393">
        <v>19500</v>
      </c>
      <c r="G20" s="259"/>
      <c r="H20" s="259"/>
      <c r="I20" s="410"/>
      <c r="J20" s="409"/>
      <c r="K20" s="399"/>
      <c r="L20" s="399"/>
      <c r="M20" s="399"/>
    </row>
    <row r="21" spans="1:13">
      <c r="A21" s="395">
        <v>6</v>
      </c>
      <c r="B21" s="394" t="s">
        <v>751</v>
      </c>
      <c r="C21" s="393">
        <v>73297</v>
      </c>
      <c r="D21" s="393">
        <v>0</v>
      </c>
      <c r="E21" s="393">
        <f>D28</f>
        <v>0</v>
      </c>
      <c r="F21" s="393">
        <f>E28</f>
        <v>0</v>
      </c>
      <c r="G21" s="259"/>
      <c r="H21" s="259"/>
      <c r="I21" s="539"/>
      <c r="J21" s="409"/>
      <c r="K21" s="399"/>
      <c r="L21" s="399"/>
      <c r="M21" s="399"/>
    </row>
    <row r="22" spans="1:13">
      <c r="A22" s="398">
        <v>7</v>
      </c>
      <c r="B22" s="390" t="s">
        <v>750</v>
      </c>
      <c r="C22" s="389">
        <f>SUM(C16:C21)</f>
        <v>694445</v>
      </c>
      <c r="D22" s="389">
        <f>SUM(D16:D21)</f>
        <v>626000</v>
      </c>
      <c r="E22" s="389">
        <f>SUM(E16:E21)</f>
        <v>629000</v>
      </c>
      <c r="F22" s="389">
        <f>SUM(F16:F21)</f>
        <v>632000</v>
      </c>
      <c r="G22" s="259"/>
      <c r="H22" s="397"/>
      <c r="I22" s="540"/>
      <c r="J22" s="541"/>
      <c r="K22" s="542"/>
      <c r="L22" s="542"/>
      <c r="M22" s="542"/>
    </row>
    <row r="23" spans="1:13">
      <c r="A23" s="395">
        <v>8</v>
      </c>
      <c r="B23" s="394" t="s">
        <v>749</v>
      </c>
      <c r="C23" s="393">
        <v>285186</v>
      </c>
      <c r="D23" s="393">
        <f>284000-30000</f>
        <v>254000</v>
      </c>
      <c r="E23" s="393">
        <f>285200-30000</f>
        <v>255200</v>
      </c>
      <c r="F23" s="393">
        <f>287200-30000</f>
        <v>257200</v>
      </c>
      <c r="G23" s="259"/>
      <c r="H23" s="259"/>
      <c r="I23" s="410"/>
      <c r="J23" s="409"/>
      <c r="K23" s="399"/>
      <c r="L23" s="399"/>
      <c r="M23" s="399"/>
    </row>
    <row r="24" spans="1:13">
      <c r="A24" s="395">
        <v>9</v>
      </c>
      <c r="B24" s="394" t="s">
        <v>748</v>
      </c>
      <c r="C24" s="393">
        <v>65035</v>
      </c>
      <c r="D24" s="393">
        <f>66000-5000</f>
        <v>61000</v>
      </c>
      <c r="E24" s="393">
        <f>67000-5000</f>
        <v>62000</v>
      </c>
      <c r="F24" s="393">
        <f>68000-5000</f>
        <v>63000</v>
      </c>
      <c r="G24" s="259"/>
      <c r="H24" s="259"/>
      <c r="I24" s="410"/>
      <c r="J24" s="409"/>
      <c r="K24" s="399"/>
      <c r="L24" s="399"/>
      <c r="M24" s="399"/>
    </row>
    <row r="25" spans="1:13">
      <c r="A25" s="395">
        <v>10</v>
      </c>
      <c r="B25" s="394" t="s">
        <v>747</v>
      </c>
      <c r="C25" s="393">
        <v>202962</v>
      </c>
      <c r="D25" s="393">
        <v>202000</v>
      </c>
      <c r="E25" s="393">
        <v>202000</v>
      </c>
      <c r="F25" s="393">
        <v>202000</v>
      </c>
      <c r="G25" s="259"/>
      <c r="H25" s="259"/>
      <c r="I25" s="410"/>
      <c r="J25" s="409"/>
      <c r="K25" s="399"/>
      <c r="L25" s="399"/>
      <c r="M25" s="399"/>
    </row>
    <row r="26" spans="1:13">
      <c r="A26" s="395">
        <v>11</v>
      </c>
      <c r="B26" s="394" t="s">
        <v>746</v>
      </c>
      <c r="C26" s="393">
        <v>82216</v>
      </c>
      <c r="D26" s="393">
        <v>84200</v>
      </c>
      <c r="E26" s="393">
        <v>85000</v>
      </c>
      <c r="F26" s="393">
        <v>85000</v>
      </c>
      <c r="G26" s="259"/>
      <c r="H26" s="259"/>
      <c r="I26" s="410"/>
      <c r="J26" s="409"/>
      <c r="K26" s="399"/>
      <c r="L26" s="399"/>
      <c r="M26" s="399"/>
    </row>
    <row r="27" spans="1:13">
      <c r="A27" s="395">
        <v>12</v>
      </c>
      <c r="B27" s="394" t="s">
        <v>745</v>
      </c>
      <c r="C27" s="393">
        <v>10169</v>
      </c>
      <c r="D27" s="393">
        <v>0</v>
      </c>
      <c r="E27" s="393">
        <v>0</v>
      </c>
      <c r="F27" s="393">
        <v>0</v>
      </c>
      <c r="G27" s="259"/>
      <c r="H27" s="259"/>
      <c r="I27" s="539"/>
      <c r="J27" s="409"/>
      <c r="K27" s="399"/>
      <c r="L27" s="399"/>
      <c r="M27" s="399"/>
    </row>
    <row r="28" spans="1:13">
      <c r="A28" s="395">
        <v>13</v>
      </c>
      <c r="B28" s="394" t="s">
        <v>744</v>
      </c>
      <c r="C28" s="393">
        <v>18000</v>
      </c>
      <c r="D28" s="393">
        <v>0</v>
      </c>
      <c r="E28" s="393">
        <v>0</v>
      </c>
      <c r="F28" s="393">
        <v>0</v>
      </c>
      <c r="G28" s="399"/>
      <c r="H28" s="259"/>
      <c r="I28" s="543"/>
      <c r="J28" s="409"/>
      <c r="K28" s="399"/>
      <c r="L28" s="399"/>
      <c r="M28" s="399"/>
    </row>
    <row r="29" spans="1:13">
      <c r="A29" s="398">
        <v>14</v>
      </c>
      <c r="B29" s="390" t="s">
        <v>743</v>
      </c>
      <c r="C29" s="389">
        <f>SUM(C23:C28)</f>
        <v>663568</v>
      </c>
      <c r="D29" s="389">
        <f>SUM(D23:D28)</f>
        <v>601200</v>
      </c>
      <c r="E29" s="389">
        <f>SUM(E23:E28)</f>
        <v>604200</v>
      </c>
      <c r="F29" s="389">
        <f>SUM(F23:F28)</f>
        <v>607200</v>
      </c>
      <c r="G29" s="259"/>
      <c r="H29" s="397"/>
      <c r="I29" s="544"/>
      <c r="J29" s="541"/>
      <c r="K29" s="542"/>
      <c r="L29" s="542"/>
      <c r="M29" s="542"/>
    </row>
    <row r="30" spans="1:13">
      <c r="A30" s="395"/>
      <c r="B30" s="394"/>
      <c r="C30" s="396"/>
      <c r="D30" s="396"/>
      <c r="E30" s="392"/>
      <c r="F30" s="396"/>
      <c r="G30" s="259"/>
      <c r="H30" s="259"/>
      <c r="I30" s="410"/>
      <c r="J30" s="409"/>
      <c r="K30" s="18"/>
      <c r="L30" s="408"/>
      <c r="M30" s="18"/>
    </row>
    <row r="31" spans="1:13">
      <c r="A31" s="690" t="s">
        <v>742</v>
      </c>
      <c r="B31" s="690"/>
      <c r="C31" s="396"/>
      <c r="D31" s="396"/>
      <c r="E31" s="392"/>
      <c r="F31" s="396"/>
      <c r="G31" s="259"/>
      <c r="H31" s="397"/>
      <c r="I31" s="691"/>
      <c r="J31" s="691"/>
      <c r="K31" s="18"/>
      <c r="L31" s="408"/>
      <c r="M31" s="18"/>
    </row>
    <row r="32" spans="1:13">
      <c r="A32" s="395"/>
      <c r="B32" s="394"/>
      <c r="C32" s="396"/>
      <c r="D32" s="396"/>
      <c r="E32" s="392"/>
      <c r="F32" s="396"/>
      <c r="G32" s="259"/>
      <c r="H32" s="259"/>
      <c r="I32" s="410"/>
      <c r="J32" s="409"/>
      <c r="K32" s="18"/>
      <c r="L32" s="408"/>
      <c r="M32" s="18"/>
    </row>
    <row r="33" spans="1:13">
      <c r="A33" s="395">
        <v>15</v>
      </c>
      <c r="B33" s="394" t="s">
        <v>741</v>
      </c>
      <c r="C33" s="393">
        <v>0</v>
      </c>
      <c r="D33" s="393">
        <v>0</v>
      </c>
      <c r="E33" s="393">
        <v>0</v>
      </c>
      <c r="F33" s="393">
        <v>0</v>
      </c>
      <c r="G33" s="259"/>
      <c r="H33" s="259"/>
      <c r="I33" s="410"/>
      <c r="J33" s="409"/>
      <c r="K33" s="399"/>
      <c r="L33" s="399"/>
      <c r="M33" s="399"/>
    </row>
    <row r="34" spans="1:13">
      <c r="A34" s="395">
        <f t="shared" ref="A34:A44" si="0">A33+1</f>
        <v>16</v>
      </c>
      <c r="B34" s="394" t="s">
        <v>740</v>
      </c>
      <c r="C34" s="393">
        <v>0</v>
      </c>
      <c r="D34" s="393">
        <v>0</v>
      </c>
      <c r="E34" s="393">
        <v>0</v>
      </c>
      <c r="F34" s="396">
        <v>0</v>
      </c>
      <c r="G34" s="259"/>
      <c r="H34" s="259"/>
      <c r="I34" s="410"/>
      <c r="J34" s="409"/>
      <c r="K34" s="399"/>
      <c r="L34" s="399"/>
      <c r="M34" s="18"/>
    </row>
    <row r="35" spans="1:13">
      <c r="A35" s="395">
        <f t="shared" si="0"/>
        <v>17</v>
      </c>
      <c r="B35" s="394" t="s">
        <v>739</v>
      </c>
      <c r="C35" s="393">
        <v>0</v>
      </c>
      <c r="D35" s="393">
        <v>0</v>
      </c>
      <c r="E35" s="393">
        <v>0</v>
      </c>
      <c r="F35" s="396">
        <v>0</v>
      </c>
      <c r="G35" s="259"/>
      <c r="H35" s="259"/>
      <c r="I35" s="410"/>
      <c r="J35" s="409"/>
      <c r="K35" s="399"/>
      <c r="L35" s="399"/>
      <c r="M35" s="18"/>
    </row>
    <row r="36" spans="1:13">
      <c r="A36" s="391">
        <f t="shared" si="0"/>
        <v>18</v>
      </c>
      <c r="B36" s="390" t="s">
        <v>738</v>
      </c>
      <c r="C36" s="389">
        <f>SUM(C33:C35)</f>
        <v>0</v>
      </c>
      <c r="D36" s="389">
        <f>SUM(D33:D35)</f>
        <v>0</v>
      </c>
      <c r="E36" s="389">
        <f>SUM(E33:E35)</f>
        <v>0</v>
      </c>
      <c r="F36" s="545">
        <f>SUM(F33:F35)</f>
        <v>0</v>
      </c>
      <c r="G36" s="259"/>
      <c r="H36" s="259"/>
      <c r="I36" s="540"/>
      <c r="J36" s="541"/>
      <c r="K36" s="542"/>
      <c r="L36" s="542"/>
      <c r="M36" s="542"/>
    </row>
    <row r="37" spans="1:13">
      <c r="A37" s="395">
        <f t="shared" si="0"/>
        <v>19</v>
      </c>
      <c r="B37" s="394" t="s">
        <v>737</v>
      </c>
      <c r="C37" s="393">
        <v>5006</v>
      </c>
      <c r="D37" s="393">
        <v>0</v>
      </c>
      <c r="E37" s="393">
        <v>0</v>
      </c>
      <c r="F37" s="393">
        <v>0</v>
      </c>
      <c r="G37" s="259"/>
      <c r="H37" s="259"/>
      <c r="I37" s="410"/>
      <c r="J37" s="409"/>
      <c r="K37" s="399"/>
      <c r="L37" s="399"/>
      <c r="M37" s="399"/>
    </row>
    <row r="38" spans="1:13">
      <c r="A38" s="395">
        <f t="shared" si="0"/>
        <v>20</v>
      </c>
      <c r="B38" s="394" t="s">
        <v>736</v>
      </c>
      <c r="C38" s="393">
        <v>11039</v>
      </c>
      <c r="D38" s="393">
        <v>5000</v>
      </c>
      <c r="E38" s="393">
        <v>5000</v>
      </c>
      <c r="F38" s="393">
        <v>5000</v>
      </c>
      <c r="G38" s="259"/>
      <c r="H38" s="259"/>
      <c r="I38" s="410"/>
      <c r="J38" s="409"/>
      <c r="K38" s="399"/>
      <c r="L38" s="399"/>
      <c r="M38" s="399"/>
    </row>
    <row r="39" spans="1:13">
      <c r="A39" s="395">
        <f t="shared" si="0"/>
        <v>21</v>
      </c>
      <c r="B39" s="394" t="s">
        <v>735</v>
      </c>
      <c r="C39" s="393">
        <v>0</v>
      </c>
      <c r="D39" s="393">
        <v>0</v>
      </c>
      <c r="E39" s="392">
        <v>0</v>
      </c>
      <c r="F39" s="396">
        <v>0</v>
      </c>
      <c r="G39" s="259"/>
      <c r="H39" s="259"/>
      <c r="I39" s="410"/>
      <c r="J39" s="409"/>
      <c r="K39" s="399"/>
      <c r="L39" s="408"/>
      <c r="M39" s="18"/>
    </row>
    <row r="40" spans="1:13">
      <c r="A40" s="395">
        <f t="shared" si="0"/>
        <v>22</v>
      </c>
      <c r="B40" s="394" t="s">
        <v>734</v>
      </c>
      <c r="C40" s="393">
        <v>14832</v>
      </c>
      <c r="D40" s="393">
        <v>19800</v>
      </c>
      <c r="E40" s="393">
        <v>19800</v>
      </c>
      <c r="F40" s="393">
        <v>19800</v>
      </c>
      <c r="G40" s="259"/>
      <c r="H40" s="259"/>
      <c r="I40" s="410"/>
      <c r="J40" s="409"/>
      <c r="K40" s="399"/>
      <c r="L40" s="399"/>
      <c r="M40" s="399"/>
    </row>
    <row r="41" spans="1:13">
      <c r="A41" s="395">
        <f t="shared" si="0"/>
        <v>23</v>
      </c>
      <c r="B41" s="394" t="s">
        <v>146</v>
      </c>
      <c r="C41" s="393">
        <v>0</v>
      </c>
      <c r="D41" s="393">
        <v>0</v>
      </c>
      <c r="E41" s="392">
        <v>0</v>
      </c>
      <c r="F41" s="392">
        <v>0</v>
      </c>
      <c r="G41" s="259"/>
      <c r="H41" s="259"/>
      <c r="I41" s="410"/>
      <c r="J41" s="409"/>
      <c r="K41" s="399"/>
      <c r="L41" s="408"/>
      <c r="M41" s="408"/>
    </row>
    <row r="42" spans="1:13">
      <c r="A42" s="391">
        <f t="shared" si="0"/>
        <v>24</v>
      </c>
      <c r="B42" s="390" t="s">
        <v>733</v>
      </c>
      <c r="C42" s="389">
        <f>SUM(C37:C41)</f>
        <v>30877</v>
      </c>
      <c r="D42" s="389">
        <f>SUM(D37:D41)</f>
        <v>24800</v>
      </c>
      <c r="E42" s="389">
        <f>SUM(E37:E41)</f>
        <v>24800</v>
      </c>
      <c r="F42" s="389">
        <f>SUM(F37:F41)</f>
        <v>24800</v>
      </c>
      <c r="G42" s="259"/>
      <c r="H42" s="259"/>
      <c r="I42" s="540"/>
      <c r="J42" s="541"/>
      <c r="K42" s="542"/>
      <c r="L42" s="542"/>
      <c r="M42" s="542"/>
    </row>
    <row r="43" spans="1:13">
      <c r="A43" s="391">
        <f t="shared" si="0"/>
        <v>25</v>
      </c>
      <c r="B43" s="390" t="s">
        <v>732</v>
      </c>
      <c r="C43" s="389">
        <f>C22+C36</f>
        <v>694445</v>
      </c>
      <c r="D43" s="389">
        <f>D22+D36</f>
        <v>626000</v>
      </c>
      <c r="E43" s="389">
        <f>E22+E36</f>
        <v>629000</v>
      </c>
      <c r="F43" s="389">
        <f>F22+F36</f>
        <v>632000</v>
      </c>
      <c r="G43" s="259"/>
      <c r="H43" s="259"/>
      <c r="I43" s="540"/>
      <c r="J43" s="541"/>
      <c r="K43" s="542"/>
      <c r="L43" s="542"/>
      <c r="M43" s="542"/>
    </row>
    <row r="44" spans="1:13">
      <c r="A44" s="391">
        <f t="shared" si="0"/>
        <v>26</v>
      </c>
      <c r="B44" s="390" t="s">
        <v>731</v>
      </c>
      <c r="C44" s="389">
        <f>C29+C42</f>
        <v>694445</v>
      </c>
      <c r="D44" s="389">
        <f>D29+D42</f>
        <v>626000</v>
      </c>
      <c r="E44" s="389">
        <f>SUM(E29,E42)</f>
        <v>629000</v>
      </c>
      <c r="F44" s="389">
        <f>SUM(F29,F42)</f>
        <v>632000</v>
      </c>
      <c r="G44" s="259"/>
      <c r="H44" s="259"/>
      <c r="I44" s="540"/>
      <c r="J44" s="541"/>
      <c r="K44" s="542"/>
      <c r="L44" s="542"/>
      <c r="M44" s="542"/>
    </row>
  </sheetData>
  <mergeCells count="6">
    <mergeCell ref="I31:J31"/>
    <mergeCell ref="B1:F1"/>
    <mergeCell ref="A31:B31"/>
    <mergeCell ref="A7:F7"/>
    <mergeCell ref="A8:F8"/>
    <mergeCell ref="D2:F2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82"/>
  <sheetViews>
    <sheetView workbookViewId="0">
      <selection activeCell="F2" sqref="F2"/>
    </sheetView>
  </sheetViews>
  <sheetFormatPr defaultRowHeight="12.75"/>
  <cols>
    <col min="1" max="1" width="29.42578125" customWidth="1"/>
    <col min="2" max="2" width="15.28515625" customWidth="1"/>
    <col min="3" max="3" width="15" customWidth="1"/>
    <col min="4" max="4" width="14.7109375" customWidth="1"/>
    <col min="5" max="5" width="13.7109375" customWidth="1"/>
    <col min="6" max="6" width="13.85546875" customWidth="1"/>
    <col min="7" max="7" width="14.7109375" customWidth="1"/>
    <col min="8" max="8" width="18.85546875" customWidth="1"/>
    <col min="9" max="9" width="14.42578125" customWidth="1"/>
    <col min="10" max="10" width="13.7109375" customWidth="1"/>
  </cols>
  <sheetData>
    <row r="1" spans="1:12" ht="24" customHeight="1">
      <c r="A1" s="558" t="s">
        <v>763</v>
      </c>
      <c r="B1" s="435"/>
      <c r="F1" s="694" t="s">
        <v>934</v>
      </c>
      <c r="G1" s="694"/>
      <c r="H1" s="694"/>
      <c r="I1" s="631"/>
      <c r="J1" s="631"/>
    </row>
    <row r="2" spans="1:12">
      <c r="A2" s="558" t="s">
        <v>571</v>
      </c>
    </row>
    <row r="3" spans="1:12">
      <c r="A3" s="1"/>
    </row>
    <row r="4" spans="1:12">
      <c r="A4" s="1"/>
    </row>
    <row r="5" spans="1:12">
      <c r="A5" s="648" t="s">
        <v>781</v>
      </c>
      <c r="B5" s="648"/>
      <c r="C5" s="648"/>
      <c r="D5" s="648"/>
      <c r="E5" s="648"/>
      <c r="F5" s="648"/>
      <c r="G5" s="648"/>
      <c r="H5" s="648"/>
      <c r="I5" s="322"/>
      <c r="J5" s="322"/>
    </row>
    <row r="6" spans="1:12" ht="18.600000000000001" customHeight="1">
      <c r="A6" s="648" t="s">
        <v>898</v>
      </c>
      <c r="B6" s="648"/>
      <c r="C6" s="648"/>
      <c r="D6" s="648"/>
      <c r="E6" s="648"/>
      <c r="F6" s="648"/>
      <c r="G6" s="648"/>
      <c r="H6" s="648"/>
      <c r="I6" s="322"/>
      <c r="J6" s="322"/>
      <c r="K6" s="433"/>
      <c r="L6" s="433"/>
    </row>
    <row r="7" spans="1:12" ht="22.9" customHeight="1">
      <c r="A7" s="14"/>
      <c r="B7" s="434"/>
      <c r="C7" s="648" t="s">
        <v>780</v>
      </c>
      <c r="D7" s="648"/>
      <c r="E7" s="648"/>
      <c r="F7" s="648"/>
      <c r="G7" s="434"/>
      <c r="H7" s="434"/>
      <c r="I7" s="434"/>
      <c r="J7" s="434"/>
      <c r="K7" s="433"/>
      <c r="L7" s="433"/>
    </row>
    <row r="8" spans="1:12" ht="22.9" customHeight="1">
      <c r="A8" s="14"/>
      <c r="B8" s="434"/>
      <c r="C8" s="298"/>
      <c r="D8" s="298"/>
      <c r="E8" s="298"/>
      <c r="F8" s="298"/>
      <c r="G8" s="434"/>
      <c r="H8" s="434"/>
      <c r="I8" s="434"/>
      <c r="J8" s="434"/>
      <c r="K8" s="433"/>
      <c r="L8" s="433"/>
    </row>
    <row r="9" spans="1:12">
      <c r="A9" s="14"/>
      <c r="B9" s="14"/>
      <c r="C9" s="14"/>
      <c r="D9" s="14"/>
      <c r="E9" s="14"/>
      <c r="F9" s="14"/>
      <c r="G9" s="14"/>
      <c r="H9" s="14"/>
      <c r="I9" s="424"/>
      <c r="J9" s="424"/>
    </row>
    <row r="10" spans="1:12">
      <c r="A10" s="14"/>
      <c r="B10" s="14"/>
      <c r="C10" s="695" t="s">
        <v>779</v>
      </c>
      <c r="D10" s="695"/>
      <c r="E10" s="695"/>
      <c r="F10" s="695"/>
      <c r="G10" s="322"/>
      <c r="H10" s="14"/>
      <c r="I10" s="424"/>
    </row>
    <row r="11" spans="1:12">
      <c r="A11" s="14"/>
      <c r="B11" s="14"/>
      <c r="C11" s="426"/>
      <c r="D11" s="426"/>
      <c r="E11" s="426"/>
      <c r="F11" s="426"/>
      <c r="G11" s="322"/>
      <c r="H11" s="14"/>
      <c r="I11" s="424"/>
    </row>
    <row r="12" spans="1:12">
      <c r="A12" s="14"/>
      <c r="B12" s="14"/>
      <c r="C12" s="426"/>
      <c r="D12" s="426"/>
      <c r="E12" s="426"/>
      <c r="F12" s="426"/>
      <c r="G12" s="322"/>
      <c r="H12" s="546" t="s">
        <v>260</v>
      </c>
      <c r="I12" s="424"/>
    </row>
    <row r="13" spans="1:12">
      <c r="A13" s="430" t="s">
        <v>778</v>
      </c>
      <c r="B13" s="421" t="s">
        <v>773</v>
      </c>
      <c r="C13" s="421" t="s">
        <v>772</v>
      </c>
      <c r="D13" s="421" t="s">
        <v>771</v>
      </c>
      <c r="E13" s="421">
        <v>2020</v>
      </c>
      <c r="F13" s="421">
        <v>2021</v>
      </c>
      <c r="G13" s="421">
        <v>2022</v>
      </c>
      <c r="H13" s="421">
        <v>2023</v>
      </c>
    </row>
    <row r="14" spans="1:12" ht="22.5">
      <c r="A14" s="417" t="s">
        <v>821</v>
      </c>
      <c r="B14" s="429">
        <v>14832000</v>
      </c>
      <c r="C14" s="429">
        <v>19776000</v>
      </c>
      <c r="D14" s="429">
        <v>19776000</v>
      </c>
      <c r="E14" s="429">
        <v>19776000</v>
      </c>
      <c r="F14" s="429">
        <v>19776000</v>
      </c>
      <c r="G14" s="429">
        <v>19776000</v>
      </c>
      <c r="H14" s="429">
        <v>19776000</v>
      </c>
    </row>
    <row r="15" spans="1:12" ht="22.5">
      <c r="A15" s="417" t="s">
        <v>776</v>
      </c>
      <c r="B15" s="429">
        <v>10523000</v>
      </c>
      <c r="C15" s="429">
        <v>9267000</v>
      </c>
      <c r="D15" s="429">
        <v>8610000</v>
      </c>
      <c r="E15" s="429">
        <v>7696000</v>
      </c>
      <c r="F15" s="429">
        <v>6783000</v>
      </c>
      <c r="G15" s="429">
        <v>5869000</v>
      </c>
      <c r="H15" s="416">
        <v>4955000</v>
      </c>
    </row>
    <row r="16" spans="1:12" ht="26.25" customHeight="1">
      <c r="A16" s="428" t="s">
        <v>611</v>
      </c>
      <c r="B16" s="413">
        <f t="shared" ref="B16:H16" si="0">SUM(B14:B15)</f>
        <v>25355000</v>
      </c>
      <c r="C16" s="413">
        <f t="shared" si="0"/>
        <v>29043000</v>
      </c>
      <c r="D16" s="413">
        <f t="shared" si="0"/>
        <v>28386000</v>
      </c>
      <c r="E16" s="413">
        <f t="shared" si="0"/>
        <v>27472000</v>
      </c>
      <c r="F16" s="413">
        <f t="shared" si="0"/>
        <v>26559000</v>
      </c>
      <c r="G16" s="413">
        <f t="shared" si="0"/>
        <v>25645000</v>
      </c>
      <c r="H16" s="413">
        <f t="shared" si="0"/>
        <v>24731000</v>
      </c>
    </row>
    <row r="17" spans="1:10" ht="24" customHeight="1">
      <c r="A17" s="427"/>
      <c r="B17" s="432"/>
      <c r="C17" s="432"/>
      <c r="D17" s="432"/>
      <c r="E17" s="432"/>
      <c r="F17" s="432"/>
      <c r="G17" s="432"/>
      <c r="H17" s="432"/>
      <c r="I17" s="431"/>
    </row>
    <row r="18" spans="1:10" ht="24" customHeight="1">
      <c r="A18" s="430" t="s">
        <v>778</v>
      </c>
      <c r="B18" s="421">
        <v>2024</v>
      </c>
      <c r="C18" s="421">
        <v>2025</v>
      </c>
      <c r="D18" s="421">
        <v>2026</v>
      </c>
      <c r="E18" s="421">
        <v>2027</v>
      </c>
      <c r="F18" s="421">
        <v>2028</v>
      </c>
      <c r="G18" s="421">
        <v>2029</v>
      </c>
      <c r="H18" s="421" t="s">
        <v>820</v>
      </c>
      <c r="I18" s="431"/>
    </row>
    <row r="19" spans="1:10" ht="24" customHeight="1">
      <c r="A19" s="417" t="s">
        <v>777</v>
      </c>
      <c r="B19" s="429">
        <v>19776000</v>
      </c>
      <c r="C19" s="429">
        <v>19776000</v>
      </c>
      <c r="D19" s="429">
        <v>19776000</v>
      </c>
      <c r="E19" s="429">
        <v>19776000</v>
      </c>
      <c r="F19" s="429">
        <v>19776000</v>
      </c>
      <c r="G19" s="429">
        <v>968344</v>
      </c>
      <c r="H19" s="548">
        <f>B14+C14+D14+E14+F14+G14+H14+B19+C19+D19+E19+F19+G19</f>
        <v>233336344</v>
      </c>
    </row>
    <row r="20" spans="1:10" ht="24" customHeight="1">
      <c r="A20" s="417" t="s">
        <v>776</v>
      </c>
      <c r="B20" s="416">
        <v>4042000</v>
      </c>
      <c r="C20" s="416">
        <v>3128000</v>
      </c>
      <c r="D20" s="416">
        <v>2215000</v>
      </c>
      <c r="E20" s="416">
        <v>1301000</v>
      </c>
      <c r="F20" s="416">
        <v>387000</v>
      </c>
      <c r="G20" s="549">
        <v>11000</v>
      </c>
      <c r="H20" s="548">
        <f>B15+C15+D15+E15+F15+G15+H15+B20+C20+D20+E20+F20+G20</f>
        <v>64787000</v>
      </c>
    </row>
    <row r="21" spans="1:10" ht="24" customHeight="1">
      <c r="A21" s="428" t="s">
        <v>611</v>
      </c>
      <c r="B21" s="413">
        <f t="shared" ref="B21:G21" si="1">SUM(B19:B20)</f>
        <v>23818000</v>
      </c>
      <c r="C21" s="413">
        <f t="shared" si="1"/>
        <v>22904000</v>
      </c>
      <c r="D21" s="413">
        <f t="shared" si="1"/>
        <v>21991000</v>
      </c>
      <c r="E21" s="413">
        <f t="shared" si="1"/>
        <v>21077000</v>
      </c>
      <c r="F21" s="413">
        <f t="shared" si="1"/>
        <v>20163000</v>
      </c>
      <c r="G21" s="413">
        <f t="shared" si="1"/>
        <v>979344</v>
      </c>
      <c r="H21" s="547">
        <f>B16+C16+D16+E16+F16+G16+H16+B21+C21+D21+E21+F21+G21</f>
        <v>298123344</v>
      </c>
    </row>
    <row r="22" spans="1:10" ht="24" customHeight="1">
      <c r="A22" s="427"/>
      <c r="B22" s="411"/>
      <c r="C22" s="411"/>
      <c r="D22" s="411"/>
      <c r="E22" s="411"/>
      <c r="F22" s="696"/>
      <c r="G22" s="696"/>
      <c r="H22" s="696"/>
      <c r="I22" s="631"/>
      <c r="J22" s="631"/>
    </row>
    <row r="23" spans="1:10" ht="24" customHeight="1">
      <c r="A23" s="427"/>
      <c r="B23" s="411"/>
      <c r="C23" s="411"/>
      <c r="D23" s="411"/>
      <c r="E23" s="411"/>
      <c r="F23" s="411"/>
      <c r="G23" s="411"/>
      <c r="H23" s="411"/>
    </row>
    <row r="24" spans="1:10" ht="24" customHeight="1">
      <c r="A24" s="427"/>
      <c r="B24" s="411"/>
      <c r="C24" s="411"/>
      <c r="D24" s="411"/>
      <c r="E24" s="411"/>
      <c r="F24" s="411"/>
      <c r="G24" s="411"/>
      <c r="H24" s="411"/>
    </row>
    <row r="25" spans="1:10" ht="24" customHeight="1">
      <c r="A25" s="427"/>
      <c r="B25" s="411"/>
      <c r="C25" s="411"/>
      <c r="D25" s="411"/>
      <c r="E25" s="411"/>
      <c r="F25" s="411"/>
      <c r="G25" s="411"/>
      <c r="H25" s="411"/>
    </row>
    <row r="26" spans="1:10" ht="24" customHeight="1">
      <c r="A26" s="14"/>
      <c r="B26" s="14"/>
      <c r="C26" s="695" t="s">
        <v>775</v>
      </c>
      <c r="D26" s="695"/>
      <c r="E26" s="695"/>
      <c r="F26" s="695"/>
      <c r="G26" s="425"/>
      <c r="H26" s="14"/>
      <c r="I26" s="424"/>
      <c r="J26" s="431"/>
    </row>
    <row r="27" spans="1:10" ht="12" customHeight="1">
      <c r="A27" s="14"/>
      <c r="B27" s="14"/>
      <c r="C27" s="426"/>
      <c r="D27" s="426"/>
      <c r="E27" s="426"/>
      <c r="F27" s="426"/>
      <c r="G27" s="425"/>
      <c r="H27" s="14"/>
      <c r="I27" s="424"/>
      <c r="J27" s="431"/>
    </row>
    <row r="28" spans="1:10">
      <c r="A28" s="14"/>
      <c r="B28" s="14"/>
      <c r="C28" s="14"/>
      <c r="D28" s="14"/>
      <c r="E28" s="14"/>
      <c r="F28" s="14"/>
      <c r="G28" s="14"/>
      <c r="H28" s="546" t="s">
        <v>260</v>
      </c>
      <c r="J28" s="424"/>
    </row>
    <row r="29" spans="1:10">
      <c r="A29" s="422" t="s">
        <v>770</v>
      </c>
      <c r="B29" s="421" t="s">
        <v>773</v>
      </c>
      <c r="C29" s="421" t="s">
        <v>772</v>
      </c>
      <c r="D29" s="421" t="s">
        <v>771</v>
      </c>
      <c r="E29" s="421">
        <v>2020</v>
      </c>
      <c r="F29" s="421">
        <v>2021</v>
      </c>
      <c r="G29" s="421">
        <v>2022</v>
      </c>
      <c r="H29" s="421">
        <v>2023</v>
      </c>
    </row>
    <row r="30" spans="1:10">
      <c r="A30" s="417" t="s">
        <v>769</v>
      </c>
      <c r="B30" s="418">
        <v>149200000</v>
      </c>
      <c r="C30" s="418">
        <v>149200000</v>
      </c>
      <c r="D30" s="418">
        <v>149200000</v>
      </c>
      <c r="E30" s="418">
        <v>149200000</v>
      </c>
      <c r="F30" s="418">
        <v>149200000</v>
      </c>
      <c r="G30" s="418">
        <v>149200000</v>
      </c>
      <c r="H30" s="418">
        <v>149200000</v>
      </c>
    </row>
    <row r="31" spans="1:10" ht="23.25" customHeight="1">
      <c r="A31" s="417" t="s">
        <v>768</v>
      </c>
      <c r="B31" s="418">
        <v>0</v>
      </c>
      <c r="C31" s="418">
        <v>0</v>
      </c>
      <c r="D31" s="418">
        <v>0</v>
      </c>
      <c r="E31" s="418">
        <v>0</v>
      </c>
      <c r="F31" s="418">
        <v>0</v>
      </c>
      <c r="G31" s="418">
        <v>0</v>
      </c>
      <c r="H31" s="418">
        <v>0</v>
      </c>
    </row>
    <row r="32" spans="1:10" ht="27" customHeight="1">
      <c r="A32" s="417" t="s">
        <v>767</v>
      </c>
      <c r="B32" s="418">
        <v>15207000</v>
      </c>
      <c r="C32" s="418">
        <v>15207000</v>
      </c>
      <c r="D32" s="418">
        <v>15207000</v>
      </c>
      <c r="E32" s="418">
        <v>15207000</v>
      </c>
      <c r="F32" s="418">
        <v>15207000</v>
      </c>
      <c r="G32" s="418">
        <v>15207000</v>
      </c>
      <c r="H32" s="418">
        <v>15207000</v>
      </c>
    </row>
    <row r="33" spans="1:10" ht="33.75">
      <c r="A33" s="417" t="s">
        <v>766</v>
      </c>
      <c r="B33" s="416">
        <v>0</v>
      </c>
      <c r="C33" s="416">
        <v>0</v>
      </c>
      <c r="D33" s="416">
        <v>0</v>
      </c>
      <c r="E33" s="416">
        <v>0</v>
      </c>
      <c r="F33" s="416">
        <v>0</v>
      </c>
      <c r="G33" s="416">
        <v>0</v>
      </c>
      <c r="H33" s="416">
        <v>0</v>
      </c>
    </row>
    <row r="34" spans="1:10" ht="16.149999999999999" customHeight="1">
      <c r="A34" s="417" t="s">
        <v>765</v>
      </c>
      <c r="B34" s="418">
        <v>1000000</v>
      </c>
      <c r="C34" s="418">
        <v>1000000</v>
      </c>
      <c r="D34" s="418">
        <v>1000000</v>
      </c>
      <c r="E34" s="418">
        <v>1000000</v>
      </c>
      <c r="F34" s="418">
        <v>1000000</v>
      </c>
      <c r="G34" s="418">
        <v>1000000</v>
      </c>
      <c r="H34" s="418">
        <v>1000000</v>
      </c>
    </row>
    <row r="35" spans="1:10" ht="23.25" customHeight="1">
      <c r="A35" s="417" t="s">
        <v>764</v>
      </c>
      <c r="B35" s="416">
        <v>0</v>
      </c>
      <c r="C35" s="416">
        <v>0</v>
      </c>
      <c r="D35" s="416">
        <v>0</v>
      </c>
      <c r="E35" s="416">
        <v>0</v>
      </c>
      <c r="F35" s="416">
        <v>0</v>
      </c>
      <c r="G35" s="416">
        <v>0</v>
      </c>
      <c r="H35" s="416">
        <v>0</v>
      </c>
    </row>
    <row r="36" spans="1:10">
      <c r="A36" s="414" t="s">
        <v>611</v>
      </c>
      <c r="B36" s="413">
        <f t="shared" ref="B36:H36" si="2">SUM(B30:B35)</f>
        <v>165407000</v>
      </c>
      <c r="C36" s="413">
        <f t="shared" si="2"/>
        <v>165407000</v>
      </c>
      <c r="D36" s="413">
        <f t="shared" si="2"/>
        <v>165407000</v>
      </c>
      <c r="E36" s="413">
        <f t="shared" si="2"/>
        <v>165407000</v>
      </c>
      <c r="F36" s="413">
        <f t="shared" si="2"/>
        <v>165407000</v>
      </c>
      <c r="G36" s="413">
        <f t="shared" si="2"/>
        <v>165407000</v>
      </c>
      <c r="H36" s="413">
        <f t="shared" si="2"/>
        <v>165407000</v>
      </c>
    </row>
    <row r="37" spans="1:10" ht="22.5" customHeight="1">
      <c r="A37" s="423"/>
      <c r="B37" s="14"/>
      <c r="C37" s="14"/>
      <c r="D37" s="14"/>
      <c r="E37" s="14"/>
      <c r="F37" s="14"/>
      <c r="G37" s="14"/>
      <c r="H37" s="14"/>
    </row>
    <row r="38" spans="1:10" ht="27.75" customHeight="1">
      <c r="A38" s="422" t="s">
        <v>770</v>
      </c>
      <c r="B38" s="421">
        <v>2024</v>
      </c>
      <c r="C38" s="421">
        <v>2025</v>
      </c>
      <c r="D38" s="421">
        <v>2026</v>
      </c>
      <c r="E38" s="421">
        <v>2027</v>
      </c>
      <c r="F38" s="421">
        <v>2028</v>
      </c>
      <c r="G38" s="421">
        <v>2029</v>
      </c>
      <c r="H38" s="420"/>
    </row>
    <row r="39" spans="1:10">
      <c r="A39" s="417" t="s">
        <v>769</v>
      </c>
      <c r="B39" s="418">
        <v>149200000</v>
      </c>
      <c r="C39" s="418">
        <v>149200000</v>
      </c>
      <c r="D39" s="418">
        <v>149200000</v>
      </c>
      <c r="E39" s="418">
        <v>149200000</v>
      </c>
      <c r="F39" s="418">
        <v>149200000</v>
      </c>
      <c r="G39" s="418">
        <v>149200000</v>
      </c>
      <c r="H39" s="419"/>
      <c r="I39" s="420"/>
    </row>
    <row r="40" spans="1:10" ht="22.5">
      <c r="A40" s="417" t="s">
        <v>768</v>
      </c>
      <c r="B40" s="418">
        <v>0</v>
      </c>
      <c r="C40" s="418">
        <v>0</v>
      </c>
      <c r="D40" s="418">
        <v>0</v>
      </c>
      <c r="E40" s="418">
        <v>0</v>
      </c>
      <c r="F40" s="418">
        <v>0</v>
      </c>
      <c r="G40" s="418">
        <v>0</v>
      </c>
      <c r="H40" s="415"/>
      <c r="I40" s="419"/>
    </row>
    <row r="41" spans="1:10" ht="22.5">
      <c r="A41" s="417" t="s">
        <v>767</v>
      </c>
      <c r="B41" s="418">
        <v>15207000</v>
      </c>
      <c r="C41" s="418">
        <v>15207000</v>
      </c>
      <c r="D41" s="418">
        <v>15207000</v>
      </c>
      <c r="E41" s="418">
        <v>15207000</v>
      </c>
      <c r="F41" s="418">
        <v>15207000</v>
      </c>
      <c r="G41" s="418">
        <v>15207000</v>
      </c>
      <c r="H41" s="412"/>
      <c r="I41" s="415"/>
    </row>
    <row r="42" spans="1:10" ht="33.75">
      <c r="A42" s="417" t="s">
        <v>766</v>
      </c>
      <c r="B42" s="416">
        <v>0</v>
      </c>
      <c r="C42" s="416">
        <v>0</v>
      </c>
      <c r="D42" s="416">
        <v>0</v>
      </c>
      <c r="E42" s="416">
        <v>0</v>
      </c>
      <c r="F42" s="416">
        <v>0</v>
      </c>
      <c r="G42" s="416">
        <v>0</v>
      </c>
      <c r="H42" s="412"/>
      <c r="I42" s="412"/>
    </row>
    <row r="43" spans="1:10">
      <c r="A43" s="417" t="s">
        <v>765</v>
      </c>
      <c r="B43" s="418">
        <v>1000000</v>
      </c>
      <c r="C43" s="418">
        <v>1000000</v>
      </c>
      <c r="D43" s="418">
        <v>1000000</v>
      </c>
      <c r="E43" s="418">
        <v>1000000</v>
      </c>
      <c r="F43" s="418">
        <v>1000000</v>
      </c>
      <c r="G43" s="418">
        <v>1000000</v>
      </c>
      <c r="H43" s="415"/>
      <c r="I43" s="412"/>
    </row>
    <row r="44" spans="1:10" ht="22.5">
      <c r="A44" s="417" t="s">
        <v>764</v>
      </c>
      <c r="B44" s="416">
        <v>0</v>
      </c>
      <c r="C44" s="416">
        <v>0</v>
      </c>
      <c r="D44" s="416">
        <v>0</v>
      </c>
      <c r="E44" s="416">
        <v>0</v>
      </c>
      <c r="F44" s="416">
        <v>0</v>
      </c>
      <c r="G44" s="416">
        <v>0</v>
      </c>
      <c r="H44" s="412"/>
      <c r="I44" s="415"/>
    </row>
    <row r="45" spans="1:10">
      <c r="A45" s="414" t="s">
        <v>611</v>
      </c>
      <c r="B45" s="413">
        <f t="shared" ref="B45:G45" si="3">SUM(B39:B44)</f>
        <v>165407000</v>
      </c>
      <c r="C45" s="413">
        <f t="shared" si="3"/>
        <v>165407000</v>
      </c>
      <c r="D45" s="413">
        <f t="shared" si="3"/>
        <v>165407000</v>
      </c>
      <c r="E45" s="413">
        <f t="shared" si="3"/>
        <v>165407000</v>
      </c>
      <c r="F45" s="413">
        <f t="shared" si="3"/>
        <v>165407000</v>
      </c>
      <c r="G45" s="413">
        <f t="shared" si="3"/>
        <v>165407000</v>
      </c>
      <c r="H45" s="411"/>
      <c r="I45" s="412"/>
    </row>
    <row r="46" spans="1:10">
      <c r="A46" s="14"/>
      <c r="B46" s="14"/>
      <c r="C46" s="14"/>
      <c r="D46" s="14"/>
      <c r="E46" s="14"/>
      <c r="F46" s="14"/>
      <c r="G46" s="14"/>
      <c r="H46" s="14"/>
      <c r="J46" s="411"/>
    </row>
    <row r="47" spans="1:10">
      <c r="A47" s="14"/>
      <c r="B47" s="14"/>
      <c r="C47" s="14"/>
      <c r="D47" s="14"/>
      <c r="E47" s="14"/>
      <c r="F47" s="14"/>
      <c r="G47" s="14"/>
      <c r="H47" s="14"/>
    </row>
    <row r="48" spans="1:10">
      <c r="A48" s="14"/>
      <c r="B48" s="14"/>
      <c r="C48" s="14"/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14"/>
      <c r="B70" s="14"/>
      <c r="C70" s="14"/>
      <c r="D70" s="14"/>
      <c r="E70" s="14"/>
      <c r="F70" s="14"/>
      <c r="G70" s="14"/>
      <c r="H70" s="14"/>
    </row>
    <row r="71" spans="1:8">
      <c r="A71" s="14"/>
      <c r="B71" s="14"/>
      <c r="C71" s="14"/>
      <c r="D71" s="14"/>
      <c r="E71" s="14"/>
      <c r="F71" s="14"/>
      <c r="G71" s="14"/>
      <c r="H71" s="14"/>
    </row>
    <row r="72" spans="1:8">
      <c r="A72" s="14"/>
      <c r="B72" s="14"/>
      <c r="C72" s="14"/>
      <c r="D72" s="14"/>
      <c r="E72" s="14"/>
      <c r="F72" s="14"/>
      <c r="G72" s="14"/>
      <c r="H72" s="14"/>
    </row>
    <row r="73" spans="1:8">
      <c r="A73" s="14"/>
      <c r="B73" s="14"/>
      <c r="C73" s="14"/>
      <c r="D73" s="14"/>
      <c r="E73" s="14"/>
      <c r="F73" s="14"/>
      <c r="G73" s="14"/>
      <c r="H73" s="14"/>
    </row>
    <row r="74" spans="1:8">
      <c r="A74" s="14"/>
      <c r="B74" s="14"/>
      <c r="C74" s="14"/>
      <c r="D74" s="14"/>
      <c r="E74" s="14"/>
      <c r="F74" s="14"/>
      <c r="G74" s="14"/>
      <c r="H74" s="14"/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</sheetData>
  <mergeCells count="7">
    <mergeCell ref="F1:H1"/>
    <mergeCell ref="C7:F7"/>
    <mergeCell ref="C26:F26"/>
    <mergeCell ref="A5:H5"/>
    <mergeCell ref="A6:H6"/>
    <mergeCell ref="C10:F10"/>
    <mergeCell ref="F22:H22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:K378"/>
  <sheetViews>
    <sheetView workbookViewId="0">
      <selection activeCell="A2" sqref="A2"/>
    </sheetView>
  </sheetViews>
  <sheetFormatPr defaultColWidth="11.5703125" defaultRowHeight="12.75"/>
  <cols>
    <col min="1" max="1" width="49.42578125" customWidth="1"/>
    <col min="2" max="2" width="10.140625" customWidth="1"/>
    <col min="3" max="3" width="11.140625" customWidth="1"/>
    <col min="4" max="4" width="11.28515625" customWidth="1"/>
    <col min="5" max="5" width="9.7109375" customWidth="1"/>
    <col min="6" max="6" width="12.7109375" hidden="1" customWidth="1"/>
    <col min="7" max="7" width="17.28515625" hidden="1" customWidth="1"/>
    <col min="8" max="8" width="17.42578125" hidden="1" customWidth="1"/>
    <col min="9" max="9" width="21.42578125" hidden="1" customWidth="1"/>
    <col min="10" max="10" width="11.5703125" hidden="1" customWidth="1"/>
    <col min="11" max="11" width="0" hidden="1" customWidth="1"/>
  </cols>
  <sheetData>
    <row r="1" spans="1:9" s="557" customFormat="1">
      <c r="A1" s="646" t="s">
        <v>922</v>
      </c>
      <c r="B1" s="646"/>
      <c r="C1" s="646"/>
      <c r="D1" s="646"/>
      <c r="E1" s="646"/>
    </row>
    <row r="2" spans="1:9" s="557" customFormat="1">
      <c r="A2" s="79"/>
      <c r="B2" s="79"/>
      <c r="C2" s="79"/>
      <c r="D2" s="79"/>
      <c r="E2" s="79"/>
    </row>
    <row r="3" spans="1:9" s="634" customFormat="1">
      <c r="A3" s="648" t="s">
        <v>909</v>
      </c>
      <c r="B3" s="648"/>
      <c r="C3" s="648"/>
      <c r="D3" s="648"/>
      <c r="E3" s="648"/>
    </row>
    <row r="4" spans="1:9">
      <c r="A4" s="609"/>
      <c r="B4" s="79"/>
      <c r="C4" s="79"/>
      <c r="D4" s="79"/>
      <c r="E4" s="256" t="s">
        <v>260</v>
      </c>
    </row>
    <row r="5" spans="1:9" ht="13.5" thickBot="1">
      <c r="A5" s="40" t="s">
        <v>261</v>
      </c>
      <c r="B5" s="93" t="s">
        <v>206</v>
      </c>
      <c r="C5" s="96" t="s">
        <v>202</v>
      </c>
      <c r="D5" s="96" t="s">
        <v>203</v>
      </c>
      <c r="E5" s="96" t="s">
        <v>205</v>
      </c>
    </row>
    <row r="6" spans="1:9" ht="13.5" thickBot="1">
      <c r="A6" s="6" t="s">
        <v>114</v>
      </c>
      <c r="B6" s="7">
        <f>B7+B8+B9+B10+B11</f>
        <v>642634983</v>
      </c>
      <c r="C6" s="94">
        <f>SUM(C7:C11)</f>
        <v>734585832</v>
      </c>
      <c r="D6" s="94">
        <f>SUM(D7:D11)</f>
        <v>698652052</v>
      </c>
      <c r="E6" s="189">
        <f>(D6/C6)</f>
        <v>0.95108293893694373</v>
      </c>
      <c r="F6" s="27">
        <f>D13+D20+D27+D36</f>
        <v>698652052</v>
      </c>
      <c r="G6" s="229"/>
    </row>
    <row r="7" spans="1:9">
      <c r="A7" s="45" t="s">
        <v>194</v>
      </c>
      <c r="B7" s="4">
        <f>B14+B21+B30+B37</f>
        <v>238922283</v>
      </c>
      <c r="C7" s="4">
        <f>C14+C21+C30+C37</f>
        <v>320999098</v>
      </c>
      <c r="D7" s="4">
        <f>D14+D21+D30+D37</f>
        <v>302469625</v>
      </c>
      <c r="E7" s="182">
        <f t="shared" ref="E7:E76" si="0">(D7/C7)</f>
        <v>0.94227562284302746</v>
      </c>
      <c r="G7" s="229">
        <f>'5_melléklet'!D242</f>
        <v>302469625</v>
      </c>
      <c r="H7" s="27">
        <f>D7-G7</f>
        <v>0</v>
      </c>
    </row>
    <row r="8" spans="1:9">
      <c r="A8" s="9" t="s">
        <v>7</v>
      </c>
      <c r="B8" s="4">
        <f t="shared" ref="B8:B11" si="1">B15+B22+B31</f>
        <v>136000000</v>
      </c>
      <c r="C8" s="4">
        <f t="shared" ref="C8:D11" si="2">C15+C22+C31</f>
        <v>137030286</v>
      </c>
      <c r="D8" s="4">
        <f t="shared" si="2"/>
        <v>133574394</v>
      </c>
      <c r="E8" s="183">
        <f t="shared" si="0"/>
        <v>0.97478008620663614</v>
      </c>
      <c r="G8" s="229">
        <f>'5_melléklet'!D383</f>
        <v>133574394</v>
      </c>
      <c r="H8" s="27">
        <f t="shared" ref="H8:H34" si="3">D8-G8</f>
        <v>0</v>
      </c>
    </row>
    <row r="9" spans="1:9">
      <c r="A9" s="9" t="s">
        <v>195</v>
      </c>
      <c r="B9" s="4">
        <f t="shared" si="1"/>
        <v>122090220</v>
      </c>
      <c r="C9" s="4">
        <f t="shared" si="2"/>
        <v>133939908</v>
      </c>
      <c r="D9" s="4">
        <f t="shared" si="2"/>
        <v>129519381</v>
      </c>
      <c r="E9" s="183">
        <f t="shared" si="0"/>
        <v>0.96699619205352894</v>
      </c>
      <c r="G9" s="229">
        <f>'5_melléklet'!D681</f>
        <v>129519381</v>
      </c>
      <c r="H9" s="27">
        <f t="shared" si="3"/>
        <v>0</v>
      </c>
    </row>
    <row r="10" spans="1:9">
      <c r="A10" s="9" t="s">
        <v>266</v>
      </c>
      <c r="B10" s="4">
        <f t="shared" si="1"/>
        <v>143956252</v>
      </c>
      <c r="C10" s="4">
        <f t="shared" si="2"/>
        <v>140954462</v>
      </c>
      <c r="D10" s="4">
        <f t="shared" si="2"/>
        <v>131627799</v>
      </c>
      <c r="E10" s="183">
        <f t="shared" si="0"/>
        <v>0.93383208401022455</v>
      </c>
      <c r="G10" s="229">
        <f>'5_melléklet'!D813</f>
        <v>131627799</v>
      </c>
      <c r="H10" s="27">
        <f t="shared" si="3"/>
        <v>0</v>
      </c>
    </row>
    <row r="11" spans="1:9">
      <c r="A11" s="9" t="s">
        <v>196</v>
      </c>
      <c r="B11" s="4">
        <f t="shared" si="1"/>
        <v>1666228</v>
      </c>
      <c r="C11" s="4">
        <f t="shared" si="2"/>
        <v>1662078</v>
      </c>
      <c r="D11" s="4">
        <f t="shared" si="2"/>
        <v>1460853</v>
      </c>
      <c r="E11" s="183">
        <f t="shared" si="0"/>
        <v>0.8789316746867476</v>
      </c>
      <c r="G11" s="229">
        <f>'5_melléklet'!D869</f>
        <v>1460853</v>
      </c>
      <c r="H11" s="27">
        <f t="shared" si="3"/>
        <v>0</v>
      </c>
    </row>
    <row r="12" spans="1:9" ht="13.5" thickBot="1">
      <c r="A12" s="11"/>
      <c r="B12" s="4"/>
      <c r="C12" s="14"/>
      <c r="D12" s="4"/>
      <c r="E12" s="184"/>
      <c r="G12" s="229"/>
      <c r="H12" s="27">
        <f t="shared" si="3"/>
        <v>0</v>
      </c>
    </row>
    <row r="13" spans="1:9" ht="13.5" thickBot="1">
      <c r="A13" s="6" t="s">
        <v>57</v>
      </c>
      <c r="B13" s="7">
        <f>SUM(B14:B18)</f>
        <v>262721000</v>
      </c>
      <c r="C13" s="94">
        <f>SUM(C14:C18)</f>
        <v>321629909</v>
      </c>
      <c r="D13" s="94">
        <f>SUM(D14:D18)</f>
        <v>317371419</v>
      </c>
      <c r="E13" s="187">
        <f t="shared" si="0"/>
        <v>0.98675965797695764</v>
      </c>
      <c r="G13" s="229"/>
      <c r="H13" s="27">
        <f t="shared" si="3"/>
        <v>317371419</v>
      </c>
      <c r="I13" s="229">
        <v>102844690</v>
      </c>
    </row>
    <row r="14" spans="1:9">
      <c r="A14" s="45" t="s">
        <v>127</v>
      </c>
      <c r="B14" s="4">
        <v>62514000</v>
      </c>
      <c r="C14" s="4">
        <v>109407532</v>
      </c>
      <c r="D14" s="4">
        <v>107853767</v>
      </c>
      <c r="E14" s="182">
        <f t="shared" si="0"/>
        <v>0.98579837263854919</v>
      </c>
      <c r="G14" s="229">
        <f>'5_melléklet'!D238</f>
        <v>107853767</v>
      </c>
      <c r="H14" s="27">
        <f t="shared" si="3"/>
        <v>0</v>
      </c>
      <c r="I14" s="229">
        <v>-26846019</v>
      </c>
    </row>
    <row r="15" spans="1:9">
      <c r="A15" s="9" t="s">
        <v>45</v>
      </c>
      <c r="B15" s="4">
        <v>71052000</v>
      </c>
      <c r="C15" s="4">
        <v>70109128</v>
      </c>
      <c r="D15" s="4">
        <v>69556198</v>
      </c>
      <c r="E15" s="183">
        <f t="shared" si="0"/>
        <v>0.99211329514753055</v>
      </c>
      <c r="G15" s="299">
        <f>'5_melléklet'!D380</f>
        <v>69556198</v>
      </c>
      <c r="H15" s="27">
        <f t="shared" si="3"/>
        <v>0</v>
      </c>
      <c r="I15" s="229">
        <v>-400068</v>
      </c>
    </row>
    <row r="16" spans="1:9">
      <c r="A16" s="9" t="s">
        <v>46</v>
      </c>
      <c r="B16" s="4">
        <v>70382000</v>
      </c>
      <c r="C16" s="4">
        <v>80401549</v>
      </c>
      <c r="D16" s="4">
        <v>78729763</v>
      </c>
      <c r="E16" s="183">
        <f t="shared" si="0"/>
        <v>0.97920704239168332</v>
      </c>
      <c r="G16" s="229">
        <f>'5_melléklet'!D678</f>
        <v>78729763</v>
      </c>
      <c r="H16" s="27">
        <f t="shared" si="3"/>
        <v>0</v>
      </c>
      <c r="I16" s="229">
        <v>-9000000</v>
      </c>
    </row>
    <row r="17" spans="1:9">
      <c r="A17" s="9" t="s">
        <v>265</v>
      </c>
      <c r="B17" s="4">
        <v>57795000</v>
      </c>
      <c r="C17" s="4">
        <v>60733700</v>
      </c>
      <c r="D17" s="4">
        <v>60340050</v>
      </c>
      <c r="E17" s="183">
        <f t="shared" si="0"/>
        <v>0.99351842551993375</v>
      </c>
      <c r="G17" s="229">
        <f>'5_melléklet'!D810</f>
        <v>60340050</v>
      </c>
      <c r="H17" s="27">
        <f t="shared" si="3"/>
        <v>0</v>
      </c>
      <c r="I17" s="229">
        <f>SUM(I13:I16)</f>
        <v>66598603</v>
      </c>
    </row>
    <row r="18" spans="1:9">
      <c r="A18" s="9" t="s">
        <v>109</v>
      </c>
      <c r="B18" s="4">
        <v>978000</v>
      </c>
      <c r="C18" s="4">
        <v>978000</v>
      </c>
      <c r="D18" s="4">
        <v>891641</v>
      </c>
      <c r="E18" s="183">
        <f t="shared" si="0"/>
        <v>0.91169836400817994</v>
      </c>
      <c r="G18" s="229">
        <f>'5_melléklet'!D866</f>
        <v>891641</v>
      </c>
      <c r="H18" s="27">
        <f t="shared" si="3"/>
        <v>0</v>
      </c>
      <c r="I18" s="229">
        <v>21569600</v>
      </c>
    </row>
    <row r="19" spans="1:9" ht="13.5" thickBot="1">
      <c r="A19" s="11"/>
      <c r="B19" s="4"/>
      <c r="C19" s="14"/>
      <c r="D19" s="4"/>
      <c r="E19" s="184"/>
      <c r="G19" s="229"/>
      <c r="H19" s="27">
        <f t="shared" si="3"/>
        <v>0</v>
      </c>
      <c r="I19" s="278">
        <f>SUM(I17:I18)</f>
        <v>88168203</v>
      </c>
    </row>
    <row r="20" spans="1:9" ht="13.5" thickBot="1">
      <c r="A20" s="6" t="s">
        <v>58</v>
      </c>
      <c r="B20" s="7">
        <f>SUM(B21:B25)</f>
        <v>69086000</v>
      </c>
      <c r="C20" s="94">
        <f>SUM(C21:C25)</f>
        <v>78273404</v>
      </c>
      <c r="D20" s="94">
        <f>SUM(D21:D25)</f>
        <v>77138809</v>
      </c>
      <c r="E20" s="187">
        <f t="shared" si="0"/>
        <v>0.98550471881866797</v>
      </c>
      <c r="G20" s="229"/>
      <c r="H20" s="27"/>
      <c r="I20" s="229"/>
    </row>
    <row r="21" spans="1:9">
      <c r="A21" s="45" t="s">
        <v>102</v>
      </c>
      <c r="B21" s="4">
        <v>14362000</v>
      </c>
      <c r="C21" s="4">
        <v>21071788</v>
      </c>
      <c r="D21" s="4">
        <v>20835891</v>
      </c>
      <c r="E21" s="182">
        <f t="shared" si="0"/>
        <v>0.98880507909437965</v>
      </c>
      <c r="G21" s="229">
        <f>'5_melléklet'!D239</f>
        <v>20835891</v>
      </c>
      <c r="H21" s="27">
        <f t="shared" si="3"/>
        <v>0</v>
      </c>
      <c r="I21" s="229">
        <f>I19-C36</f>
        <v>0</v>
      </c>
    </row>
    <row r="22" spans="1:9">
      <c r="A22" s="9" t="s">
        <v>188</v>
      </c>
      <c r="B22" s="4">
        <v>19830000</v>
      </c>
      <c r="C22" s="4">
        <v>19547841</v>
      </c>
      <c r="D22" s="4">
        <v>19142846</v>
      </c>
      <c r="E22" s="183">
        <f t="shared" si="0"/>
        <v>0.97928185521869138</v>
      </c>
      <c r="G22" s="229">
        <f>'5_melléklet'!D381</f>
        <v>19142846</v>
      </c>
      <c r="H22" s="27">
        <f t="shared" si="3"/>
        <v>0</v>
      </c>
    </row>
    <row r="23" spans="1:9">
      <c r="A23" s="9" t="s">
        <v>189</v>
      </c>
      <c r="B23" s="4">
        <v>18974000</v>
      </c>
      <c r="C23" s="4">
        <v>20819326</v>
      </c>
      <c r="D23" s="4">
        <v>20538269</v>
      </c>
      <c r="E23" s="183">
        <f t="shared" si="0"/>
        <v>0.98650018737398126</v>
      </c>
      <c r="G23" s="229">
        <f>'5_melléklet'!F679</f>
        <v>20538269</v>
      </c>
      <c r="H23" s="27">
        <f t="shared" si="3"/>
        <v>0</v>
      </c>
    </row>
    <row r="24" spans="1:9">
      <c r="A24" s="9" t="s">
        <v>267</v>
      </c>
      <c r="B24" s="4">
        <v>15656000</v>
      </c>
      <c r="C24" s="4">
        <v>16570449</v>
      </c>
      <c r="D24" s="4">
        <v>16372671</v>
      </c>
      <c r="E24" s="183">
        <f t="shared" si="0"/>
        <v>0.98806441515254051</v>
      </c>
      <c r="G24" s="229">
        <f>'5_melléklet'!D811</f>
        <v>16372671</v>
      </c>
      <c r="H24" s="27">
        <f t="shared" si="3"/>
        <v>0</v>
      </c>
    </row>
    <row r="25" spans="1:9">
      <c r="A25" s="9" t="s">
        <v>190</v>
      </c>
      <c r="B25" s="4">
        <v>264000</v>
      </c>
      <c r="C25" s="4">
        <v>264000</v>
      </c>
      <c r="D25" s="4">
        <v>249132</v>
      </c>
      <c r="E25" s="183">
        <f t="shared" si="0"/>
        <v>0.94368181818181818</v>
      </c>
      <c r="G25" s="229">
        <f>'5_melléklet'!D867</f>
        <v>249132</v>
      </c>
      <c r="H25" s="27">
        <f t="shared" si="3"/>
        <v>0</v>
      </c>
    </row>
    <row r="26" spans="1:9" ht="13.5" thickBot="1">
      <c r="A26" s="11"/>
      <c r="B26" s="4"/>
      <c r="C26" s="14"/>
      <c r="D26" s="4"/>
      <c r="E26" s="184"/>
      <c r="G26" s="229"/>
      <c r="H26" s="27">
        <f t="shared" si="3"/>
        <v>0</v>
      </c>
    </row>
    <row r="27" spans="1:9" ht="13.5" thickBot="1">
      <c r="A27" s="6" t="s">
        <v>59</v>
      </c>
      <c r="B27" s="7">
        <f>SUM(B30:B33)</f>
        <v>233115097</v>
      </c>
      <c r="C27" s="94">
        <f>SUM(C30:C34)</f>
        <v>246514316</v>
      </c>
      <c r="D27" s="94">
        <f>SUM(D30:D34)</f>
        <v>222801913</v>
      </c>
      <c r="E27" s="188">
        <f t="shared" si="0"/>
        <v>0.90380922542445774</v>
      </c>
      <c r="F27" s="227"/>
      <c r="G27" s="229"/>
      <c r="H27" s="27"/>
    </row>
    <row r="28" spans="1:9">
      <c r="A28" s="11" t="s">
        <v>121</v>
      </c>
      <c r="B28" s="4"/>
      <c r="C28" s="14"/>
      <c r="D28" s="4"/>
      <c r="E28" s="182"/>
      <c r="G28" s="229"/>
      <c r="H28" s="27">
        <f t="shared" si="3"/>
        <v>0</v>
      </c>
    </row>
    <row r="29" spans="1:9">
      <c r="A29" s="11" t="s">
        <v>142</v>
      </c>
      <c r="B29" s="4"/>
      <c r="C29" s="14"/>
      <c r="D29" s="4"/>
      <c r="E29" s="183"/>
      <c r="G29" s="229"/>
      <c r="H29" s="27">
        <f t="shared" si="3"/>
        <v>0</v>
      </c>
    </row>
    <row r="30" spans="1:9">
      <c r="A30" s="45" t="s">
        <v>135</v>
      </c>
      <c r="B30" s="4">
        <v>84757625</v>
      </c>
      <c r="C30" s="4">
        <v>102351575</v>
      </c>
      <c r="D30" s="4">
        <v>92440056</v>
      </c>
      <c r="E30" s="183">
        <f t="shared" si="0"/>
        <v>0.90316202755062636</v>
      </c>
      <c r="G30" s="229">
        <f>'5_melléklet'!D240</f>
        <v>92440056</v>
      </c>
      <c r="H30" s="27">
        <f t="shared" si="3"/>
        <v>0</v>
      </c>
    </row>
    <row r="31" spans="1:9">
      <c r="A31" s="9" t="s">
        <v>191</v>
      </c>
      <c r="B31" s="4">
        <v>45118000</v>
      </c>
      <c r="C31" s="4">
        <v>47373317</v>
      </c>
      <c r="D31" s="4">
        <v>44875350</v>
      </c>
      <c r="E31" s="183">
        <f t="shared" si="0"/>
        <v>0.94727059116422019</v>
      </c>
      <c r="G31" s="229">
        <f>'5_melléklet'!D382</f>
        <v>44875350</v>
      </c>
      <c r="H31" s="27">
        <f t="shared" si="3"/>
        <v>0</v>
      </c>
    </row>
    <row r="32" spans="1:9">
      <c r="A32" s="9" t="s">
        <v>192</v>
      </c>
      <c r="B32" s="4">
        <v>32734220</v>
      </c>
      <c r="C32" s="4">
        <v>32719033</v>
      </c>
      <c r="D32" s="4">
        <v>30251349</v>
      </c>
      <c r="E32" s="183">
        <f t="shared" si="0"/>
        <v>0.92457955588112883</v>
      </c>
      <c r="G32" s="229">
        <f>'5_melléklet'!F680</f>
        <v>30251349</v>
      </c>
      <c r="H32" s="27">
        <f t="shared" si="3"/>
        <v>0</v>
      </c>
    </row>
    <row r="33" spans="1:8">
      <c r="A33" s="9" t="s">
        <v>268</v>
      </c>
      <c r="B33" s="4">
        <v>70505252</v>
      </c>
      <c r="C33" s="4">
        <v>63650313</v>
      </c>
      <c r="D33" s="4">
        <v>54915078</v>
      </c>
      <c r="E33" s="183">
        <f t="shared" si="0"/>
        <v>0.86276210456341351</v>
      </c>
      <c r="G33" s="229">
        <f>'5_melléklet'!D812</f>
        <v>54915078</v>
      </c>
      <c r="H33" s="27">
        <f t="shared" si="3"/>
        <v>0</v>
      </c>
    </row>
    <row r="34" spans="1:8">
      <c r="A34" s="9" t="s">
        <v>193</v>
      </c>
      <c r="B34" s="4">
        <v>424228</v>
      </c>
      <c r="C34" s="4">
        <f>424228-4150</f>
        <v>420078</v>
      </c>
      <c r="D34" s="4">
        <v>320080</v>
      </c>
      <c r="E34" s="183">
        <f t="shared" si="0"/>
        <v>0.76195373240207775</v>
      </c>
      <c r="G34" s="229">
        <f>'5_melléklet'!D868</f>
        <v>320080</v>
      </c>
      <c r="H34" s="27">
        <f t="shared" si="3"/>
        <v>0</v>
      </c>
    </row>
    <row r="35" spans="1:8" ht="13.5" thickBot="1">
      <c r="A35" s="11"/>
      <c r="B35" s="4"/>
      <c r="C35" s="14"/>
      <c r="D35" s="4"/>
      <c r="E35" s="184"/>
      <c r="G35" s="229"/>
    </row>
    <row r="36" spans="1:8" ht="13.5" thickBot="1">
      <c r="A36" s="6" t="s">
        <v>159</v>
      </c>
      <c r="B36" s="7">
        <f>B37</f>
        <v>77288658</v>
      </c>
      <c r="C36" s="94">
        <f>C37</f>
        <v>88168203</v>
      </c>
      <c r="D36" s="94">
        <f>D37</f>
        <v>81339911</v>
      </c>
      <c r="E36" s="187">
        <f t="shared" si="0"/>
        <v>0.92255380321179958</v>
      </c>
      <c r="G36" s="229"/>
    </row>
    <row r="37" spans="1:8">
      <c r="A37" s="13" t="s">
        <v>160</v>
      </c>
      <c r="B37" s="10">
        <f>SUM(B38:B41)</f>
        <v>77288658</v>
      </c>
      <c r="C37" s="10">
        <f>SUM(C38:C42)</f>
        <v>88168203</v>
      </c>
      <c r="D37" s="10">
        <f>SUM(D38:D42)</f>
        <v>81339911</v>
      </c>
      <c r="E37" s="216">
        <f t="shared" si="0"/>
        <v>0.92255380321179958</v>
      </c>
    </row>
    <row r="38" spans="1:8">
      <c r="A38" s="11" t="s">
        <v>161</v>
      </c>
      <c r="B38" s="4">
        <f>'4_ melléklet'!B13</f>
        <v>4200000</v>
      </c>
      <c r="C38" s="4">
        <f>'4_ melléklet'!C13</f>
        <v>4161156</v>
      </c>
      <c r="D38" s="4">
        <f>'4_ melléklet'!D13</f>
        <v>4105000</v>
      </c>
      <c r="E38" s="183">
        <f t="shared" si="0"/>
        <v>0.98650471167146825</v>
      </c>
    </row>
    <row r="39" spans="1:8">
      <c r="A39" s="11" t="s">
        <v>162</v>
      </c>
      <c r="B39" s="4">
        <f>'4_ melléklet'!B18</f>
        <v>53328658</v>
      </c>
      <c r="C39" s="4">
        <f>'4_ melléklet'!C18</f>
        <v>56111018</v>
      </c>
      <c r="D39" s="4">
        <f>'4_ melléklet'!D18</f>
        <v>56091870</v>
      </c>
      <c r="E39" s="183">
        <f t="shared" si="0"/>
        <v>0.99965874794857579</v>
      </c>
      <c r="G39" s="27"/>
    </row>
    <row r="40" spans="1:8">
      <c r="A40" s="11" t="s">
        <v>163</v>
      </c>
      <c r="B40" s="4">
        <f>'4_ melléklet'!B27</f>
        <v>7200000</v>
      </c>
      <c r="C40" s="4">
        <f>'4_ melléklet'!C27</f>
        <v>7200000</v>
      </c>
      <c r="D40" s="4">
        <f>'4_ melléklet'!D27</f>
        <v>5705449</v>
      </c>
      <c r="E40" s="183">
        <f t="shared" si="0"/>
        <v>0.7924234722222222</v>
      </c>
    </row>
    <row r="41" spans="1:8">
      <c r="A41" s="11" t="s">
        <v>164</v>
      </c>
      <c r="B41" s="4">
        <f>'4_ melléklet'!B31+'4_ melléklet'!B44</f>
        <v>12560000</v>
      </c>
      <c r="C41" s="4">
        <f>'4_ melléklet'!C31+'4_ melléklet'!C44</f>
        <v>14369600</v>
      </c>
      <c r="D41" s="4">
        <f>'4_ melléklet'!D31+'4_ melléklet'!D45</f>
        <v>9111163</v>
      </c>
      <c r="E41" s="183">
        <f t="shared" si="0"/>
        <v>0.63405822013138846</v>
      </c>
    </row>
    <row r="42" spans="1:8">
      <c r="A42" s="11" t="s">
        <v>233</v>
      </c>
      <c r="B42" s="4"/>
      <c r="C42" s="4">
        <f>'4_ melléklet'!C38</f>
        <v>6326429</v>
      </c>
      <c r="D42" s="4">
        <f>'4_ melléklet'!D38</f>
        <v>6326429</v>
      </c>
      <c r="E42" s="184">
        <f t="shared" si="0"/>
        <v>1</v>
      </c>
    </row>
    <row r="43" spans="1:8" ht="13.5" thickBot="1">
      <c r="A43" s="11"/>
      <c r="B43" s="4"/>
      <c r="C43" s="14"/>
      <c r="D43" s="4"/>
      <c r="E43" s="184"/>
    </row>
    <row r="44" spans="1:8" ht="13.5" thickBot="1">
      <c r="A44" s="47" t="s">
        <v>74</v>
      </c>
      <c r="B44" s="25">
        <f>B46+B78+B90</f>
        <v>15444689</v>
      </c>
      <c r="C44" s="94">
        <f>C46+C78+C90</f>
        <v>43493427</v>
      </c>
      <c r="D44" s="94">
        <f>D46+D78+D90</f>
        <v>38119652</v>
      </c>
      <c r="E44" s="204">
        <f t="shared" si="0"/>
        <v>0.87644627313455892</v>
      </c>
      <c r="G44" s="27">
        <f>D46+D78</f>
        <v>29747120</v>
      </c>
    </row>
    <row r="45" spans="1:8" ht="13.5" thickBot="1">
      <c r="A45" s="48"/>
      <c r="B45" s="86"/>
      <c r="C45" s="14"/>
      <c r="D45" s="4"/>
      <c r="E45" s="186"/>
      <c r="G45" s="27"/>
    </row>
    <row r="46" spans="1:8" ht="13.5" thickBot="1">
      <c r="A46" s="41" t="s">
        <v>34</v>
      </c>
      <c r="B46" s="42">
        <f>B47+B66+B69+B72</f>
        <v>7141730</v>
      </c>
      <c r="C46" s="94">
        <f>C47+C66+C69+C72+C75</f>
        <v>28774150</v>
      </c>
      <c r="D46" s="94">
        <f>D47+D66+D69+D72+D75</f>
        <v>26728430</v>
      </c>
      <c r="E46" s="187">
        <f t="shared" si="0"/>
        <v>0.92890424217570289</v>
      </c>
    </row>
    <row r="47" spans="1:8">
      <c r="A47" s="62" t="s">
        <v>127</v>
      </c>
      <c r="B47" s="63">
        <f>B48+B58+B59</f>
        <v>5784100</v>
      </c>
      <c r="C47" s="58">
        <f>C48+C58+C59+C60+C61+C62+C63+C64</f>
        <v>25538797</v>
      </c>
      <c r="D47" s="58">
        <f>D48+D58+D59+D61+D62+D63+D64+D60</f>
        <v>23958773</v>
      </c>
      <c r="E47" s="193">
        <f t="shared" si="0"/>
        <v>0.93813240302587475</v>
      </c>
    </row>
    <row r="48" spans="1:8">
      <c r="A48" s="57" t="s">
        <v>169</v>
      </c>
      <c r="B48" s="87">
        <f>B49+B50+B51+B52</f>
        <v>4147800</v>
      </c>
      <c r="C48" s="4">
        <f>C49+C50+C51+C52+C53+C54+C55+C56+C57</f>
        <v>10067275</v>
      </c>
      <c r="D48" s="4">
        <f>D49+D50+D51+D52+D53+D54+D55+D56+D57</f>
        <v>9536748</v>
      </c>
      <c r="E48" s="183">
        <f t="shared" si="0"/>
        <v>0.94730182695913245</v>
      </c>
    </row>
    <row r="49" spans="1:6">
      <c r="A49" s="14" t="s">
        <v>170</v>
      </c>
      <c r="B49" s="4">
        <v>1200000</v>
      </c>
      <c r="C49" s="4">
        <v>1200000</v>
      </c>
      <c r="D49" s="4">
        <v>1152550</v>
      </c>
      <c r="E49" s="183">
        <f t="shared" si="0"/>
        <v>0.9604583333333333</v>
      </c>
    </row>
    <row r="50" spans="1:6">
      <c r="A50" s="14" t="s">
        <v>171</v>
      </c>
      <c r="B50" s="4">
        <v>1000000</v>
      </c>
      <c r="C50" s="4">
        <v>1000000</v>
      </c>
      <c r="D50" s="4">
        <v>758295</v>
      </c>
      <c r="E50" s="183">
        <f t="shared" si="0"/>
        <v>0.75829500000000005</v>
      </c>
    </row>
    <row r="51" spans="1:6">
      <c r="A51" s="14" t="s">
        <v>172</v>
      </c>
      <c r="B51" s="4">
        <v>500000</v>
      </c>
      <c r="C51" s="4">
        <v>2227823</v>
      </c>
      <c r="D51" s="4">
        <v>2116522</v>
      </c>
      <c r="E51" s="183">
        <f t="shared" si="0"/>
        <v>0.9500404655127449</v>
      </c>
    </row>
    <row r="52" spans="1:6">
      <c r="A52" s="14" t="s">
        <v>183</v>
      </c>
      <c r="B52" s="4">
        <v>1447800</v>
      </c>
      <c r="C52" s="4">
        <v>1447800</v>
      </c>
      <c r="D52" s="4">
        <v>1446530</v>
      </c>
      <c r="E52" s="183">
        <f t="shared" si="0"/>
        <v>0.99912280701754386</v>
      </c>
    </row>
    <row r="53" spans="1:6">
      <c r="A53" s="14" t="s">
        <v>225</v>
      </c>
      <c r="B53" s="4"/>
      <c r="C53" s="4">
        <v>1734179</v>
      </c>
      <c r="D53" s="4">
        <f>194645+871100+368684+299750</f>
        <v>1734179</v>
      </c>
      <c r="E53" s="183">
        <f t="shared" si="0"/>
        <v>1</v>
      </c>
    </row>
    <row r="54" spans="1:6">
      <c r="A54" s="14" t="s">
        <v>226</v>
      </c>
      <c r="B54" s="4"/>
      <c r="C54" s="4">
        <v>1031748</v>
      </c>
      <c r="D54" s="4">
        <f>157300+406200+109674+109674+248900</f>
        <v>1031748</v>
      </c>
      <c r="E54" s="183">
        <f t="shared" si="0"/>
        <v>1</v>
      </c>
    </row>
    <row r="55" spans="1:6">
      <c r="A55" s="14" t="s">
        <v>227</v>
      </c>
      <c r="B55" s="4"/>
      <c r="C55" s="4">
        <v>396240</v>
      </c>
      <c r="D55" s="4">
        <f>312000+84240</f>
        <v>396240</v>
      </c>
      <c r="E55" s="183">
        <f t="shared" si="0"/>
        <v>1</v>
      </c>
    </row>
    <row r="56" spans="1:6">
      <c r="A56" s="14" t="s">
        <v>228</v>
      </c>
      <c r="B56" s="4"/>
      <c r="C56" s="4">
        <v>565935</v>
      </c>
      <c r="D56" s="4">
        <f>307134+130000</f>
        <v>437134</v>
      </c>
      <c r="E56" s="183">
        <f t="shared" si="0"/>
        <v>0.77241025912869854</v>
      </c>
    </row>
    <row r="57" spans="1:6">
      <c r="A57" s="14" t="s">
        <v>387</v>
      </c>
      <c r="B57" s="4"/>
      <c r="C57" s="4">
        <v>463550</v>
      </c>
      <c r="D57" s="4">
        <v>463550</v>
      </c>
      <c r="E57" s="183">
        <f t="shared" si="0"/>
        <v>1</v>
      </c>
    </row>
    <row r="58" spans="1:6">
      <c r="A58" s="14" t="s">
        <v>885</v>
      </c>
      <c r="B58" s="4">
        <f>1108000+228300</f>
        <v>1336300</v>
      </c>
      <c r="C58" s="4">
        <v>6000000</v>
      </c>
      <c r="D58" s="4">
        <f>5858895-D83</f>
        <v>5250503</v>
      </c>
      <c r="E58" s="183">
        <f t="shared" si="0"/>
        <v>0.87508383333333328</v>
      </c>
      <c r="F58" s="27">
        <f>D58-C58</f>
        <v>-749497</v>
      </c>
    </row>
    <row r="59" spans="1:6">
      <c r="A59" s="14" t="s">
        <v>222</v>
      </c>
      <c r="B59" s="4">
        <v>300000</v>
      </c>
      <c r="C59" s="4">
        <v>300000</v>
      </c>
      <c r="D59" s="4">
        <v>0</v>
      </c>
      <c r="E59" s="183">
        <f t="shared" si="0"/>
        <v>0</v>
      </c>
    </row>
    <row r="60" spans="1:6">
      <c r="A60" s="14" t="s">
        <v>224</v>
      </c>
      <c r="B60" s="4"/>
      <c r="C60" s="4">
        <v>167600</v>
      </c>
      <c r="D60" s="4">
        <v>167600</v>
      </c>
      <c r="E60" s="183">
        <f t="shared" si="0"/>
        <v>1</v>
      </c>
    </row>
    <row r="61" spans="1:6">
      <c r="A61" s="14" t="s">
        <v>229</v>
      </c>
      <c r="B61" s="4"/>
      <c r="C61" s="4">
        <v>2387600</v>
      </c>
      <c r="D61" s="4">
        <v>2387600</v>
      </c>
      <c r="E61" s="183">
        <f t="shared" si="0"/>
        <v>1</v>
      </c>
    </row>
    <row r="62" spans="1:6">
      <c r="A62" s="14" t="s">
        <v>388</v>
      </c>
      <c r="B62" s="4"/>
      <c r="C62" s="4">
        <v>3124863</v>
      </c>
      <c r="D62" s="4">
        <f>1383382+1741481</f>
        <v>3124863</v>
      </c>
      <c r="E62" s="183">
        <f t="shared" si="0"/>
        <v>1</v>
      </c>
      <c r="F62" s="27"/>
    </row>
    <row r="63" spans="1:6">
      <c r="A63" s="14" t="s">
        <v>230</v>
      </c>
      <c r="B63" s="4"/>
      <c r="C63" s="4">
        <v>508000</v>
      </c>
      <c r="D63" s="4">
        <v>508000</v>
      </c>
      <c r="E63" s="183">
        <f t="shared" si="0"/>
        <v>1</v>
      </c>
      <c r="F63" s="27"/>
    </row>
    <row r="64" spans="1:6">
      <c r="A64" s="14" t="s">
        <v>914</v>
      </c>
      <c r="B64" s="4"/>
      <c r="C64" s="4">
        <v>2983459</v>
      </c>
      <c r="D64" s="4">
        <f>2796473+186986</f>
        <v>2983459</v>
      </c>
      <c r="E64" s="183">
        <f t="shared" si="0"/>
        <v>1</v>
      </c>
    </row>
    <row r="65" spans="1:5">
      <c r="A65" s="14"/>
      <c r="B65" s="4"/>
      <c r="C65" s="4"/>
      <c r="D65" s="4"/>
      <c r="E65" s="183"/>
    </row>
    <row r="66" spans="1:5">
      <c r="A66" s="61" t="s">
        <v>45</v>
      </c>
      <c r="B66" s="58">
        <f>B67</f>
        <v>254000</v>
      </c>
      <c r="C66" s="58">
        <f>SUM(C67)</f>
        <v>545708</v>
      </c>
      <c r="D66" s="58">
        <f>SUM(D67)</f>
        <v>545708</v>
      </c>
      <c r="E66" s="217">
        <f t="shared" si="0"/>
        <v>1</v>
      </c>
    </row>
    <row r="67" spans="1:5">
      <c r="A67" s="14" t="s">
        <v>139</v>
      </c>
      <c r="B67" s="4">
        <v>254000</v>
      </c>
      <c r="C67" s="4">
        <v>545708</v>
      </c>
      <c r="D67" s="4">
        <v>545708</v>
      </c>
      <c r="E67" s="183">
        <f t="shared" si="0"/>
        <v>1</v>
      </c>
    </row>
    <row r="68" spans="1:5">
      <c r="A68" s="14"/>
      <c r="B68" s="4"/>
      <c r="C68" s="4"/>
      <c r="D68" s="4"/>
      <c r="E68" s="183"/>
    </row>
    <row r="69" spans="1:5">
      <c r="A69" s="61" t="s">
        <v>46</v>
      </c>
      <c r="B69" s="58">
        <f>SUM(B70)</f>
        <v>608330</v>
      </c>
      <c r="C69" s="58">
        <f>SUM(C70)</f>
        <v>2000195</v>
      </c>
      <c r="D69" s="58">
        <f>SUM(D70)</f>
        <v>1620003</v>
      </c>
      <c r="E69" s="217">
        <f t="shared" si="0"/>
        <v>0.80992253255307611</v>
      </c>
    </row>
    <row r="70" spans="1:5">
      <c r="A70" s="14" t="s">
        <v>140</v>
      </c>
      <c r="B70" s="4">
        <v>608330</v>
      </c>
      <c r="C70" s="4">
        <v>2000195</v>
      </c>
      <c r="D70" s="4">
        <v>1620003</v>
      </c>
      <c r="E70" s="183">
        <f t="shared" si="0"/>
        <v>0.80992253255307611</v>
      </c>
    </row>
    <row r="71" spans="1:5">
      <c r="A71" s="14"/>
      <c r="B71" s="4"/>
      <c r="C71" s="4"/>
      <c r="D71" s="4"/>
      <c r="E71" s="183"/>
    </row>
    <row r="72" spans="1:5">
      <c r="A72" s="61" t="s">
        <v>265</v>
      </c>
      <c r="B72" s="58">
        <f>B73</f>
        <v>495300</v>
      </c>
      <c r="C72" s="58">
        <f>C73</f>
        <v>685300</v>
      </c>
      <c r="D72" s="58">
        <f>SUM(D73)</f>
        <v>599796</v>
      </c>
      <c r="E72" s="217">
        <f t="shared" si="0"/>
        <v>0.87523128556836427</v>
      </c>
    </row>
    <row r="73" spans="1:5">
      <c r="A73" s="14" t="s">
        <v>141</v>
      </c>
      <c r="B73" s="4">
        <v>495300</v>
      </c>
      <c r="C73" s="4">
        <v>685300</v>
      </c>
      <c r="D73" s="4">
        <v>599796</v>
      </c>
      <c r="E73" s="183">
        <f t="shared" si="0"/>
        <v>0.87523128556836427</v>
      </c>
    </row>
    <row r="74" spans="1:5">
      <c r="A74" s="14"/>
      <c r="B74" s="4"/>
      <c r="C74" s="4"/>
      <c r="D74" s="4"/>
      <c r="E74" s="184"/>
    </row>
    <row r="75" spans="1:5">
      <c r="A75" s="203" t="s">
        <v>231</v>
      </c>
      <c r="B75" s="4"/>
      <c r="C75" s="58">
        <f>C76</f>
        <v>4150</v>
      </c>
      <c r="D75" s="58">
        <f>D76</f>
        <v>4150</v>
      </c>
      <c r="E75" s="217">
        <f t="shared" si="0"/>
        <v>1</v>
      </c>
    </row>
    <row r="76" spans="1:5">
      <c r="A76" s="14" t="s">
        <v>232</v>
      </c>
      <c r="B76" s="4"/>
      <c r="C76" s="14">
        <v>4150</v>
      </c>
      <c r="D76" s="4">
        <v>4150</v>
      </c>
      <c r="E76" s="183">
        <f t="shared" si="0"/>
        <v>1</v>
      </c>
    </row>
    <row r="77" spans="1:5" ht="13.5" thickBot="1">
      <c r="A77" s="14"/>
      <c r="B77" s="4"/>
      <c r="C77" s="4"/>
      <c r="D77" s="4"/>
      <c r="E77" s="184"/>
    </row>
    <row r="78" spans="1:5" ht="13.5" thickBot="1">
      <c r="A78" s="43" t="s">
        <v>35</v>
      </c>
      <c r="B78" s="44">
        <f>B79</f>
        <v>2802959</v>
      </c>
      <c r="C78" s="94">
        <f>C79</f>
        <v>6346745</v>
      </c>
      <c r="D78" s="94">
        <f>D79</f>
        <v>3018690</v>
      </c>
      <c r="E78" s="187">
        <f t="shared" ref="E78:E88" si="4">(D78/C78)</f>
        <v>0.47562805816209724</v>
      </c>
    </row>
    <row r="79" spans="1:5">
      <c r="A79" s="62" t="s">
        <v>102</v>
      </c>
      <c r="B79" s="66">
        <f>SUM(B80:B82)</f>
        <v>2802959</v>
      </c>
      <c r="C79" s="58">
        <f>SUM(C80:C88)</f>
        <v>6346745</v>
      </c>
      <c r="D79" s="58">
        <f>SUM(D80:D88)</f>
        <v>3018690</v>
      </c>
      <c r="E79" s="193">
        <f t="shared" si="4"/>
        <v>0.47562805816209724</v>
      </c>
    </row>
    <row r="80" spans="1:5">
      <c r="A80" s="76" t="s">
        <v>178</v>
      </c>
      <c r="B80" s="4">
        <v>1000000</v>
      </c>
      <c r="C80" s="4">
        <v>1000000</v>
      </c>
      <c r="D80" s="4">
        <v>817461</v>
      </c>
      <c r="E80" s="183">
        <f t="shared" si="4"/>
        <v>0.81746099999999999</v>
      </c>
    </row>
    <row r="81" spans="1:9">
      <c r="A81" s="76" t="s">
        <v>915</v>
      </c>
      <c r="B81" s="4">
        <v>1500000</v>
      </c>
      <c r="C81" s="4">
        <v>208116</v>
      </c>
      <c r="D81" s="4">
        <v>0</v>
      </c>
      <c r="E81" s="183">
        <f t="shared" si="4"/>
        <v>0</v>
      </c>
      <c r="G81" s="87">
        <v>1275715</v>
      </c>
    </row>
    <row r="82" spans="1:9">
      <c r="A82" s="76" t="s">
        <v>185</v>
      </c>
      <c r="B82" s="4">
        <v>302959</v>
      </c>
      <c r="C82" s="4">
        <v>733407</v>
      </c>
      <c r="D82" s="4">
        <v>733407</v>
      </c>
      <c r="E82" s="183">
        <f t="shared" si="4"/>
        <v>1</v>
      </c>
      <c r="G82" s="87">
        <v>193940</v>
      </c>
    </row>
    <row r="83" spans="1:9">
      <c r="A83" s="76" t="s">
        <v>223</v>
      </c>
      <c r="B83" s="4"/>
      <c r="C83" s="4">
        <v>900000</v>
      </c>
      <c r="D83" s="4">
        <v>608392</v>
      </c>
      <c r="E83" s="184">
        <f t="shared" si="4"/>
        <v>0.6759911111111111</v>
      </c>
      <c r="G83">
        <v>27950</v>
      </c>
    </row>
    <row r="84" spans="1:9">
      <c r="A84" s="76" t="s">
        <v>249</v>
      </c>
      <c r="B84" s="4"/>
      <c r="C84" s="4">
        <v>161290</v>
      </c>
      <c r="D84" s="4">
        <v>161290</v>
      </c>
      <c r="E84" s="184">
        <f t="shared" si="4"/>
        <v>1</v>
      </c>
      <c r="G84" s="27">
        <f>SUM(G81:G83)</f>
        <v>1497605</v>
      </c>
    </row>
    <row r="85" spans="1:9">
      <c r="A85" s="76" t="s">
        <v>389</v>
      </c>
      <c r="B85" s="4"/>
      <c r="C85" s="4">
        <v>381000</v>
      </c>
      <c r="D85" s="4">
        <v>381000</v>
      </c>
      <c r="E85" s="184">
        <f t="shared" si="4"/>
        <v>1</v>
      </c>
    </row>
    <row r="86" spans="1:9" ht="25.9" customHeight="1">
      <c r="A86" s="614" t="s">
        <v>916</v>
      </c>
      <c r="B86" s="4"/>
      <c r="C86" s="4">
        <v>2741042</v>
      </c>
      <c r="D86" s="4">
        <v>0</v>
      </c>
      <c r="E86" s="184">
        <f t="shared" si="4"/>
        <v>0</v>
      </c>
    </row>
    <row r="87" spans="1:9">
      <c r="A87" s="76" t="s">
        <v>258</v>
      </c>
      <c r="B87" s="4"/>
      <c r="C87" s="4">
        <v>193940</v>
      </c>
      <c r="D87" s="4">
        <v>289190</v>
      </c>
      <c r="E87" s="184">
        <f t="shared" si="4"/>
        <v>1.4911312777147572</v>
      </c>
    </row>
    <row r="88" spans="1:9">
      <c r="A88" s="76" t="s">
        <v>259</v>
      </c>
      <c r="B88" s="4"/>
      <c r="C88" s="4">
        <v>27950</v>
      </c>
      <c r="D88" s="4">
        <v>27950</v>
      </c>
      <c r="E88" s="184">
        <f t="shared" si="4"/>
        <v>1</v>
      </c>
    </row>
    <row r="89" spans="1:9" ht="13.5" thickBot="1">
      <c r="A89" s="14"/>
      <c r="B89" s="4"/>
      <c r="C89" s="4"/>
      <c r="D89" s="4"/>
      <c r="E89" s="184"/>
    </row>
    <row r="90" spans="1:9" ht="13.5" thickBot="1">
      <c r="A90" s="43" t="s">
        <v>130</v>
      </c>
      <c r="B90" s="44">
        <f>B91</f>
        <v>5500000</v>
      </c>
      <c r="C90" s="94">
        <v>8372532</v>
      </c>
      <c r="D90" s="251">
        <f>D91</f>
        <v>8372532</v>
      </c>
      <c r="E90" s="192">
        <f>(D90/C90)</f>
        <v>1</v>
      </c>
    </row>
    <row r="91" spans="1:9">
      <c r="A91" s="62" t="s">
        <v>135</v>
      </c>
      <c r="B91" s="66">
        <f>+B92+B93</f>
        <v>5500000</v>
      </c>
      <c r="C91" s="58">
        <v>8372532</v>
      </c>
      <c r="D91" s="58">
        <f>SUM(D92:D94)</f>
        <v>8372532</v>
      </c>
      <c r="E91" s="193">
        <f>(D91/C91)</f>
        <v>1</v>
      </c>
    </row>
    <row r="92" spans="1:9" ht="22.5">
      <c r="A92" s="252" t="s">
        <v>201</v>
      </c>
      <c r="B92" s="65">
        <v>3000000</v>
      </c>
      <c r="C92" s="4">
        <v>3000000</v>
      </c>
      <c r="D92" s="4">
        <v>3000000</v>
      </c>
      <c r="E92" s="183">
        <f>(D92/C92)</f>
        <v>1</v>
      </c>
    </row>
    <row r="93" spans="1:9">
      <c r="A93" s="64" t="s">
        <v>200</v>
      </c>
      <c r="B93" s="65">
        <v>2500000</v>
      </c>
      <c r="C93" s="4">
        <v>2500000</v>
      </c>
      <c r="D93" s="4">
        <v>2500000</v>
      </c>
      <c r="E93" s="183">
        <f t="shared" ref="E93:E146" si="5">(D93/C93)</f>
        <v>1</v>
      </c>
    </row>
    <row r="94" spans="1:9">
      <c r="A94" s="64" t="s">
        <v>217</v>
      </c>
      <c r="B94" s="65"/>
      <c r="C94" s="4">
        <v>2872532</v>
      </c>
      <c r="D94" s="4">
        <v>2872532</v>
      </c>
      <c r="E94" s="184">
        <f t="shared" si="5"/>
        <v>1</v>
      </c>
    </row>
    <row r="95" spans="1:9" ht="13.5" thickBot="1">
      <c r="A95" s="35"/>
      <c r="B95" s="86"/>
      <c r="C95" s="14"/>
      <c r="D95" s="4"/>
      <c r="E95" s="184"/>
      <c r="I95" s="229"/>
    </row>
    <row r="96" spans="1:9" ht="13.5" thickBot="1">
      <c r="A96" s="41" t="s">
        <v>48</v>
      </c>
      <c r="B96" s="42">
        <f>B97+B98+B99</f>
        <v>49500000</v>
      </c>
      <c r="C96" s="94">
        <f>SUM(C97:C99)</f>
        <v>36246087</v>
      </c>
      <c r="D96" s="98"/>
      <c r="E96" s="185">
        <f t="shared" si="5"/>
        <v>0</v>
      </c>
      <c r="I96" s="229"/>
    </row>
    <row r="97" spans="1:10">
      <c r="A97" s="11" t="s">
        <v>69</v>
      </c>
      <c r="B97" s="15">
        <f>25000000+8000000-2000000-2000000+4000000-2500000</f>
        <v>30500000</v>
      </c>
      <c r="C97" s="4">
        <v>26846019</v>
      </c>
      <c r="D97" s="4"/>
      <c r="E97" s="182">
        <f t="shared" si="5"/>
        <v>0</v>
      </c>
      <c r="I97" s="229"/>
    </row>
    <row r="98" spans="1:10">
      <c r="A98" s="11" t="s">
        <v>134</v>
      </c>
      <c r="B98" s="88">
        <v>10000000</v>
      </c>
      <c r="C98" s="4">
        <v>400068</v>
      </c>
      <c r="D98" s="4"/>
      <c r="E98" s="183">
        <f t="shared" si="5"/>
        <v>0</v>
      </c>
      <c r="I98" s="229">
        <v>1124524439</v>
      </c>
    </row>
    <row r="99" spans="1:10">
      <c r="A99" s="11" t="s">
        <v>150</v>
      </c>
      <c r="B99" s="88">
        <v>9000000</v>
      </c>
      <c r="C99" s="4">
        <v>9000000</v>
      </c>
      <c r="D99" s="4"/>
      <c r="E99" s="183">
        <f t="shared" si="5"/>
        <v>0</v>
      </c>
      <c r="I99" s="229">
        <v>-1064690697</v>
      </c>
    </row>
    <row r="100" spans="1:10">
      <c r="A100" s="79"/>
      <c r="B100" s="15"/>
      <c r="C100" s="14"/>
      <c r="D100" s="4"/>
      <c r="E100" s="184"/>
      <c r="I100" s="229">
        <f>SUM(I98:I99)</f>
        <v>59833742</v>
      </c>
    </row>
    <row r="101" spans="1:10" s="610" customFormat="1">
      <c r="A101" s="79"/>
      <c r="B101" s="15"/>
      <c r="C101" s="14"/>
      <c r="D101" s="4"/>
      <c r="E101" s="186"/>
      <c r="I101" s="229"/>
    </row>
    <row r="102" spans="1:10" s="610" customFormat="1" ht="13.5" thickBot="1">
      <c r="A102" s="79"/>
      <c r="B102" s="15"/>
      <c r="C102" s="14"/>
      <c r="D102" s="4"/>
      <c r="E102" s="186"/>
      <c r="I102" s="229"/>
    </row>
    <row r="103" spans="1:10" ht="23.25" thickBot="1">
      <c r="A103" s="114" t="s">
        <v>131</v>
      </c>
      <c r="B103" s="620">
        <f>B6+B44+B96</f>
        <v>707579672</v>
      </c>
      <c r="C103" s="621">
        <f>C96+C44+C6</f>
        <v>814325346</v>
      </c>
      <c r="D103" s="621">
        <f>D44+D6</f>
        <v>736771704</v>
      </c>
      <c r="E103" s="622">
        <f t="shared" si="5"/>
        <v>0.90476332048247454</v>
      </c>
      <c r="G103" s="27"/>
      <c r="I103" s="229">
        <f>D118-I100</f>
        <v>5263</v>
      </c>
    </row>
    <row r="104" spans="1:10">
      <c r="A104" s="12"/>
      <c r="B104" s="12"/>
      <c r="C104" s="30"/>
      <c r="D104" s="14"/>
      <c r="E104" s="4"/>
      <c r="F104" s="186"/>
      <c r="J104" s="229">
        <v>38844</v>
      </c>
    </row>
    <row r="105" spans="1:10" ht="13.5" thickBot="1">
      <c r="A105" s="67"/>
      <c r="B105" s="67"/>
      <c r="C105" s="49"/>
      <c r="D105" s="14"/>
      <c r="E105" s="4"/>
      <c r="F105" s="186"/>
      <c r="J105" s="292">
        <f>I103-J104</f>
        <v>-33581</v>
      </c>
    </row>
    <row r="106" spans="1:10" ht="13.5" thickBot="1">
      <c r="A106" s="72" t="s">
        <v>149</v>
      </c>
      <c r="B106" s="73">
        <f>B108+B109</f>
        <v>39574267</v>
      </c>
      <c r="C106" s="94">
        <f>C107+C111</f>
        <v>372292183</v>
      </c>
      <c r="D106" s="94">
        <f>D107+D111</f>
        <v>372292183</v>
      </c>
      <c r="E106" s="187">
        <f t="shared" si="5"/>
        <v>1</v>
      </c>
    </row>
    <row r="107" spans="1:10">
      <c r="A107" s="604" t="s">
        <v>883</v>
      </c>
      <c r="B107" s="280"/>
      <c r="C107" s="55">
        <f>C108+C110+C109</f>
        <v>102292183</v>
      </c>
      <c r="D107" s="55">
        <f>D108+D110+D109</f>
        <v>102292183</v>
      </c>
      <c r="E107" s="605">
        <f t="shared" si="5"/>
        <v>1</v>
      </c>
    </row>
    <row r="108" spans="1:10">
      <c r="A108" s="11" t="s">
        <v>392</v>
      </c>
      <c r="B108" s="74">
        <v>11587334</v>
      </c>
      <c r="C108" s="4">
        <v>11587334</v>
      </c>
      <c r="D108" s="4">
        <v>11587334</v>
      </c>
      <c r="E108" s="182">
        <f t="shared" si="5"/>
        <v>1</v>
      </c>
    </row>
    <row r="109" spans="1:10">
      <c r="A109" s="75" t="s">
        <v>917</v>
      </c>
      <c r="B109" s="88">
        <f>39942902-11955969</f>
        <v>27986933</v>
      </c>
      <c r="C109" s="4">
        <v>27986933</v>
      </c>
      <c r="D109" s="4">
        <v>27986933</v>
      </c>
      <c r="E109" s="183">
        <f t="shared" si="5"/>
        <v>1</v>
      </c>
    </row>
    <row r="110" spans="1:10">
      <c r="A110" s="75" t="s">
        <v>884</v>
      </c>
      <c r="B110" s="88"/>
      <c r="C110" s="4">
        <v>62717916</v>
      </c>
      <c r="D110" s="4">
        <v>62717916</v>
      </c>
      <c r="E110" s="183">
        <f t="shared" si="5"/>
        <v>1</v>
      </c>
    </row>
    <row r="111" spans="1:10">
      <c r="A111" s="279" t="s">
        <v>390</v>
      </c>
      <c r="B111" s="88"/>
      <c r="C111" s="8">
        <f>C112</f>
        <v>270000000</v>
      </c>
      <c r="D111" s="8">
        <f>D112</f>
        <v>270000000</v>
      </c>
      <c r="E111" s="606">
        <f t="shared" si="5"/>
        <v>1</v>
      </c>
    </row>
    <row r="112" spans="1:10">
      <c r="A112" s="75" t="s">
        <v>391</v>
      </c>
      <c r="B112" s="88"/>
      <c r="C112" s="4">
        <v>270000000</v>
      </c>
      <c r="D112" s="4">
        <v>270000000</v>
      </c>
      <c r="E112" s="183">
        <f t="shared" si="5"/>
        <v>1</v>
      </c>
    </row>
    <row r="113" spans="1:11" s="611" customFormat="1" ht="13.5" thickBot="1">
      <c r="A113" s="75"/>
      <c r="B113" s="88"/>
      <c r="C113" s="4"/>
      <c r="D113" s="4"/>
      <c r="E113" s="184"/>
    </row>
    <row r="114" spans="1:11" s="611" customFormat="1" ht="13.5" thickBot="1">
      <c r="A114" s="6" t="s">
        <v>895</v>
      </c>
      <c r="B114" s="44">
        <f>B103+B106</f>
        <v>747153939</v>
      </c>
      <c r="C114" s="44">
        <f t="shared" ref="C114:D114" si="6">C103+C106</f>
        <v>1186617529</v>
      </c>
      <c r="D114" s="44">
        <f t="shared" si="6"/>
        <v>1109063887</v>
      </c>
      <c r="E114" s="187">
        <f t="shared" si="5"/>
        <v>0.93464310099535031</v>
      </c>
    </row>
    <row r="115" spans="1:11" s="611" customFormat="1">
      <c r="A115" s="75"/>
      <c r="B115" s="88"/>
      <c r="C115" s="4"/>
      <c r="D115" s="4"/>
      <c r="E115" s="184"/>
    </row>
    <row r="116" spans="1:11" ht="13.5" thickBot="1">
      <c r="A116" s="75"/>
      <c r="B116" s="88"/>
      <c r="C116" s="4"/>
      <c r="D116" s="4"/>
      <c r="E116" s="184"/>
      <c r="I116" s="229"/>
    </row>
    <row r="117" spans="1:11" ht="13.5" thickBot="1">
      <c r="A117" s="31" t="s">
        <v>393</v>
      </c>
      <c r="B117" s="44"/>
      <c r="C117" s="98"/>
      <c r="D117" s="194">
        <f>SUM(D118:D121)</f>
        <v>73258390</v>
      </c>
      <c r="E117" s="201"/>
      <c r="F117" s="27">
        <f>D123-E117-D117</f>
        <v>1109063887</v>
      </c>
      <c r="I117" s="229">
        <v>-73258390</v>
      </c>
      <c r="K117">
        <f>(D103+D106)/C123</f>
        <v>0.93464310099535031</v>
      </c>
    </row>
    <row r="118" spans="1:11">
      <c r="A118" s="91" t="s">
        <v>5</v>
      </c>
      <c r="B118" s="55"/>
      <c r="C118" s="87"/>
      <c r="D118" s="37">
        <f>59833742+5263</f>
        <v>59839005</v>
      </c>
      <c r="E118" s="202"/>
      <c r="I118" s="229">
        <f>D117</f>
        <v>73258390</v>
      </c>
    </row>
    <row r="119" spans="1:11">
      <c r="A119" s="102" t="s">
        <v>7</v>
      </c>
      <c r="B119" s="55"/>
      <c r="C119" s="87"/>
      <c r="D119" s="23">
        <f>138165447-134120102</f>
        <v>4045345</v>
      </c>
      <c r="E119" s="202"/>
      <c r="G119" s="229">
        <f>(126655355+103180907+123422530+1320102)</f>
        <v>354578894</v>
      </c>
      <c r="I119" s="229">
        <f>SUM(I117:I118)</f>
        <v>0</v>
      </c>
    </row>
    <row r="120" spans="1:11">
      <c r="A120" s="102" t="s">
        <v>195</v>
      </c>
      <c r="B120" s="55"/>
      <c r="C120" s="87"/>
      <c r="D120" s="37">
        <v>4110317</v>
      </c>
      <c r="E120" s="202"/>
      <c r="G120" s="27">
        <f>D123</f>
        <v>1182322277</v>
      </c>
      <c r="I120" s="229"/>
    </row>
    <row r="121" spans="1:11">
      <c r="A121" s="102" t="s">
        <v>266</v>
      </c>
      <c r="B121" s="55"/>
      <c r="C121" s="87"/>
      <c r="D121" s="37">
        <v>5263723</v>
      </c>
      <c r="E121" s="202"/>
      <c r="G121" s="231">
        <f>SUM(G119:G120)</f>
        <v>1536901171</v>
      </c>
    </row>
    <row r="122" spans="1:11" ht="13.5" thickBot="1">
      <c r="A122" s="12"/>
      <c r="B122" s="15"/>
      <c r="C122" s="14"/>
      <c r="D122" s="4"/>
      <c r="E122" s="184"/>
    </row>
    <row r="123" spans="1:11" ht="13.5" thickBot="1">
      <c r="A123" s="6" t="s">
        <v>894</v>
      </c>
      <c r="B123" s="25">
        <f>B103+B106</f>
        <v>747153939</v>
      </c>
      <c r="C123" s="94">
        <f>C103+C106</f>
        <v>1186617529</v>
      </c>
      <c r="D123" s="94">
        <f>D103+D106+D117</f>
        <v>1182322277</v>
      </c>
      <c r="E123" s="187">
        <f t="shared" si="5"/>
        <v>0.99638025573107813</v>
      </c>
    </row>
    <row r="124" spans="1:11">
      <c r="A124" s="12"/>
      <c r="B124" s="55"/>
      <c r="C124" s="14"/>
      <c r="D124" s="4"/>
      <c r="E124" s="182"/>
      <c r="G124" s="229">
        <v>-1064690697</v>
      </c>
      <c r="H124" s="229">
        <v>1124524439</v>
      </c>
      <c r="I124" s="229">
        <f>SUM(G124:H124)</f>
        <v>59833742</v>
      </c>
    </row>
    <row r="125" spans="1:11">
      <c r="A125" s="12"/>
      <c r="B125" s="55"/>
      <c r="C125" s="14"/>
      <c r="D125" s="4"/>
      <c r="E125" s="183"/>
    </row>
    <row r="126" spans="1:11">
      <c r="A126" s="12"/>
      <c r="B126" s="55"/>
      <c r="C126" s="14"/>
      <c r="D126" s="4"/>
      <c r="E126" s="183"/>
    </row>
    <row r="127" spans="1:11">
      <c r="A127" s="29" t="s">
        <v>65</v>
      </c>
      <c r="B127" s="79"/>
      <c r="C127" s="14"/>
      <c r="D127" s="4"/>
      <c r="E127" s="183"/>
    </row>
    <row r="128" spans="1:11" ht="13.5" thickBot="1">
      <c r="A128" s="89"/>
      <c r="B128" s="89"/>
      <c r="C128" s="14"/>
      <c r="D128" s="4"/>
      <c r="E128" s="184"/>
    </row>
    <row r="129" spans="1:7" ht="23.25" thickBot="1">
      <c r="A129" s="56" t="s">
        <v>143</v>
      </c>
      <c r="B129" s="38">
        <f>bevételek!B85-kiadások!B6-kiadások!B96</f>
        <v>-53160442</v>
      </c>
      <c r="C129" s="94">
        <f>C130-C131</f>
        <v>-48527726</v>
      </c>
      <c r="D129" s="94">
        <f>D130-D131</f>
        <v>-55464732</v>
      </c>
      <c r="E129" s="187">
        <f t="shared" si="5"/>
        <v>1.142949331687209</v>
      </c>
    </row>
    <row r="130" spans="1:7">
      <c r="A130" s="32" t="s">
        <v>404</v>
      </c>
      <c r="B130" s="15">
        <f>bevételek!B85</f>
        <v>638974541</v>
      </c>
      <c r="C130" s="4">
        <f>bevételek!C85</f>
        <v>722304193</v>
      </c>
      <c r="D130" s="4">
        <f>bevételek!D85</f>
        <v>716445710</v>
      </c>
      <c r="E130" s="182">
        <f t="shared" si="5"/>
        <v>0.99188917487012285</v>
      </c>
      <c r="F130" s="27"/>
    </row>
    <row r="131" spans="1:7" ht="14.25" customHeight="1" thickBot="1">
      <c r="A131" s="32" t="s">
        <v>886</v>
      </c>
      <c r="B131" s="219">
        <f>B6+B96</f>
        <v>692134983</v>
      </c>
      <c r="C131" s="4">
        <f>C6+C96</f>
        <v>770831919</v>
      </c>
      <c r="D131" s="4">
        <f>D6+D117</f>
        <v>771910442</v>
      </c>
      <c r="E131" s="184">
        <f t="shared" si="5"/>
        <v>1.0013991675401808</v>
      </c>
      <c r="F131" s="27"/>
    </row>
    <row r="132" spans="1:7" ht="23.25" thickBot="1">
      <c r="A132" s="39" t="s">
        <v>145</v>
      </c>
      <c r="B132" s="220">
        <f>B133-B134</f>
        <v>37074267</v>
      </c>
      <c r="C132" s="94">
        <f>C133-C134</f>
        <v>354989965</v>
      </c>
      <c r="D132" s="94">
        <f>D133-D134</f>
        <v>361926971</v>
      </c>
      <c r="E132" s="187">
        <f t="shared" si="5"/>
        <v>1.0195414143608257</v>
      </c>
    </row>
    <row r="133" spans="1:7">
      <c r="A133" s="32" t="s">
        <v>67</v>
      </c>
      <c r="B133" s="15">
        <f>bevételek!B103</f>
        <v>52518956</v>
      </c>
      <c r="C133" s="4">
        <f>bevételek!C103</f>
        <v>398483392</v>
      </c>
      <c r="D133" s="4">
        <f>bevételek!D103</f>
        <v>400046623</v>
      </c>
      <c r="E133" s="182">
        <f t="shared" si="5"/>
        <v>1.0039229514488774</v>
      </c>
    </row>
    <row r="134" spans="1:7" ht="13.5" thickBot="1">
      <c r="A134" s="32" t="s">
        <v>136</v>
      </c>
      <c r="B134" s="219">
        <f>B44</f>
        <v>15444689</v>
      </c>
      <c r="C134" s="4">
        <f>C44</f>
        <v>43493427</v>
      </c>
      <c r="D134" s="4">
        <f>D44</f>
        <v>38119652</v>
      </c>
      <c r="E134" s="184">
        <f t="shared" si="5"/>
        <v>0.87644627313455892</v>
      </c>
    </row>
    <row r="135" spans="1:7" ht="23.25" thickBot="1">
      <c r="A135" s="56" t="s">
        <v>144</v>
      </c>
      <c r="B135" s="50">
        <f>B129+B132</f>
        <v>-16086175</v>
      </c>
      <c r="C135" s="94">
        <f>C132+C129</f>
        <v>306462239</v>
      </c>
      <c r="D135" s="94">
        <f>D129+D132</f>
        <v>306462239</v>
      </c>
      <c r="E135" s="187">
        <f t="shared" si="5"/>
        <v>1</v>
      </c>
    </row>
    <row r="136" spans="1:7" ht="13.5" thickBot="1">
      <c r="A136" s="51"/>
      <c r="B136" s="30"/>
      <c r="C136" s="14"/>
      <c r="D136" s="4"/>
      <c r="E136" s="186"/>
    </row>
    <row r="137" spans="1:7" ht="13.5" thickBot="1">
      <c r="A137" s="31" t="s">
        <v>20</v>
      </c>
      <c r="B137" s="28">
        <f>bevételek!B111</f>
        <v>55660442</v>
      </c>
      <c r="C137" s="94">
        <v>55661442</v>
      </c>
      <c r="D137" s="94">
        <f>bevételek!D111</f>
        <v>55661442</v>
      </c>
      <c r="E137" s="187">
        <f t="shared" si="5"/>
        <v>1</v>
      </c>
    </row>
    <row r="138" spans="1:7" ht="13.5" thickBot="1">
      <c r="A138" s="79"/>
      <c r="B138" s="79"/>
      <c r="C138" s="14"/>
      <c r="D138" s="8"/>
      <c r="E138" s="205"/>
    </row>
    <row r="139" spans="1:7" ht="13.5" thickBot="1">
      <c r="A139" s="6" t="s">
        <v>68</v>
      </c>
      <c r="B139" s="28">
        <f>B140-B141</f>
        <v>-11587334</v>
      </c>
      <c r="C139" s="94">
        <f>C140-C141-C142</f>
        <v>-271418832</v>
      </c>
      <c r="D139" s="94">
        <f>D140-D141-D142</f>
        <v>-271418832</v>
      </c>
      <c r="E139" s="187">
        <f t="shared" si="5"/>
        <v>1</v>
      </c>
    </row>
    <row r="140" spans="1:7">
      <c r="A140" s="11" t="s">
        <v>60</v>
      </c>
      <c r="B140" s="81">
        <v>0</v>
      </c>
      <c r="C140" s="4">
        <f>bevételek!C108</f>
        <v>10168502</v>
      </c>
      <c r="D140" s="4">
        <f>bevételek!D108</f>
        <v>10168502</v>
      </c>
      <c r="E140" s="184">
        <f t="shared" si="5"/>
        <v>1</v>
      </c>
    </row>
    <row r="141" spans="1:7">
      <c r="A141" s="11" t="s">
        <v>61</v>
      </c>
      <c r="B141" s="23">
        <f>B108</f>
        <v>11587334</v>
      </c>
      <c r="C141" s="4">
        <v>11587334</v>
      </c>
      <c r="D141" s="4">
        <f>D108</f>
        <v>11587334</v>
      </c>
      <c r="E141" s="184">
        <f t="shared" si="5"/>
        <v>1</v>
      </c>
    </row>
    <row r="142" spans="1:7" ht="13.5" thickBot="1">
      <c r="A142" s="11" t="s">
        <v>405</v>
      </c>
      <c r="B142" s="23">
        <v>0</v>
      </c>
      <c r="C142" s="4">
        <f>C112</f>
        <v>270000000</v>
      </c>
      <c r="D142" s="4">
        <f>kiadások!D112</f>
        <v>270000000</v>
      </c>
      <c r="E142" s="184">
        <f t="shared" si="5"/>
        <v>1</v>
      </c>
    </row>
    <row r="143" spans="1:7" ht="13.5" thickBot="1">
      <c r="A143" s="6" t="s">
        <v>70</v>
      </c>
      <c r="B143" s="28">
        <f>B144-B145</f>
        <v>-27986933</v>
      </c>
      <c r="C143" s="94">
        <f>C144-C145</f>
        <v>-90704849</v>
      </c>
      <c r="D143" s="94">
        <f>D144-D145</f>
        <v>-90704849</v>
      </c>
      <c r="E143" s="185">
        <f t="shared" si="5"/>
        <v>1</v>
      </c>
    </row>
    <row r="144" spans="1:7">
      <c r="A144" s="11" t="s">
        <v>62</v>
      </c>
      <c r="B144" s="81">
        <v>0</v>
      </c>
      <c r="C144" s="4">
        <v>0</v>
      </c>
      <c r="D144" s="4">
        <v>0</v>
      </c>
      <c r="E144" s="182">
        <v>0</v>
      </c>
      <c r="G144" s="11"/>
    </row>
    <row r="145" spans="1:6" ht="13.5" thickBot="1">
      <c r="A145" s="48" t="s">
        <v>63</v>
      </c>
      <c r="B145" s="35">
        <f>B109</f>
        <v>27986933</v>
      </c>
      <c r="C145" s="4">
        <f>C110+C109</f>
        <v>90704849</v>
      </c>
      <c r="D145" s="4">
        <f>D109+D110</f>
        <v>90704849</v>
      </c>
      <c r="E145" s="184">
        <f t="shared" si="5"/>
        <v>1</v>
      </c>
    </row>
    <row r="146" spans="1:6" ht="23.25" thickBot="1">
      <c r="A146" s="70" t="s">
        <v>19</v>
      </c>
      <c r="B146" s="54">
        <f>B137+B139+B143</f>
        <v>16086175</v>
      </c>
      <c r="C146" s="94">
        <f>C137+C139+C143</f>
        <v>-306462239</v>
      </c>
      <c r="D146" s="94">
        <f>D137+D139+D143</f>
        <v>-306462239</v>
      </c>
      <c r="E146" s="187">
        <f t="shared" si="5"/>
        <v>1</v>
      </c>
      <c r="F146" s="27">
        <f>D146+D135</f>
        <v>0</v>
      </c>
    </row>
    <row r="147" spans="1:6">
      <c r="A147" s="79"/>
      <c r="B147" s="79"/>
      <c r="C147" s="79"/>
      <c r="D147" s="4"/>
      <c r="E147" s="14"/>
    </row>
    <row r="148" spans="1:6">
      <c r="A148" s="79"/>
      <c r="B148" s="79"/>
      <c r="C148" s="79"/>
      <c r="D148" s="60"/>
      <c r="E148" s="14"/>
    </row>
    <row r="149" spans="1:6">
      <c r="A149" s="79"/>
      <c r="B149" s="79"/>
      <c r="C149" s="79"/>
      <c r="D149" s="60"/>
      <c r="E149" s="14"/>
    </row>
    <row r="150" spans="1:6">
      <c r="A150" s="79"/>
      <c r="B150" s="60"/>
      <c r="C150" s="79"/>
      <c r="D150" s="60"/>
      <c r="E150" s="14"/>
    </row>
    <row r="151" spans="1:6">
      <c r="A151" s="79"/>
      <c r="B151" s="79"/>
      <c r="D151" s="27"/>
      <c r="E151" s="14"/>
    </row>
    <row r="152" spans="1:6">
      <c r="A152" s="68"/>
      <c r="B152" s="68"/>
      <c r="D152" s="27"/>
      <c r="E152" s="14"/>
    </row>
    <row r="153" spans="1:6">
      <c r="A153" s="68"/>
      <c r="B153" s="68"/>
      <c r="D153" s="27"/>
      <c r="E153" s="14"/>
    </row>
    <row r="154" spans="1:6">
      <c r="A154" s="68"/>
      <c r="B154" s="68"/>
      <c r="D154" s="27"/>
      <c r="E154" s="14"/>
    </row>
    <row r="155" spans="1:6">
      <c r="A155" s="68"/>
      <c r="B155" s="68"/>
      <c r="D155" s="27"/>
      <c r="E155" s="14"/>
    </row>
    <row r="156" spans="1:6">
      <c r="A156" s="68"/>
      <c r="B156" s="68"/>
      <c r="D156" s="27"/>
      <c r="E156" s="14"/>
    </row>
    <row r="157" spans="1:6">
      <c r="A157" s="68"/>
      <c r="B157" s="68"/>
      <c r="D157" s="27"/>
      <c r="E157" s="14"/>
    </row>
    <row r="158" spans="1:6">
      <c r="A158" s="68"/>
      <c r="B158" s="68"/>
      <c r="D158" s="27"/>
      <c r="E158" s="14"/>
    </row>
    <row r="159" spans="1:6">
      <c r="A159" s="68"/>
      <c r="B159" s="68"/>
      <c r="D159" s="27"/>
      <c r="E159" s="14"/>
    </row>
    <row r="160" spans="1:6">
      <c r="A160" s="68"/>
      <c r="B160" s="68"/>
      <c r="D160" s="27"/>
      <c r="E160" s="14"/>
    </row>
    <row r="161" spans="1:5">
      <c r="A161" s="68"/>
      <c r="B161" s="68"/>
      <c r="D161" s="27"/>
      <c r="E161" s="14"/>
    </row>
    <row r="162" spans="1:5">
      <c r="A162" s="68"/>
      <c r="B162" s="68"/>
      <c r="D162" s="27"/>
      <c r="E162" s="14"/>
    </row>
    <row r="163" spans="1:5">
      <c r="A163" s="68"/>
      <c r="B163" s="68"/>
      <c r="D163" s="27"/>
      <c r="E163" s="14"/>
    </row>
    <row r="164" spans="1:5">
      <c r="A164" s="68"/>
      <c r="B164" s="68"/>
      <c r="D164" s="27"/>
      <c r="E164" s="14"/>
    </row>
    <row r="165" spans="1:5">
      <c r="A165" s="68"/>
      <c r="B165" s="68"/>
      <c r="D165" s="27"/>
      <c r="E165" s="14"/>
    </row>
    <row r="166" spans="1:5">
      <c r="A166" s="68"/>
      <c r="B166" s="68"/>
      <c r="D166" s="27"/>
      <c r="E166" s="14"/>
    </row>
    <row r="167" spans="1:5">
      <c r="A167" s="68"/>
      <c r="B167" s="68"/>
      <c r="D167" s="27"/>
      <c r="E167" s="14"/>
    </row>
    <row r="168" spans="1:5">
      <c r="A168" s="68"/>
      <c r="B168" s="68"/>
      <c r="D168" s="27"/>
      <c r="E168" s="14"/>
    </row>
    <row r="169" spans="1:5">
      <c r="A169" s="68"/>
      <c r="B169" s="68"/>
      <c r="D169" s="27"/>
      <c r="E169" s="14"/>
    </row>
    <row r="170" spans="1:5">
      <c r="A170" s="68"/>
      <c r="B170" s="68"/>
      <c r="D170" s="27"/>
      <c r="E170" s="14"/>
    </row>
    <row r="171" spans="1:5">
      <c r="A171" s="68"/>
      <c r="B171" s="68"/>
      <c r="D171" s="27"/>
      <c r="E171" s="14"/>
    </row>
    <row r="172" spans="1:5">
      <c r="A172" s="68"/>
      <c r="B172" s="68"/>
      <c r="D172" s="27"/>
      <c r="E172" s="14"/>
    </row>
    <row r="173" spans="1:5">
      <c r="A173" s="68"/>
      <c r="B173" s="68"/>
      <c r="D173" s="27"/>
      <c r="E173" s="14"/>
    </row>
    <row r="174" spans="1:5">
      <c r="A174" s="68"/>
      <c r="B174" s="68"/>
      <c r="D174" s="27"/>
      <c r="E174" s="14"/>
    </row>
    <row r="175" spans="1:5">
      <c r="A175" s="68"/>
      <c r="B175" s="68"/>
      <c r="D175" s="27"/>
      <c r="E175" s="14"/>
    </row>
    <row r="176" spans="1:5">
      <c r="A176" s="68"/>
      <c r="B176" s="68"/>
      <c r="D176" s="27"/>
      <c r="E176" s="14"/>
    </row>
    <row r="177" spans="1:5">
      <c r="A177" s="68"/>
      <c r="B177" s="68"/>
      <c r="D177" s="27"/>
      <c r="E177" s="14"/>
    </row>
    <row r="178" spans="1:5">
      <c r="A178" s="68"/>
      <c r="B178" s="68"/>
      <c r="D178" s="27"/>
      <c r="E178" s="14"/>
    </row>
    <row r="179" spans="1:5">
      <c r="A179" s="68"/>
      <c r="B179" s="68"/>
      <c r="D179" s="27"/>
      <c r="E179" s="14"/>
    </row>
    <row r="180" spans="1:5">
      <c r="A180" s="68"/>
      <c r="B180" s="68"/>
      <c r="D180" s="27"/>
      <c r="E180" s="14"/>
    </row>
    <row r="181" spans="1:5">
      <c r="A181" s="68"/>
      <c r="B181" s="68"/>
      <c r="D181" s="27"/>
      <c r="E181" s="14"/>
    </row>
    <row r="182" spans="1:5">
      <c r="A182" s="68"/>
      <c r="B182" s="68"/>
      <c r="D182" s="27"/>
      <c r="E182" s="14"/>
    </row>
    <row r="183" spans="1:5">
      <c r="A183" s="68"/>
      <c r="B183" s="68"/>
      <c r="D183" s="27"/>
      <c r="E183" s="14"/>
    </row>
    <row r="184" spans="1:5">
      <c r="A184" s="68"/>
      <c r="B184" s="68"/>
      <c r="D184" s="27"/>
      <c r="E184" s="14"/>
    </row>
    <row r="185" spans="1:5">
      <c r="A185" s="68"/>
      <c r="B185" s="68"/>
      <c r="D185" s="27"/>
      <c r="E185" s="14"/>
    </row>
    <row r="186" spans="1:5">
      <c r="A186" s="68"/>
      <c r="B186" s="68"/>
      <c r="D186" s="27"/>
      <c r="E186" s="14"/>
    </row>
    <row r="187" spans="1:5">
      <c r="A187" s="68"/>
      <c r="B187" s="68"/>
      <c r="D187" s="27"/>
      <c r="E187" s="14"/>
    </row>
    <row r="188" spans="1:5">
      <c r="A188" s="68"/>
      <c r="B188" s="68"/>
      <c r="D188" s="27"/>
      <c r="E188" s="14"/>
    </row>
    <row r="189" spans="1:5">
      <c r="A189" s="68"/>
      <c r="B189" s="68"/>
      <c r="D189" s="27"/>
      <c r="E189" s="14"/>
    </row>
    <row r="190" spans="1:5">
      <c r="A190" s="68"/>
      <c r="B190" s="68"/>
      <c r="D190" s="27"/>
      <c r="E190" s="14"/>
    </row>
    <row r="191" spans="1:5">
      <c r="A191" s="68"/>
      <c r="B191" s="68"/>
      <c r="D191" s="27"/>
      <c r="E191" s="14"/>
    </row>
    <row r="192" spans="1:5">
      <c r="A192" s="68"/>
      <c r="B192" s="68"/>
      <c r="D192" s="27"/>
      <c r="E192" s="14"/>
    </row>
    <row r="193" spans="1:5">
      <c r="A193" s="68"/>
      <c r="B193" s="68"/>
      <c r="D193" s="27"/>
      <c r="E193" s="14"/>
    </row>
    <row r="194" spans="1:5">
      <c r="A194" s="68"/>
      <c r="B194" s="68"/>
      <c r="D194" s="27"/>
      <c r="E194" s="14"/>
    </row>
    <row r="195" spans="1:5">
      <c r="A195" s="68"/>
      <c r="B195" s="68"/>
      <c r="D195" s="27"/>
      <c r="E195" s="14"/>
    </row>
    <row r="196" spans="1:5">
      <c r="A196" s="68"/>
      <c r="B196" s="68"/>
      <c r="D196" s="27"/>
      <c r="E196" s="14"/>
    </row>
    <row r="197" spans="1:5">
      <c r="A197" s="68"/>
      <c r="B197" s="68"/>
      <c r="D197" s="27"/>
      <c r="E197" s="14"/>
    </row>
    <row r="198" spans="1:5">
      <c r="A198" s="68"/>
      <c r="B198" s="68"/>
      <c r="D198" s="27"/>
      <c r="E198" s="14"/>
    </row>
    <row r="199" spans="1:5">
      <c r="A199" s="68"/>
      <c r="B199" s="68"/>
      <c r="D199" s="27"/>
      <c r="E199" s="14"/>
    </row>
    <row r="200" spans="1:5">
      <c r="A200" s="68"/>
      <c r="B200" s="68"/>
      <c r="D200" s="27"/>
      <c r="E200" s="14"/>
    </row>
    <row r="201" spans="1:5">
      <c r="A201" s="68"/>
      <c r="B201" s="68"/>
      <c r="D201" s="27"/>
      <c r="E201" s="14"/>
    </row>
    <row r="202" spans="1:5">
      <c r="A202" s="68"/>
      <c r="B202" s="68"/>
      <c r="D202" s="27"/>
      <c r="E202" s="14"/>
    </row>
    <row r="203" spans="1:5">
      <c r="A203" s="68"/>
      <c r="B203" s="68"/>
      <c r="D203" s="27"/>
      <c r="E203" s="14"/>
    </row>
    <row r="204" spans="1:5">
      <c r="A204" s="68"/>
      <c r="B204" s="68"/>
      <c r="D204" s="27"/>
      <c r="E204" s="14"/>
    </row>
    <row r="205" spans="1:5">
      <c r="A205" s="68"/>
      <c r="B205" s="68"/>
      <c r="D205" s="27"/>
      <c r="E205" s="14"/>
    </row>
    <row r="206" spans="1:5">
      <c r="A206" s="68"/>
      <c r="B206" s="68"/>
      <c r="D206" s="27"/>
      <c r="E206" s="14"/>
    </row>
    <row r="207" spans="1:5">
      <c r="A207" s="68"/>
      <c r="B207" s="68"/>
      <c r="D207" s="27"/>
      <c r="E207" s="14"/>
    </row>
    <row r="208" spans="1:5">
      <c r="A208" s="68"/>
      <c r="B208" s="68"/>
      <c r="D208" s="27"/>
      <c r="E208" s="14"/>
    </row>
    <row r="209" spans="1:5">
      <c r="A209" s="68"/>
      <c r="B209" s="68"/>
      <c r="D209" s="27"/>
      <c r="E209" s="14"/>
    </row>
    <row r="210" spans="1:5">
      <c r="A210" s="68"/>
      <c r="B210" s="68"/>
      <c r="D210" s="27"/>
      <c r="E210" s="14"/>
    </row>
    <row r="211" spans="1:5">
      <c r="A211" s="68"/>
      <c r="B211" s="68"/>
      <c r="D211" s="27"/>
      <c r="E211" s="14"/>
    </row>
    <row r="212" spans="1:5">
      <c r="A212" s="68"/>
      <c r="B212" s="68"/>
      <c r="D212" s="27"/>
      <c r="E212" s="14"/>
    </row>
    <row r="213" spans="1:5">
      <c r="A213" s="68"/>
      <c r="B213" s="68"/>
      <c r="D213" s="27"/>
      <c r="E213" s="14"/>
    </row>
    <row r="214" spans="1:5">
      <c r="A214" s="68"/>
      <c r="B214" s="68"/>
      <c r="D214" s="27"/>
      <c r="E214" s="14"/>
    </row>
    <row r="215" spans="1:5">
      <c r="A215" s="68"/>
      <c r="B215" s="68"/>
      <c r="D215" s="27"/>
      <c r="E215" s="14"/>
    </row>
    <row r="216" spans="1:5">
      <c r="A216" s="68"/>
      <c r="B216" s="68"/>
      <c r="D216" s="27"/>
      <c r="E216" s="14"/>
    </row>
    <row r="217" spans="1:5">
      <c r="A217" s="68"/>
      <c r="B217" s="68"/>
      <c r="D217" s="27"/>
      <c r="E217" s="14"/>
    </row>
    <row r="218" spans="1:5">
      <c r="A218" s="68"/>
      <c r="B218" s="68"/>
      <c r="D218" s="27"/>
      <c r="E218" s="14"/>
    </row>
    <row r="219" spans="1:5">
      <c r="A219" s="68"/>
      <c r="B219" s="68"/>
      <c r="D219" s="27"/>
      <c r="E219" s="14"/>
    </row>
    <row r="220" spans="1:5">
      <c r="A220" s="68"/>
      <c r="B220" s="68"/>
      <c r="D220" s="27"/>
      <c r="E220" s="14"/>
    </row>
    <row r="221" spans="1:5">
      <c r="A221" s="68"/>
      <c r="B221" s="68"/>
      <c r="D221" s="27"/>
      <c r="E221" s="14"/>
    </row>
    <row r="222" spans="1:5">
      <c r="A222" s="68"/>
      <c r="B222" s="68"/>
      <c r="D222" s="27"/>
      <c r="E222" s="14"/>
    </row>
    <row r="223" spans="1:5">
      <c r="A223" s="68"/>
      <c r="B223" s="68"/>
      <c r="D223" s="27"/>
      <c r="E223" s="14"/>
    </row>
    <row r="224" spans="1:5">
      <c r="A224" s="68"/>
      <c r="B224" s="68"/>
      <c r="E224" s="14"/>
    </row>
    <row r="225" spans="1:5">
      <c r="A225" s="68"/>
      <c r="B225" s="68"/>
      <c r="E225" s="14"/>
    </row>
    <row r="226" spans="1:5">
      <c r="A226" s="68"/>
      <c r="B226" s="68"/>
      <c r="E226" s="14"/>
    </row>
    <row r="227" spans="1:5">
      <c r="A227" s="68"/>
      <c r="B227" s="68"/>
      <c r="E227" s="14"/>
    </row>
    <row r="228" spans="1:5">
      <c r="A228" s="68"/>
      <c r="B228" s="68"/>
      <c r="E228" s="14"/>
    </row>
    <row r="229" spans="1:5">
      <c r="A229" s="68"/>
      <c r="B229" s="68"/>
      <c r="E229" s="14"/>
    </row>
    <row r="230" spans="1:5">
      <c r="A230" s="68"/>
      <c r="B230" s="68"/>
      <c r="E230" s="14"/>
    </row>
    <row r="231" spans="1:5">
      <c r="A231" s="68"/>
      <c r="B231" s="68"/>
      <c r="E231" s="14"/>
    </row>
    <row r="232" spans="1:5">
      <c r="A232" s="68"/>
      <c r="B232" s="68"/>
      <c r="E232" s="14"/>
    </row>
    <row r="233" spans="1:5">
      <c r="A233" s="68"/>
      <c r="B233" s="68"/>
      <c r="E233" s="14"/>
    </row>
    <row r="234" spans="1:5">
      <c r="A234" s="68"/>
      <c r="B234" s="68"/>
      <c r="E234" s="14"/>
    </row>
    <row r="235" spans="1:5">
      <c r="A235" s="68"/>
      <c r="B235" s="68"/>
      <c r="E235" s="14"/>
    </row>
    <row r="236" spans="1:5">
      <c r="A236" s="68"/>
      <c r="B236" s="68"/>
      <c r="E236" s="14"/>
    </row>
    <row r="237" spans="1:5">
      <c r="A237" s="68"/>
      <c r="B237" s="68"/>
      <c r="E237" s="14"/>
    </row>
    <row r="238" spans="1:5">
      <c r="A238" s="68"/>
      <c r="B238" s="68"/>
      <c r="E238" s="14"/>
    </row>
    <row r="239" spans="1:5">
      <c r="A239" s="68"/>
      <c r="B239" s="68"/>
      <c r="E239" s="14"/>
    </row>
    <row r="240" spans="1:5">
      <c r="A240" s="68"/>
      <c r="B240" s="68"/>
      <c r="E240" s="14"/>
    </row>
    <row r="241" spans="1:5">
      <c r="A241" s="68"/>
      <c r="B241" s="68"/>
      <c r="E241" s="14"/>
    </row>
    <row r="242" spans="1:5">
      <c r="A242" s="68"/>
      <c r="B242" s="68"/>
      <c r="E242" s="14"/>
    </row>
    <row r="243" spans="1:5">
      <c r="A243" s="68"/>
      <c r="B243" s="68"/>
      <c r="E243" s="14"/>
    </row>
    <row r="244" spans="1:5">
      <c r="A244" s="68"/>
      <c r="B244" s="68"/>
      <c r="E244" s="14"/>
    </row>
    <row r="245" spans="1:5">
      <c r="A245" s="68"/>
      <c r="B245" s="68"/>
      <c r="E245" s="14"/>
    </row>
    <row r="246" spans="1:5">
      <c r="A246" s="68"/>
      <c r="B246" s="68"/>
      <c r="E246" s="14"/>
    </row>
    <row r="247" spans="1:5">
      <c r="A247" s="68"/>
      <c r="B247" s="68"/>
      <c r="E247" s="14"/>
    </row>
    <row r="248" spans="1:5">
      <c r="A248" s="68"/>
      <c r="B248" s="68"/>
      <c r="E248" s="14"/>
    </row>
    <row r="249" spans="1:5">
      <c r="A249" s="68"/>
      <c r="B249" s="68"/>
      <c r="E249" s="14"/>
    </row>
    <row r="250" spans="1:5">
      <c r="A250" s="68"/>
      <c r="B250" s="68"/>
      <c r="E250" s="14"/>
    </row>
    <row r="251" spans="1:5">
      <c r="A251" s="68"/>
      <c r="B251" s="68"/>
      <c r="E251" s="14"/>
    </row>
    <row r="252" spans="1:5">
      <c r="A252" s="68"/>
      <c r="B252" s="68"/>
      <c r="E252" s="14"/>
    </row>
    <row r="253" spans="1:5">
      <c r="A253" s="68"/>
      <c r="B253" s="68"/>
      <c r="E253" s="14"/>
    </row>
    <row r="254" spans="1:5">
      <c r="A254" s="68"/>
      <c r="B254" s="68"/>
      <c r="E254" s="14"/>
    </row>
    <row r="255" spans="1:5">
      <c r="A255" s="68"/>
      <c r="B255" s="68"/>
      <c r="E255" s="14"/>
    </row>
    <row r="256" spans="1:5">
      <c r="A256" s="68"/>
      <c r="B256" s="68"/>
      <c r="E256" s="14"/>
    </row>
    <row r="257" spans="1:5">
      <c r="A257" s="68"/>
      <c r="B257" s="68"/>
      <c r="E257" s="14"/>
    </row>
    <row r="258" spans="1:5">
      <c r="A258" s="68"/>
      <c r="B258" s="68"/>
      <c r="E258" s="14"/>
    </row>
    <row r="259" spans="1:5">
      <c r="A259" s="68"/>
      <c r="B259" s="68"/>
      <c r="E259" s="14"/>
    </row>
    <row r="260" spans="1:5">
      <c r="A260" s="68"/>
      <c r="B260" s="68"/>
      <c r="E260" s="14"/>
    </row>
    <row r="261" spans="1:5">
      <c r="A261" s="68"/>
      <c r="B261" s="68"/>
      <c r="E261" s="14"/>
    </row>
    <row r="262" spans="1:5">
      <c r="A262" s="68"/>
      <c r="B262" s="68"/>
      <c r="E262" s="14"/>
    </row>
    <row r="263" spans="1:5">
      <c r="A263" s="68"/>
      <c r="B263" s="68"/>
      <c r="E263" s="14"/>
    </row>
    <row r="264" spans="1:5">
      <c r="A264" s="68"/>
      <c r="B264" s="68"/>
      <c r="E264" s="14"/>
    </row>
    <row r="265" spans="1:5">
      <c r="A265" s="68"/>
      <c r="B265" s="68"/>
      <c r="E265" s="14"/>
    </row>
    <row r="266" spans="1:5">
      <c r="A266" s="68"/>
      <c r="B266" s="68"/>
      <c r="E266" s="14"/>
    </row>
    <row r="267" spans="1:5">
      <c r="A267" s="68"/>
      <c r="B267" s="68"/>
      <c r="E267" s="14"/>
    </row>
    <row r="268" spans="1:5">
      <c r="A268" s="68"/>
      <c r="B268" s="68"/>
    </row>
    <row r="269" spans="1:5">
      <c r="A269" s="68"/>
      <c r="B269" s="68"/>
    </row>
    <row r="270" spans="1:5">
      <c r="A270" s="68"/>
      <c r="B270" s="68"/>
    </row>
    <row r="271" spans="1:5">
      <c r="A271" s="68"/>
      <c r="B271" s="68"/>
    </row>
    <row r="272" spans="1:5">
      <c r="A272" s="68"/>
      <c r="B272" s="68"/>
    </row>
    <row r="273" spans="1:2">
      <c r="A273" s="68"/>
      <c r="B273" s="68"/>
    </row>
    <row r="274" spans="1:2">
      <c r="A274" s="68"/>
      <c r="B274" s="68"/>
    </row>
    <row r="275" spans="1:2">
      <c r="A275" s="68"/>
      <c r="B275" s="68"/>
    </row>
    <row r="276" spans="1:2">
      <c r="A276" s="68"/>
      <c r="B276" s="68"/>
    </row>
    <row r="277" spans="1:2">
      <c r="A277" s="68"/>
      <c r="B277" s="68"/>
    </row>
    <row r="278" spans="1:2">
      <c r="A278" s="68"/>
      <c r="B278" s="68"/>
    </row>
    <row r="279" spans="1:2">
      <c r="A279" s="68"/>
      <c r="B279" s="68"/>
    </row>
    <row r="280" spans="1:2">
      <c r="A280" s="68"/>
      <c r="B280" s="68"/>
    </row>
    <row r="281" spans="1:2">
      <c r="A281" s="68"/>
      <c r="B281" s="68"/>
    </row>
    <row r="282" spans="1:2">
      <c r="A282" s="68"/>
      <c r="B282" s="68"/>
    </row>
    <row r="283" spans="1:2">
      <c r="A283" s="68"/>
      <c r="B283" s="68"/>
    </row>
    <row r="284" spans="1:2">
      <c r="A284" s="68"/>
      <c r="B284" s="68"/>
    </row>
    <row r="285" spans="1:2">
      <c r="A285" s="68"/>
      <c r="B285" s="68"/>
    </row>
    <row r="286" spans="1:2">
      <c r="A286" s="68"/>
      <c r="B286" s="68"/>
    </row>
    <row r="287" spans="1:2">
      <c r="A287" s="68"/>
      <c r="B287" s="68"/>
    </row>
    <row r="288" spans="1:2">
      <c r="A288" s="68"/>
      <c r="B288" s="68"/>
    </row>
    <row r="289" spans="1:2">
      <c r="A289" s="68"/>
      <c r="B289" s="68"/>
    </row>
    <row r="290" spans="1:2">
      <c r="A290" s="68"/>
      <c r="B290" s="68"/>
    </row>
    <row r="291" spans="1:2">
      <c r="A291" s="68"/>
      <c r="B291" s="68"/>
    </row>
    <row r="292" spans="1:2">
      <c r="A292" s="68"/>
      <c r="B292" s="68"/>
    </row>
    <row r="293" spans="1:2">
      <c r="A293" s="68"/>
      <c r="B293" s="68"/>
    </row>
    <row r="294" spans="1:2">
      <c r="A294" s="68"/>
      <c r="B294" s="68"/>
    </row>
    <row r="295" spans="1:2">
      <c r="A295" s="68"/>
      <c r="B295" s="68"/>
    </row>
    <row r="296" spans="1:2">
      <c r="A296" s="68"/>
      <c r="B296" s="68"/>
    </row>
    <row r="297" spans="1:2">
      <c r="A297" s="68"/>
      <c r="B297" s="68"/>
    </row>
    <row r="298" spans="1:2">
      <c r="A298" s="68"/>
      <c r="B298" s="68"/>
    </row>
    <row r="299" spans="1:2">
      <c r="A299" s="68"/>
      <c r="B299" s="68"/>
    </row>
    <row r="300" spans="1:2">
      <c r="A300" s="68"/>
      <c r="B300" s="68"/>
    </row>
    <row r="301" spans="1:2">
      <c r="A301" s="68"/>
      <c r="B301" s="68"/>
    </row>
    <row r="302" spans="1:2">
      <c r="A302" s="68"/>
      <c r="B302" s="68"/>
    </row>
    <row r="303" spans="1:2">
      <c r="A303" s="68"/>
      <c r="B303" s="68"/>
    </row>
    <row r="304" spans="1:2">
      <c r="A304" s="68"/>
      <c r="B304" s="68"/>
    </row>
    <row r="305" spans="1:2">
      <c r="A305" s="68"/>
      <c r="B305" s="68"/>
    </row>
    <row r="306" spans="1:2">
      <c r="A306" s="68"/>
      <c r="B306" s="68"/>
    </row>
    <row r="307" spans="1:2">
      <c r="A307" s="68"/>
      <c r="B307" s="68"/>
    </row>
    <row r="308" spans="1:2">
      <c r="A308" s="68"/>
      <c r="B308" s="68"/>
    </row>
    <row r="309" spans="1:2">
      <c r="A309" s="68"/>
      <c r="B309" s="68"/>
    </row>
    <row r="310" spans="1:2">
      <c r="A310" s="68"/>
      <c r="B310" s="68"/>
    </row>
    <row r="311" spans="1:2">
      <c r="A311" s="68"/>
      <c r="B311" s="68"/>
    </row>
    <row r="312" spans="1:2">
      <c r="A312" s="68"/>
      <c r="B312" s="68"/>
    </row>
    <row r="313" spans="1:2">
      <c r="A313" s="68"/>
      <c r="B313" s="68"/>
    </row>
    <row r="314" spans="1:2">
      <c r="A314" s="68"/>
      <c r="B314" s="68"/>
    </row>
    <row r="315" spans="1:2">
      <c r="A315" s="68"/>
      <c r="B315" s="68"/>
    </row>
    <row r="316" spans="1:2">
      <c r="A316" s="68"/>
      <c r="B316" s="68"/>
    </row>
    <row r="317" spans="1:2">
      <c r="A317" s="68"/>
      <c r="B317" s="6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  <row r="345" spans="1:2">
      <c r="A345" s="68"/>
      <c r="B345" s="68"/>
    </row>
    <row r="346" spans="1:2">
      <c r="A346" s="68"/>
      <c r="B346" s="68"/>
    </row>
    <row r="347" spans="1:2">
      <c r="A347" s="68"/>
      <c r="B347" s="68"/>
    </row>
    <row r="348" spans="1:2">
      <c r="A348" s="68"/>
      <c r="B348" s="68"/>
    </row>
    <row r="349" spans="1:2">
      <c r="A349" s="68"/>
      <c r="B349" s="68"/>
    </row>
    <row r="350" spans="1:2">
      <c r="A350" s="68"/>
      <c r="B350" s="68"/>
    </row>
    <row r="351" spans="1:2">
      <c r="A351" s="68"/>
      <c r="B351" s="68"/>
    </row>
    <row r="352" spans="1:2">
      <c r="A352" s="68"/>
      <c r="B352" s="68"/>
    </row>
    <row r="353" spans="1:2">
      <c r="A353" s="68"/>
      <c r="B353" s="68"/>
    </row>
    <row r="354" spans="1:2">
      <c r="A354" s="68"/>
      <c r="B354" s="68"/>
    </row>
    <row r="355" spans="1:2">
      <c r="A355" s="68"/>
      <c r="B355" s="68"/>
    </row>
    <row r="356" spans="1:2">
      <c r="A356" s="68"/>
      <c r="B356" s="68"/>
    </row>
    <row r="357" spans="1:2">
      <c r="A357" s="68"/>
      <c r="B357" s="68"/>
    </row>
    <row r="358" spans="1:2">
      <c r="A358" s="68"/>
      <c r="B358" s="68"/>
    </row>
    <row r="359" spans="1:2">
      <c r="A359" s="68"/>
      <c r="B359" s="68"/>
    </row>
    <row r="360" spans="1:2">
      <c r="A360" s="68"/>
      <c r="B360" s="68"/>
    </row>
    <row r="361" spans="1:2">
      <c r="A361" s="68"/>
      <c r="B361" s="68"/>
    </row>
    <row r="362" spans="1:2">
      <c r="A362" s="68"/>
      <c r="B362" s="68"/>
    </row>
    <row r="363" spans="1:2">
      <c r="A363" s="68"/>
      <c r="B363" s="68"/>
    </row>
    <row r="364" spans="1:2">
      <c r="A364" s="68"/>
      <c r="B364" s="68"/>
    </row>
    <row r="365" spans="1:2">
      <c r="A365" s="68"/>
      <c r="B365" s="68"/>
    </row>
    <row r="366" spans="1:2">
      <c r="A366" s="68"/>
      <c r="B366" s="68"/>
    </row>
    <row r="367" spans="1:2">
      <c r="A367" s="68"/>
      <c r="B367" s="68"/>
    </row>
    <row r="368" spans="1:2">
      <c r="A368" s="68"/>
      <c r="B368" s="68"/>
    </row>
    <row r="369" spans="1:2">
      <c r="A369" s="68"/>
      <c r="B369" s="68"/>
    </row>
    <row r="370" spans="1:2">
      <c r="A370" s="68"/>
      <c r="B370" s="68"/>
    </row>
    <row r="371" spans="1:2">
      <c r="A371" s="68"/>
      <c r="B371" s="68"/>
    </row>
    <row r="372" spans="1:2">
      <c r="A372" s="68"/>
      <c r="B372" s="68"/>
    </row>
    <row r="373" spans="1:2">
      <c r="A373" s="68"/>
      <c r="B373" s="68"/>
    </row>
    <row r="374" spans="1:2">
      <c r="A374" s="68"/>
      <c r="B374" s="68"/>
    </row>
    <row r="375" spans="1:2">
      <c r="A375" s="68"/>
      <c r="B375" s="68"/>
    </row>
    <row r="376" spans="1:2">
      <c r="A376" s="68"/>
      <c r="B376" s="68"/>
    </row>
    <row r="377" spans="1:2">
      <c r="A377" s="68"/>
      <c r="B377" s="68"/>
    </row>
    <row r="378" spans="1:2">
      <c r="A378" s="68"/>
      <c r="B378" s="68"/>
    </row>
  </sheetData>
  <mergeCells count="2">
    <mergeCell ref="A1:E1"/>
    <mergeCell ref="A3:E3"/>
  </mergeCells>
  <phoneticPr fontId="4" type="noConversion"/>
  <printOptions gridLines="1"/>
  <pageMargins left="0.59055118110236227" right="0.59055118110236227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 filterMode="1"/>
  <dimension ref="A1:T275"/>
  <sheetViews>
    <sheetView workbookViewId="0">
      <selection activeCell="A2" sqref="A2"/>
    </sheetView>
  </sheetViews>
  <sheetFormatPr defaultColWidth="9.140625" defaultRowHeight="12.75"/>
  <cols>
    <col min="1" max="1" width="53.42578125" style="16" customWidth="1"/>
    <col min="2" max="2" width="11.42578125" style="16" customWidth="1"/>
    <col min="3" max="3" width="9.140625" style="1" customWidth="1"/>
    <col min="4" max="4" width="9.7109375" style="1" customWidth="1"/>
    <col min="5" max="5" width="7.85546875" style="1" customWidth="1"/>
    <col min="6" max="6" width="10.140625" style="1" hidden="1" customWidth="1"/>
    <col min="7" max="7" width="17.42578125" style="1" hidden="1" customWidth="1"/>
    <col min="8" max="8" width="10" style="1" hidden="1" customWidth="1"/>
    <col min="9" max="9" width="12.5703125" style="1" hidden="1" customWidth="1"/>
    <col min="10" max="13" width="0" style="1" hidden="1" customWidth="1"/>
    <col min="14" max="14" width="14.7109375" style="1" hidden="1" customWidth="1"/>
    <col min="15" max="15" width="17.42578125" style="1" hidden="1" customWidth="1"/>
    <col min="16" max="16" width="10" style="1" hidden="1" customWidth="1"/>
    <col min="17" max="17" width="11" style="1" hidden="1" customWidth="1"/>
    <col min="18" max="16384" width="9.140625" style="1"/>
  </cols>
  <sheetData>
    <row r="1" spans="1:20">
      <c r="A1" s="646" t="s">
        <v>923</v>
      </c>
      <c r="B1" s="646"/>
      <c r="C1" s="646"/>
      <c r="D1" s="646"/>
      <c r="E1" s="646"/>
    </row>
    <row r="2" spans="1:20" ht="6.75" customHeight="1">
      <c r="A2" s="105"/>
      <c r="B2" s="105"/>
      <c r="C2" s="2"/>
      <c r="D2" s="2"/>
      <c r="E2" s="2"/>
    </row>
    <row r="3" spans="1:20">
      <c r="A3" s="649" t="s">
        <v>910</v>
      </c>
      <c r="B3" s="649"/>
      <c r="C3" s="649"/>
      <c r="D3" s="649"/>
      <c r="E3" s="2"/>
    </row>
    <row r="4" spans="1:20">
      <c r="A4" s="608"/>
      <c r="B4" s="608"/>
      <c r="C4" s="2"/>
      <c r="D4" s="2"/>
      <c r="E4" s="255" t="s">
        <v>260</v>
      </c>
    </row>
    <row r="5" spans="1:20" ht="13.5" thickBot="1">
      <c r="A5" s="139"/>
      <c r="B5" s="218" t="s">
        <v>206</v>
      </c>
      <c r="C5" s="97" t="s">
        <v>202</v>
      </c>
      <c r="D5" s="97" t="s">
        <v>203</v>
      </c>
      <c r="E5" s="97" t="s">
        <v>205</v>
      </c>
    </row>
    <row r="6" spans="1:20" ht="13.5" thickBot="1">
      <c r="A6" s="140" t="s">
        <v>47</v>
      </c>
      <c r="B6" s="141">
        <f>B10+B14+B18+B22+B31+A5+B40+B52</f>
        <v>98678550</v>
      </c>
      <c r="C6" s="100">
        <f>+C10+C14+C18+C22+C31+C40+C52</f>
        <v>73088050</v>
      </c>
      <c r="D6" s="612">
        <f>+D10+D14+D18+D22+D31+D40+D52+D34</f>
        <v>60570949</v>
      </c>
      <c r="E6" s="181">
        <f>(D6/C6)</f>
        <v>0.82873943141183815</v>
      </c>
      <c r="G6" s="229"/>
      <c r="O6" s="229">
        <v>401473949</v>
      </c>
      <c r="T6" s="558"/>
    </row>
    <row r="7" spans="1:20">
      <c r="A7" s="127"/>
      <c r="B7" s="128"/>
      <c r="C7" s="16"/>
      <c r="D7" s="178"/>
      <c r="E7" s="137"/>
      <c r="G7" s="229"/>
      <c r="I7" s="230"/>
      <c r="O7" s="229">
        <f>-340903000</f>
        <v>-340903000</v>
      </c>
      <c r="P7" s="1">
        <v>341327000</v>
      </c>
      <c r="Q7" s="230">
        <f>O7+P7</f>
        <v>424000</v>
      </c>
    </row>
    <row r="8" spans="1:20">
      <c r="A8" s="129" t="s">
        <v>39</v>
      </c>
      <c r="B8" s="128"/>
      <c r="C8" s="16"/>
      <c r="D8" s="81"/>
      <c r="E8" s="138"/>
      <c r="G8" s="229"/>
      <c r="O8" s="229">
        <f>SUBTOTAL(9,O6:O7)</f>
        <v>60570949</v>
      </c>
    </row>
    <row r="9" spans="1:20">
      <c r="A9" s="127"/>
      <c r="B9" s="128"/>
      <c r="C9" s="16"/>
      <c r="D9" s="81"/>
      <c r="E9" s="138"/>
    </row>
    <row r="10" spans="1:20">
      <c r="A10" s="142" t="s">
        <v>240</v>
      </c>
      <c r="B10" s="143">
        <f>SUM(B11:B12)</f>
        <v>12232640</v>
      </c>
      <c r="C10" s="69">
        <f>SUBTOTAL(9,C11:C12)</f>
        <v>12232640</v>
      </c>
      <c r="D10" s="179">
        <f>SUBTOTAL(9,D11:D12)</f>
        <v>14811893</v>
      </c>
      <c r="E10" s="180">
        <f t="shared" ref="E10:E72" si="0">(D10/C10)</f>
        <v>1.210850069976718</v>
      </c>
      <c r="G10" s="190"/>
      <c r="O10" s="190">
        <f>D6-O8</f>
        <v>0</v>
      </c>
    </row>
    <row r="11" spans="1:20">
      <c r="A11" s="132" t="s">
        <v>37</v>
      </c>
      <c r="B11" s="18">
        <v>9632000</v>
      </c>
      <c r="C11" s="18">
        <v>9632000</v>
      </c>
      <c r="D11" s="81">
        <v>11662913</v>
      </c>
      <c r="E11" s="138">
        <f t="shared" si="0"/>
        <v>1.2108506021594685</v>
      </c>
    </row>
    <row r="12" spans="1:20">
      <c r="A12" s="105" t="s">
        <v>76</v>
      </c>
      <c r="B12" s="18">
        <v>2600640</v>
      </c>
      <c r="C12" s="18">
        <v>2600640</v>
      </c>
      <c r="D12" s="81">
        <v>3148980</v>
      </c>
      <c r="E12" s="138">
        <f t="shared" si="0"/>
        <v>1.2108480989294943</v>
      </c>
      <c r="G12" s="230"/>
    </row>
    <row r="13" spans="1:20" ht="9" customHeight="1">
      <c r="A13" s="105"/>
      <c r="B13" s="144"/>
      <c r="C13" s="16"/>
      <c r="D13" s="81"/>
      <c r="E13" s="138"/>
    </row>
    <row r="14" spans="1:20">
      <c r="A14" s="145" t="s">
        <v>103</v>
      </c>
      <c r="B14" s="143">
        <f>B15+B16</f>
        <v>457200</v>
      </c>
      <c r="C14" s="69">
        <v>457200</v>
      </c>
      <c r="D14" s="179">
        <f>SUBTOTAL(9,D15:D16)</f>
        <v>457200</v>
      </c>
      <c r="E14" s="180">
        <f t="shared" si="0"/>
        <v>1</v>
      </c>
    </row>
    <row r="15" spans="1:20">
      <c r="A15" s="105" t="s">
        <v>81</v>
      </c>
      <c r="B15" s="144">
        <v>360000</v>
      </c>
      <c r="C15" s="18">
        <v>360000</v>
      </c>
      <c r="D15" s="18">
        <v>360000</v>
      </c>
      <c r="E15" s="138">
        <f t="shared" si="0"/>
        <v>1</v>
      </c>
    </row>
    <row r="16" spans="1:20">
      <c r="A16" s="105" t="s">
        <v>80</v>
      </c>
      <c r="B16" s="144">
        <f>B15*0.27</f>
        <v>97200</v>
      </c>
      <c r="C16" s="18">
        <v>97200</v>
      </c>
      <c r="D16" s="18">
        <v>97200</v>
      </c>
      <c r="E16" s="138">
        <f t="shared" si="0"/>
        <v>1</v>
      </c>
    </row>
    <row r="17" spans="1:15" ht="10.5" customHeight="1">
      <c r="A17" s="105"/>
      <c r="B17" s="144"/>
      <c r="C17" s="16"/>
      <c r="D17" s="81"/>
      <c r="E17" s="138"/>
    </row>
    <row r="18" spans="1:15">
      <c r="A18" s="145" t="s">
        <v>104</v>
      </c>
      <c r="B18" s="143">
        <f>B19+B20</f>
        <v>152400</v>
      </c>
      <c r="C18" s="69">
        <v>152400</v>
      </c>
      <c r="D18" s="179">
        <f>SUBTOTAL(9,D19:D20)</f>
        <v>190500</v>
      </c>
      <c r="E18" s="180">
        <f t="shared" si="0"/>
        <v>1.25</v>
      </c>
    </row>
    <row r="19" spans="1:15">
      <c r="A19" s="105" t="s">
        <v>81</v>
      </c>
      <c r="B19" s="144">
        <v>120000</v>
      </c>
      <c r="C19" s="18">
        <v>120000</v>
      </c>
      <c r="D19" s="81">
        <v>150000</v>
      </c>
      <c r="E19" s="138">
        <f t="shared" si="0"/>
        <v>1.25</v>
      </c>
    </row>
    <row r="20" spans="1:15">
      <c r="A20" s="105" t="s">
        <v>80</v>
      </c>
      <c r="B20" s="144">
        <f>B19*0.27</f>
        <v>32400.000000000004</v>
      </c>
      <c r="C20" s="18">
        <v>32400</v>
      </c>
      <c r="D20" s="81">
        <v>40500</v>
      </c>
      <c r="E20" s="138">
        <f t="shared" si="0"/>
        <v>1.25</v>
      </c>
    </row>
    <row r="21" spans="1:15" ht="9.75" customHeight="1">
      <c r="A21" s="105"/>
      <c r="B21" s="144"/>
      <c r="C21" s="16"/>
      <c r="D21" s="81"/>
      <c r="E21" s="138"/>
    </row>
    <row r="22" spans="1:15">
      <c r="A22" s="145" t="s">
        <v>66</v>
      </c>
      <c r="B22" s="143">
        <f>SUM(B23:B28)</f>
        <v>24074910</v>
      </c>
      <c r="C22" s="69">
        <f>C23+C24+C25+C26+C27+C28</f>
        <v>24074910</v>
      </c>
      <c r="D22" s="179">
        <f>SUBTOTAL(9,D23:D29)</f>
        <v>17392891</v>
      </c>
      <c r="E22" s="180">
        <f t="shared" si="0"/>
        <v>0.72244884819922484</v>
      </c>
      <c r="N22" s="230">
        <f>O7-D52</f>
        <v>-361454270</v>
      </c>
    </row>
    <row r="23" spans="1:15">
      <c r="A23" s="105" t="s">
        <v>82</v>
      </c>
      <c r="B23" s="144">
        <v>500000</v>
      </c>
      <c r="C23" s="18">
        <v>500000</v>
      </c>
      <c r="D23" s="81">
        <v>1114814</v>
      </c>
      <c r="E23" s="138">
        <f t="shared" si="0"/>
        <v>2.2296279999999999</v>
      </c>
      <c r="G23" s="1" t="s">
        <v>255</v>
      </c>
    </row>
    <row r="24" spans="1:15">
      <c r="A24" s="105" t="s">
        <v>95</v>
      </c>
      <c r="B24" s="144">
        <v>3523000</v>
      </c>
      <c r="C24" s="18">
        <v>3523000</v>
      </c>
      <c r="D24" s="81">
        <v>3536298</v>
      </c>
      <c r="E24" s="138">
        <f t="shared" si="0"/>
        <v>1.0037746239000851</v>
      </c>
    </row>
    <row r="25" spans="1:15">
      <c r="A25" s="105" t="s">
        <v>166</v>
      </c>
      <c r="B25" s="144">
        <v>15076000</v>
      </c>
      <c r="C25" s="18">
        <v>15076000</v>
      </c>
      <c r="D25" s="81">
        <v>11342123</v>
      </c>
      <c r="E25" s="138">
        <f t="shared" si="0"/>
        <v>0.75232972937118603</v>
      </c>
    </row>
    <row r="26" spans="1:15">
      <c r="A26" s="105" t="s">
        <v>83</v>
      </c>
      <c r="B26" s="144">
        <v>50000</v>
      </c>
      <c r="C26" s="18">
        <v>50000</v>
      </c>
      <c r="D26" s="81">
        <v>0</v>
      </c>
      <c r="E26" s="138">
        <f t="shared" si="0"/>
        <v>0</v>
      </c>
    </row>
    <row r="27" spans="1:15">
      <c r="A27" s="105" t="s">
        <v>84</v>
      </c>
      <c r="B27" s="144">
        <f>(B23+B24+B26)*0.27+13060000*0.27</f>
        <v>4625910</v>
      </c>
      <c r="C27" s="18">
        <v>4625910</v>
      </c>
      <c r="D27" s="81">
        <v>1312223</v>
      </c>
      <c r="E27" s="138">
        <f t="shared" si="0"/>
        <v>0.28366807828081392</v>
      </c>
    </row>
    <row r="28" spans="1:15">
      <c r="A28" s="133" t="s">
        <v>128</v>
      </c>
      <c r="B28" s="146">
        <v>300000</v>
      </c>
      <c r="C28" s="18">
        <v>300000</v>
      </c>
      <c r="D28" s="81">
        <f>3000</f>
        <v>3000</v>
      </c>
      <c r="E28" s="138">
        <f t="shared" si="0"/>
        <v>0.01</v>
      </c>
    </row>
    <row r="29" spans="1:15">
      <c r="A29" s="133" t="s">
        <v>395</v>
      </c>
      <c r="B29" s="146"/>
      <c r="C29" s="18"/>
      <c r="D29" s="81">
        <f>84433</f>
        <v>84433</v>
      </c>
      <c r="E29" s="138"/>
    </row>
    <row r="30" spans="1:15" ht="9.75" customHeight="1">
      <c r="A30" s="105"/>
      <c r="B30" s="144"/>
      <c r="C30" s="16"/>
      <c r="D30" s="81"/>
      <c r="E30" s="138"/>
    </row>
    <row r="31" spans="1:15">
      <c r="A31" s="142" t="s">
        <v>215</v>
      </c>
      <c r="B31" s="143">
        <f>SUM(B32)</f>
        <v>1300000</v>
      </c>
      <c r="C31" s="69">
        <v>1300000</v>
      </c>
      <c r="D31" s="179">
        <f>SUBTOTAL(9,D32)</f>
        <v>402275</v>
      </c>
      <c r="E31" s="180">
        <f t="shared" si="0"/>
        <v>0.30944230769230768</v>
      </c>
    </row>
    <row r="32" spans="1:15">
      <c r="A32" s="105" t="s">
        <v>85</v>
      </c>
      <c r="B32" s="144">
        <v>1300000</v>
      </c>
      <c r="C32" s="18">
        <v>1300000</v>
      </c>
      <c r="D32" s="81">
        <v>402275</v>
      </c>
      <c r="E32" s="138">
        <f t="shared" si="0"/>
        <v>0.30944230769230768</v>
      </c>
      <c r="O32" s="133"/>
    </row>
    <row r="33" spans="1:5" ht="11.25" customHeight="1">
      <c r="A33" s="105"/>
      <c r="B33" s="144"/>
      <c r="C33" s="18"/>
      <c r="D33" s="81"/>
      <c r="E33" s="138"/>
    </row>
    <row r="34" spans="1:5">
      <c r="A34" s="191" t="s">
        <v>912</v>
      </c>
      <c r="B34" s="144"/>
      <c r="C34" s="18"/>
      <c r="D34" s="179">
        <f>SUBTOTAL(9,D35:D36)</f>
        <v>635178</v>
      </c>
      <c r="E34" s="138"/>
    </row>
    <row r="35" spans="1:5">
      <c r="A35" s="105" t="s">
        <v>216</v>
      </c>
      <c r="B35" s="144"/>
      <c r="C35" s="18"/>
      <c r="D35" s="81">
        <v>500139</v>
      </c>
      <c r="E35" s="138"/>
    </row>
    <row r="36" spans="1:5">
      <c r="A36" s="105" t="s">
        <v>84</v>
      </c>
      <c r="B36" s="144"/>
      <c r="C36" s="18"/>
      <c r="D36" s="81">
        <v>135039</v>
      </c>
      <c r="E36" s="138"/>
    </row>
    <row r="37" spans="1:5" ht="9.75" customHeight="1">
      <c r="A37" s="105"/>
      <c r="B37" s="144"/>
      <c r="C37" s="16"/>
      <c r="D37" s="81"/>
      <c r="E37" s="138"/>
    </row>
    <row r="38" spans="1:5">
      <c r="A38" s="147" t="s">
        <v>40</v>
      </c>
      <c r="B38" s="144"/>
      <c r="C38" s="16"/>
      <c r="D38" s="81"/>
      <c r="E38" s="138"/>
    </row>
    <row r="39" spans="1:5">
      <c r="A39" s="105"/>
      <c r="B39" s="144"/>
      <c r="C39" s="16"/>
      <c r="D39" s="81"/>
      <c r="E39" s="138"/>
    </row>
    <row r="40" spans="1:5" ht="21.75" customHeight="1">
      <c r="A40" s="53" t="s">
        <v>105</v>
      </c>
      <c r="B40" s="148">
        <f>SUM(B41:B42)</f>
        <v>1061000</v>
      </c>
      <c r="C40" s="69">
        <v>1061000</v>
      </c>
      <c r="D40" s="179">
        <f>SUBTOTAL(9,D41:D48)</f>
        <v>6129742</v>
      </c>
      <c r="E40" s="180">
        <f t="shared" si="0"/>
        <v>5.7773251649387367</v>
      </c>
    </row>
    <row r="41" spans="1:5">
      <c r="A41" s="105" t="s">
        <v>78</v>
      </c>
      <c r="B41" s="144">
        <v>100000</v>
      </c>
      <c r="C41" s="18">
        <v>100000</v>
      </c>
      <c r="D41" s="81">
        <v>187339</v>
      </c>
      <c r="E41" s="138">
        <f t="shared" si="0"/>
        <v>1.8733900000000001</v>
      </c>
    </row>
    <row r="42" spans="1:5">
      <c r="A42" s="105" t="s">
        <v>115</v>
      </c>
      <c r="B42" s="144">
        <v>961000</v>
      </c>
      <c r="C42" s="18">
        <v>961000</v>
      </c>
      <c r="D42" s="81">
        <f>5190794-D43-D44-D32</f>
        <v>1541673</v>
      </c>
      <c r="E42" s="138">
        <f t="shared" si="0"/>
        <v>1.6042382934443289</v>
      </c>
    </row>
    <row r="43" spans="1:5">
      <c r="A43" s="105" t="s">
        <v>394</v>
      </c>
      <c r="B43" s="144"/>
      <c r="C43" s="18"/>
      <c r="D43" s="81">
        <v>3232419</v>
      </c>
      <c r="E43" s="138"/>
    </row>
    <row r="44" spans="1:5">
      <c r="A44" s="105" t="s">
        <v>913</v>
      </c>
      <c r="B44" s="144"/>
      <c r="C44" s="18"/>
      <c r="D44" s="81">
        <f>4427+10000</f>
        <v>14427</v>
      </c>
      <c r="E44" s="138"/>
    </row>
    <row r="45" spans="1:5">
      <c r="A45" s="105" t="s">
        <v>207</v>
      </c>
      <c r="B45" s="144"/>
      <c r="C45" s="18"/>
      <c r="D45" s="81">
        <f>99606+7874</f>
        <v>107480</v>
      </c>
      <c r="E45" s="138"/>
    </row>
    <row r="46" spans="1:5">
      <c r="A46" s="105" t="s">
        <v>208</v>
      </c>
      <c r="B46" s="144"/>
      <c r="C46" s="18"/>
      <c r="D46" s="81">
        <v>470886</v>
      </c>
      <c r="E46" s="138"/>
    </row>
    <row r="47" spans="1:5">
      <c r="A47" s="105" t="s">
        <v>209</v>
      </c>
      <c r="B47" s="144"/>
      <c r="C47" s="18"/>
      <c r="D47" s="81">
        <v>424000</v>
      </c>
      <c r="E47" s="138"/>
    </row>
    <row r="48" spans="1:5">
      <c r="A48" s="105" t="s">
        <v>80</v>
      </c>
      <c r="B48" s="144"/>
      <c r="C48" s="18"/>
      <c r="D48" s="81">
        <v>151518</v>
      </c>
      <c r="E48" s="138"/>
    </row>
    <row r="49" spans="1:15" ht="10.5" customHeight="1">
      <c r="A49" s="105"/>
      <c r="B49" s="144"/>
      <c r="C49" s="16"/>
      <c r="D49" s="81"/>
      <c r="E49" s="138"/>
    </row>
    <row r="50" spans="1:15">
      <c r="A50" s="147" t="s">
        <v>129</v>
      </c>
      <c r="B50" s="144"/>
      <c r="C50" s="16"/>
      <c r="D50" s="81"/>
      <c r="E50" s="138"/>
    </row>
    <row r="51" spans="1:15">
      <c r="A51" s="105"/>
      <c r="B51" s="144"/>
      <c r="C51" s="16"/>
      <c r="D51" s="81"/>
      <c r="E51" s="138"/>
    </row>
    <row r="52" spans="1:15">
      <c r="A52" s="77" t="s">
        <v>158</v>
      </c>
      <c r="B52" s="78">
        <f>SUM(B53:B57)</f>
        <v>59400400</v>
      </c>
      <c r="C52" s="69">
        <f>C53+C54+C57</f>
        <v>33809900</v>
      </c>
      <c r="D52" s="179">
        <f>SUBTOTAL(9,D53:D57)</f>
        <v>20551270</v>
      </c>
      <c r="E52" s="180">
        <f t="shared" si="0"/>
        <v>0.60784770141289979</v>
      </c>
    </row>
    <row r="53" spans="1:15">
      <c r="A53" s="105" t="s">
        <v>21</v>
      </c>
      <c r="B53" s="144">
        <v>7828000</v>
      </c>
      <c r="C53" s="18">
        <v>7828000</v>
      </c>
      <c r="D53" s="81">
        <f>3601307+757609</f>
        <v>4358916</v>
      </c>
      <c r="E53" s="138">
        <f t="shared" si="0"/>
        <v>0.55683648441492084</v>
      </c>
      <c r="O53" s="229"/>
    </row>
    <row r="54" spans="1:15">
      <c r="A54" s="105" t="s">
        <v>157</v>
      </c>
      <c r="B54" s="144">
        <v>40300000</v>
      </c>
      <c r="C54" s="18">
        <v>20150000</v>
      </c>
      <c r="D54" s="81">
        <v>11836802</v>
      </c>
      <c r="E54" s="138">
        <f t="shared" si="0"/>
        <v>0.58743434243176174</v>
      </c>
      <c r="G54" s="190"/>
      <c r="O54" s="229">
        <v>361454270</v>
      </c>
    </row>
    <row r="55" spans="1:15">
      <c r="A55" s="105" t="s">
        <v>211</v>
      </c>
      <c r="B55" s="144"/>
      <c r="C55" s="18"/>
      <c r="D55" s="81">
        <f>527234+19584</f>
        <v>546818</v>
      </c>
      <c r="E55" s="138"/>
      <c r="G55" s="226"/>
      <c r="H55" s="226"/>
      <c r="O55" s="229">
        <v>-340903000</v>
      </c>
    </row>
    <row r="56" spans="1:15">
      <c r="A56" s="105" t="s">
        <v>208</v>
      </c>
      <c r="B56" s="144"/>
      <c r="C56" s="18"/>
      <c r="D56" s="81">
        <v>196361</v>
      </c>
      <c r="E56" s="138"/>
      <c r="G56" s="190"/>
      <c r="O56" s="229">
        <f>SUBTOTAL(9,O54:O55)</f>
        <v>20551270</v>
      </c>
    </row>
    <row r="57" spans="1:15">
      <c r="A57" s="105" t="s">
        <v>80</v>
      </c>
      <c r="B57" s="144">
        <f>B53*0.05+B54*0.27</f>
        <v>11272400</v>
      </c>
      <c r="C57" s="18">
        <v>5831900</v>
      </c>
      <c r="D57" s="81">
        <f>3612038+334+1</f>
        <v>3612373</v>
      </c>
      <c r="E57" s="138">
        <f t="shared" si="0"/>
        <v>0.61941614225209618</v>
      </c>
    </row>
    <row r="58" spans="1:15">
      <c r="A58" s="105"/>
      <c r="B58" s="144"/>
      <c r="C58" s="16"/>
      <c r="D58" s="81"/>
      <c r="E58" s="138"/>
    </row>
    <row r="59" spans="1:15" ht="13.5" thickBot="1">
      <c r="A59" s="105"/>
      <c r="B59" s="144"/>
      <c r="C59" s="16"/>
      <c r="D59" s="81"/>
      <c r="E59" s="138"/>
    </row>
    <row r="60" spans="1:15" ht="13.5" thickBot="1">
      <c r="A60" s="149" t="s">
        <v>75</v>
      </c>
      <c r="B60" s="150">
        <f>B76+B64+B69</f>
        <v>9144000</v>
      </c>
      <c r="C60" s="100">
        <v>9144000</v>
      </c>
      <c r="D60" s="194">
        <f>D64+D69+D76</f>
        <v>8520334</v>
      </c>
      <c r="E60" s="181">
        <f t="shared" si="0"/>
        <v>0.93179505686789155</v>
      </c>
    </row>
    <row r="61" spans="1:15">
      <c r="A61" s="127"/>
      <c r="B61" s="151"/>
      <c r="C61" s="16"/>
      <c r="D61" s="81"/>
      <c r="E61" s="137"/>
    </row>
    <row r="62" spans="1:15">
      <c r="A62" s="129" t="s">
        <v>39</v>
      </c>
      <c r="B62" s="151"/>
      <c r="C62" s="16"/>
      <c r="D62" s="81"/>
      <c r="E62" s="138"/>
    </row>
    <row r="63" spans="1:15" ht="9.6" customHeight="1">
      <c r="A63" s="105"/>
      <c r="B63" s="144"/>
      <c r="C63" s="16"/>
      <c r="D63" s="81"/>
      <c r="E63" s="138"/>
    </row>
    <row r="64" spans="1:15">
      <c r="A64" s="145" t="s">
        <v>66</v>
      </c>
      <c r="B64" s="143">
        <f>SUM(B65:B67)</f>
        <v>1905000</v>
      </c>
      <c r="C64" s="69">
        <v>1905000</v>
      </c>
      <c r="D64" s="179">
        <f>SUBTOTAL(9,D65:D67)</f>
        <v>1009103</v>
      </c>
      <c r="E64" s="180">
        <f t="shared" si="0"/>
        <v>0.52971286089238845</v>
      </c>
    </row>
    <row r="65" spans="1:16">
      <c r="A65" s="105" t="s">
        <v>132</v>
      </c>
      <c r="B65" s="144">
        <v>400000</v>
      </c>
      <c r="C65" s="18">
        <v>400000</v>
      </c>
      <c r="D65" s="81">
        <v>289015</v>
      </c>
      <c r="E65" s="138">
        <f t="shared" si="0"/>
        <v>0.72253750000000005</v>
      </c>
    </row>
    <row r="66" spans="1:16">
      <c r="A66" s="105" t="s">
        <v>133</v>
      </c>
      <c r="B66" s="144">
        <v>1100000</v>
      </c>
      <c r="C66" s="18">
        <v>1100000</v>
      </c>
      <c r="D66" s="81">
        <v>513776</v>
      </c>
      <c r="E66" s="138">
        <f t="shared" si="0"/>
        <v>0.46706909090909093</v>
      </c>
    </row>
    <row r="67" spans="1:16">
      <c r="A67" s="105" t="s">
        <v>84</v>
      </c>
      <c r="B67" s="144">
        <f>B65*0.27+B66*0.27</f>
        <v>405000</v>
      </c>
      <c r="C67" s="18">
        <v>405000</v>
      </c>
      <c r="D67" s="81">
        <v>206312</v>
      </c>
      <c r="E67" s="138">
        <f t="shared" si="0"/>
        <v>0.50941234567901239</v>
      </c>
    </row>
    <row r="68" spans="1:16" ht="9" customHeight="1">
      <c r="A68" s="105"/>
      <c r="B68" s="144"/>
      <c r="C68" s="16"/>
      <c r="D68" s="81"/>
      <c r="E68" s="138"/>
    </row>
    <row r="69" spans="1:16" ht="24.75" customHeight="1">
      <c r="A69" s="77" t="s">
        <v>374</v>
      </c>
      <c r="B69" s="69">
        <v>3810000</v>
      </c>
      <c r="C69" s="69">
        <v>3810000</v>
      </c>
      <c r="D69" s="179">
        <f>SUBTOTAL(9,D70:D72)</f>
        <v>4315756</v>
      </c>
      <c r="E69" s="180">
        <f t="shared" si="0"/>
        <v>1.1327443569553806</v>
      </c>
      <c r="N69" s="1">
        <v>2290169</v>
      </c>
    </row>
    <row r="70" spans="1:16">
      <c r="A70" s="105" t="s">
        <v>116</v>
      </c>
      <c r="B70" s="144">
        <v>900000</v>
      </c>
      <c r="C70" s="18">
        <v>900000</v>
      </c>
      <c r="D70" s="81">
        <v>900320</v>
      </c>
      <c r="E70" s="138">
        <f t="shared" si="0"/>
        <v>1.0003555555555557</v>
      </c>
      <c r="N70" s="1">
        <v>2025587</v>
      </c>
    </row>
    <row r="71" spans="1:16">
      <c r="A71" s="105" t="s">
        <v>64</v>
      </c>
      <c r="B71" s="144">
        <v>2100000</v>
      </c>
      <c r="C71" s="18">
        <v>2100000</v>
      </c>
      <c r="D71" s="81">
        <f>1594951+895700</f>
        <v>2490651</v>
      </c>
      <c r="E71" s="138">
        <f t="shared" si="0"/>
        <v>1.1860242857142858</v>
      </c>
      <c r="N71" s="1">
        <f>SUBTOTAL(9,N69:N70)</f>
        <v>4315756</v>
      </c>
    </row>
    <row r="72" spans="1:16">
      <c r="A72" s="105" t="s">
        <v>84</v>
      </c>
      <c r="B72" s="144">
        <f>(B70+B71)*0.27</f>
        <v>810000</v>
      </c>
      <c r="C72" s="18">
        <v>810000</v>
      </c>
      <c r="D72" s="81">
        <f>484919+9230+430636</f>
        <v>924785</v>
      </c>
      <c r="E72" s="138">
        <f t="shared" si="0"/>
        <v>1.1417098765432099</v>
      </c>
    </row>
    <row r="73" spans="1:16">
      <c r="A73" s="105"/>
      <c r="B73" s="144"/>
      <c r="C73" s="16"/>
      <c r="D73" s="81"/>
      <c r="E73" s="138"/>
    </row>
    <row r="74" spans="1:16">
      <c r="A74" s="147" t="s">
        <v>40</v>
      </c>
      <c r="B74" s="144"/>
      <c r="C74" s="16"/>
      <c r="D74" s="81"/>
      <c r="E74" s="138"/>
    </row>
    <row r="75" spans="1:16" ht="9" customHeight="1">
      <c r="A75" s="105"/>
      <c r="B75" s="144"/>
      <c r="C75" s="16"/>
      <c r="D75" s="81"/>
      <c r="E75" s="138"/>
    </row>
    <row r="76" spans="1:16" ht="21">
      <c r="A76" s="53" t="s">
        <v>105</v>
      </c>
      <c r="B76" s="143">
        <f>SUM(B77:B79)</f>
        <v>3429000</v>
      </c>
      <c r="C76" s="69">
        <v>3429000</v>
      </c>
      <c r="D76" s="179">
        <f>SUBTOTAL(9,D77:D79)</f>
        <v>3195475</v>
      </c>
      <c r="E76" s="180">
        <f t="shared" ref="E76:E123" si="1">(D76/C76)</f>
        <v>0.93189705453484983</v>
      </c>
    </row>
    <row r="77" spans="1:16">
      <c r="A77" s="105" t="s">
        <v>77</v>
      </c>
      <c r="B77" s="144">
        <v>100000</v>
      </c>
      <c r="C77" s="18">
        <v>100000</v>
      </c>
      <c r="D77" s="81">
        <f>3195475-D78-D79</f>
        <v>129500</v>
      </c>
      <c r="E77" s="138">
        <f t="shared" si="1"/>
        <v>1.2949999999999999</v>
      </c>
      <c r="P77" s="1" t="s">
        <v>396</v>
      </c>
    </row>
    <row r="78" spans="1:16">
      <c r="A78" s="152" t="s">
        <v>79</v>
      </c>
      <c r="B78" s="144">
        <v>2600000</v>
      </c>
      <c r="C78" s="18">
        <v>2600000</v>
      </c>
      <c r="D78" s="81">
        <v>2398302</v>
      </c>
      <c r="E78" s="138">
        <f t="shared" si="1"/>
        <v>0.92242384615384621</v>
      </c>
    </row>
    <row r="79" spans="1:16">
      <c r="A79" s="105" t="s">
        <v>80</v>
      </c>
      <c r="B79" s="144">
        <f>(B77+B78)*0.27</f>
        <v>729000</v>
      </c>
      <c r="C79" s="18">
        <v>729000</v>
      </c>
      <c r="D79" s="81">
        <v>667673</v>
      </c>
      <c r="E79" s="138">
        <f t="shared" si="1"/>
        <v>0.91587517146776409</v>
      </c>
    </row>
    <row r="80" spans="1:16" ht="13.5" thickBot="1">
      <c r="A80" s="105"/>
      <c r="B80" s="144"/>
      <c r="C80" s="16"/>
      <c r="D80" s="81"/>
      <c r="E80" s="177"/>
    </row>
    <row r="81" spans="1:14" ht="13.5" thickBot="1">
      <c r="A81" s="149" t="s">
        <v>86</v>
      </c>
      <c r="B81" s="126">
        <f>B85+B97+B90</f>
        <v>16987470</v>
      </c>
      <c r="C81" s="100">
        <v>16987470</v>
      </c>
      <c r="D81" s="194">
        <f>D85+D90+D97</f>
        <v>16556052</v>
      </c>
      <c r="E81" s="181">
        <f t="shared" si="1"/>
        <v>0.97460375205960625</v>
      </c>
      <c r="N81" s="1">
        <v>16556052</v>
      </c>
    </row>
    <row r="82" spans="1:14" ht="10.9" customHeight="1">
      <c r="A82" s="127"/>
      <c r="B82" s="128"/>
      <c r="C82" s="16"/>
      <c r="D82" s="81"/>
      <c r="E82" s="137"/>
    </row>
    <row r="83" spans="1:14">
      <c r="A83" s="129" t="s">
        <v>39</v>
      </c>
      <c r="B83" s="128"/>
      <c r="C83" s="16"/>
      <c r="D83" s="81"/>
      <c r="E83" s="138"/>
    </row>
    <row r="84" spans="1:14">
      <c r="A84" s="127"/>
      <c r="B84" s="128"/>
      <c r="C84" s="16"/>
      <c r="D84" s="81"/>
      <c r="E84" s="138"/>
    </row>
    <row r="85" spans="1:14">
      <c r="A85" s="145" t="s">
        <v>106</v>
      </c>
      <c r="B85" s="143">
        <f>SUM(B86:B87)</f>
        <v>3175000</v>
      </c>
      <c r="C85" s="69">
        <v>3175000</v>
      </c>
      <c r="D85" s="179">
        <f>SUBTOTAL(9,D86:D88)</f>
        <v>2840556</v>
      </c>
      <c r="E85" s="180">
        <f t="shared" si="1"/>
        <v>0.89466330708661412</v>
      </c>
      <c r="F85" s="190"/>
      <c r="N85" s="190">
        <f>N81-D81</f>
        <v>0</v>
      </c>
    </row>
    <row r="86" spans="1:14">
      <c r="A86" s="105" t="s">
        <v>87</v>
      </c>
      <c r="B86" s="144">
        <v>2500000</v>
      </c>
      <c r="C86" s="18">
        <v>2500000</v>
      </c>
      <c r="D86" s="81">
        <v>2229474</v>
      </c>
      <c r="E86" s="138">
        <f t="shared" si="1"/>
        <v>0.89178959999999996</v>
      </c>
    </row>
    <row r="87" spans="1:14">
      <c r="A87" s="105" t="s">
        <v>84</v>
      </c>
      <c r="B87" s="144">
        <f>B86*0.27</f>
        <v>675000</v>
      </c>
      <c r="C87" s="18">
        <v>675000</v>
      </c>
      <c r="D87" s="81">
        <v>602381</v>
      </c>
      <c r="E87" s="138">
        <f t="shared" si="1"/>
        <v>0.89241629629629626</v>
      </c>
    </row>
    <row r="88" spans="1:14">
      <c r="A88" s="105" t="s">
        <v>253</v>
      </c>
      <c r="B88" s="144"/>
      <c r="C88" s="18"/>
      <c r="D88" s="81">
        <f>9+1575+2000+112+2005+3000</f>
        <v>8701</v>
      </c>
      <c r="E88" s="138"/>
    </row>
    <row r="89" spans="1:14" ht="10.5" customHeight="1">
      <c r="A89" s="105"/>
      <c r="B89" s="144"/>
      <c r="C89" s="16"/>
      <c r="D89" s="81"/>
      <c r="E89" s="138"/>
    </row>
    <row r="90" spans="1:14">
      <c r="A90" s="145" t="s">
        <v>107</v>
      </c>
      <c r="B90" s="143">
        <f>SUM(B91:B93)</f>
        <v>13456870</v>
      </c>
      <c r="C90" s="69">
        <v>13456870</v>
      </c>
      <c r="D90" s="179">
        <f>SUBTOTAL(9,D91:D93)</f>
        <v>13321690</v>
      </c>
      <c r="E90" s="180">
        <f t="shared" si="1"/>
        <v>0.98995457338890847</v>
      </c>
      <c r="F90" s="190"/>
    </row>
    <row r="91" spans="1:14">
      <c r="A91" s="105" t="s">
        <v>36</v>
      </c>
      <c r="B91" s="144">
        <v>9781000</v>
      </c>
      <c r="C91" s="18">
        <v>9781000</v>
      </c>
      <c r="D91" s="81">
        <v>8957237</v>
      </c>
      <c r="E91" s="138">
        <f t="shared" si="1"/>
        <v>0.91577926592372971</v>
      </c>
    </row>
    <row r="92" spans="1:14">
      <c r="A92" s="105" t="s">
        <v>91</v>
      </c>
      <c r="B92" s="144">
        <f>B91*0.27</f>
        <v>2640870</v>
      </c>
      <c r="C92" s="18">
        <v>2640870</v>
      </c>
      <c r="D92" s="81">
        <v>2418453</v>
      </c>
      <c r="E92" s="138">
        <f t="shared" si="1"/>
        <v>0.91577889104726851</v>
      </c>
    </row>
    <row r="93" spans="1:14">
      <c r="A93" s="105" t="s">
        <v>117</v>
      </c>
      <c r="B93" s="144">
        <f>970000+65000</f>
        <v>1035000</v>
      </c>
      <c r="C93" s="18">
        <v>1035000</v>
      </c>
      <c r="D93" s="81">
        <v>1946000</v>
      </c>
      <c r="E93" s="138">
        <f t="shared" si="1"/>
        <v>1.8801932367149758</v>
      </c>
      <c r="N93" s="190">
        <f>D87+D92+D100</f>
        <v>3099348</v>
      </c>
    </row>
    <row r="94" spans="1:14">
      <c r="A94" s="105"/>
      <c r="B94" s="144"/>
      <c r="C94" s="16"/>
      <c r="D94" s="81"/>
      <c r="E94" s="138"/>
    </row>
    <row r="95" spans="1:14">
      <c r="A95" s="129" t="s">
        <v>129</v>
      </c>
      <c r="B95" s="144"/>
      <c r="C95" s="16"/>
      <c r="D95" s="81"/>
      <c r="E95" s="138"/>
    </row>
    <row r="96" spans="1:14">
      <c r="A96" s="105" t="s">
        <v>88</v>
      </c>
      <c r="B96" s="144"/>
      <c r="C96" s="16"/>
      <c r="D96" s="81"/>
      <c r="E96" s="138"/>
    </row>
    <row r="97" spans="1:14">
      <c r="A97" s="145" t="s">
        <v>22</v>
      </c>
      <c r="B97" s="143">
        <f>B98+B100</f>
        <v>355600</v>
      </c>
      <c r="C97" s="69">
        <v>355600</v>
      </c>
      <c r="D97" s="179">
        <f>SUBTOTAL(9,D98:D100)</f>
        <v>393806</v>
      </c>
      <c r="E97" s="180">
        <f t="shared" si="1"/>
        <v>1.1074409448818898</v>
      </c>
    </row>
    <row r="98" spans="1:14">
      <c r="A98" s="105" t="s">
        <v>89</v>
      </c>
      <c r="B98" s="144">
        <v>280000</v>
      </c>
      <c r="C98" s="18">
        <v>280000</v>
      </c>
      <c r="D98" s="81">
        <v>290792</v>
      </c>
      <c r="E98" s="138">
        <f t="shared" si="1"/>
        <v>1.0385428571428572</v>
      </c>
    </row>
    <row r="99" spans="1:14">
      <c r="A99" s="105" t="s">
        <v>254</v>
      </c>
      <c r="B99" s="144"/>
      <c r="C99" s="18"/>
      <c r="D99" s="81">
        <v>24500</v>
      </c>
      <c r="E99" s="138"/>
    </row>
    <row r="100" spans="1:14">
      <c r="A100" s="105" t="s">
        <v>90</v>
      </c>
      <c r="B100" s="144">
        <f>B98*0.27</f>
        <v>75600</v>
      </c>
      <c r="C100" s="18">
        <v>75600</v>
      </c>
      <c r="D100" s="81">
        <v>78514</v>
      </c>
      <c r="E100" s="138">
        <f t="shared" si="1"/>
        <v>1.0385449735449734</v>
      </c>
    </row>
    <row r="101" spans="1:14" ht="13.5" thickBot="1">
      <c r="A101" s="153"/>
      <c r="B101" s="153"/>
      <c r="C101" s="16"/>
      <c r="D101" s="81"/>
      <c r="E101" s="177"/>
    </row>
    <row r="102" spans="1:14" ht="15" customHeight="1" thickBot="1">
      <c r="A102" s="154" t="s">
        <v>269</v>
      </c>
      <c r="B102" s="155">
        <f>B106+B110+B114</f>
        <v>15934910</v>
      </c>
      <c r="C102" s="100">
        <v>15934910</v>
      </c>
      <c r="D102" s="613">
        <f>D106+D110+D114</f>
        <v>11766466</v>
      </c>
      <c r="E102" s="221">
        <f t="shared" si="1"/>
        <v>0.7384080612943531</v>
      </c>
      <c r="N102" s="1">
        <v>11766466</v>
      </c>
    </row>
    <row r="103" spans="1:14" ht="9" customHeight="1">
      <c r="A103" s="156"/>
      <c r="B103" s="157"/>
      <c r="C103" s="16"/>
      <c r="D103" s="81"/>
      <c r="E103" s="137"/>
    </row>
    <row r="104" spans="1:14">
      <c r="A104" s="158" t="s">
        <v>39</v>
      </c>
      <c r="B104" s="158"/>
      <c r="C104" s="16"/>
      <c r="D104" s="81"/>
      <c r="E104" s="138"/>
    </row>
    <row r="105" spans="1:14">
      <c r="A105" s="159"/>
      <c r="B105" s="159"/>
      <c r="C105" s="16"/>
      <c r="D105" s="81"/>
      <c r="E105" s="138"/>
      <c r="N105" s="190">
        <f>D102-N102</f>
        <v>0</v>
      </c>
    </row>
    <row r="106" spans="1:14">
      <c r="A106" s="160" t="s">
        <v>147</v>
      </c>
      <c r="B106" s="161">
        <f>B107+B108</f>
        <v>9820910</v>
      </c>
      <c r="C106" s="69">
        <v>9820910</v>
      </c>
      <c r="D106" s="179">
        <f>SUBTOTAL(9,D107:D108)</f>
        <v>6707725</v>
      </c>
      <c r="E106" s="180">
        <f t="shared" si="1"/>
        <v>0.68300442627007074</v>
      </c>
    </row>
    <row r="107" spans="1:14">
      <c r="A107" s="162" t="s">
        <v>89</v>
      </c>
      <c r="B107" s="163">
        <v>7733000</v>
      </c>
      <c r="C107" s="18">
        <v>7733000</v>
      </c>
      <c r="D107" s="81">
        <f>4842852+438817</f>
        <v>5281669</v>
      </c>
      <c r="E107" s="138">
        <f t="shared" si="1"/>
        <v>0.68300387947756369</v>
      </c>
    </row>
    <row r="108" spans="1:14">
      <c r="A108" s="105" t="s">
        <v>90</v>
      </c>
      <c r="B108" s="164">
        <f>B107*0.27</f>
        <v>2087910.0000000002</v>
      </c>
      <c r="C108" s="18">
        <v>2087910</v>
      </c>
      <c r="D108" s="81">
        <v>1426056</v>
      </c>
      <c r="E108" s="138">
        <f t="shared" si="1"/>
        <v>0.68300645142750405</v>
      </c>
    </row>
    <row r="109" spans="1:14" ht="8.25" customHeight="1">
      <c r="A109" s="105"/>
      <c r="B109" s="164"/>
      <c r="C109" s="16"/>
      <c r="D109" s="81"/>
      <c r="E109" s="138"/>
    </row>
    <row r="110" spans="1:14">
      <c r="A110" s="160" t="s">
        <v>108</v>
      </c>
      <c r="B110" s="165">
        <f>B111</f>
        <v>5860000</v>
      </c>
      <c r="C110" s="69">
        <v>5860000</v>
      </c>
      <c r="D110" s="179">
        <f>D111</f>
        <v>4848111</v>
      </c>
      <c r="E110" s="180">
        <f t="shared" si="1"/>
        <v>0.82732269624573374</v>
      </c>
    </row>
    <row r="111" spans="1:14">
      <c r="A111" s="166" t="s">
        <v>137</v>
      </c>
      <c r="B111" s="164">
        <v>5860000</v>
      </c>
      <c r="C111" s="18">
        <v>5860000</v>
      </c>
      <c r="D111" s="81">
        <f>4848000+111</f>
        <v>4848111</v>
      </c>
      <c r="E111" s="138">
        <f t="shared" si="1"/>
        <v>0.82732269624573374</v>
      </c>
    </row>
    <row r="112" spans="1:14">
      <c r="A112" s="166"/>
      <c r="B112" s="164"/>
      <c r="C112" s="18"/>
      <c r="D112" s="81"/>
      <c r="E112" s="138"/>
    </row>
    <row r="113" spans="1:14">
      <c r="A113" s="166"/>
      <c r="B113" s="164"/>
      <c r="C113" s="16"/>
      <c r="D113" s="81"/>
      <c r="E113" s="138"/>
    </row>
    <row r="114" spans="1:14">
      <c r="A114" s="160" t="s">
        <v>126</v>
      </c>
      <c r="B114" s="165">
        <f>SUM(B115:B116)</f>
        <v>254000</v>
      </c>
      <c r="C114" s="69">
        <v>254000</v>
      </c>
      <c r="D114" s="179">
        <f>SUBTOTAL(9,D115:D116)</f>
        <v>210630</v>
      </c>
      <c r="E114" s="180">
        <f t="shared" si="1"/>
        <v>0.82925196850393701</v>
      </c>
    </row>
    <row r="115" spans="1:14">
      <c r="A115" s="167" t="s">
        <v>138</v>
      </c>
      <c r="B115" s="168">
        <v>200000</v>
      </c>
      <c r="C115" s="18">
        <v>200000</v>
      </c>
      <c r="D115" s="81">
        <v>167552</v>
      </c>
      <c r="E115" s="138">
        <f t="shared" si="1"/>
        <v>0.83775999999999995</v>
      </c>
    </row>
    <row r="116" spans="1:14">
      <c r="A116" s="105" t="s">
        <v>90</v>
      </c>
      <c r="B116" s="168">
        <f>B115*0.27</f>
        <v>54000</v>
      </c>
      <c r="C116" s="18">
        <v>54000</v>
      </c>
      <c r="D116" s="81">
        <v>43078</v>
      </c>
      <c r="E116" s="138">
        <f t="shared" si="1"/>
        <v>0.79774074074074075</v>
      </c>
      <c r="N116" s="190">
        <f>D116+D108</f>
        <v>1469134</v>
      </c>
    </row>
    <row r="117" spans="1:14" ht="13.5" thickBot="1">
      <c r="A117" s="153"/>
      <c r="B117" s="169"/>
      <c r="C117" s="16"/>
      <c r="D117" s="81"/>
      <c r="E117" s="138"/>
      <c r="N117" s="1">
        <v>1469134</v>
      </c>
    </row>
    <row r="118" spans="1:14" ht="13.5" thickBot="1">
      <c r="A118" s="170" t="s">
        <v>165</v>
      </c>
      <c r="B118" s="155">
        <f>B122+B125</f>
        <v>76000</v>
      </c>
      <c r="C118" s="100">
        <v>76000</v>
      </c>
      <c r="D118" s="194">
        <f>D122</f>
        <v>76002</v>
      </c>
      <c r="E118" s="181">
        <f t="shared" si="1"/>
        <v>1.0000263157894738</v>
      </c>
      <c r="N118" s="190" t="e">
        <f>N116-N117+#REF!</f>
        <v>#REF!</v>
      </c>
    </row>
    <row r="119" spans="1:14">
      <c r="A119" s="159"/>
      <c r="B119" s="171"/>
      <c r="C119" s="16"/>
      <c r="D119" s="81"/>
      <c r="E119" s="137"/>
    </row>
    <row r="120" spans="1:14">
      <c r="A120" s="172" t="s">
        <v>39</v>
      </c>
      <c r="B120" s="173"/>
      <c r="C120" s="16"/>
      <c r="D120" s="81"/>
      <c r="E120" s="138"/>
    </row>
    <row r="121" spans="1:14">
      <c r="A121" s="166"/>
      <c r="B121" s="174"/>
      <c r="C121" s="16"/>
      <c r="D121" s="81"/>
      <c r="E121" s="138"/>
    </row>
    <row r="122" spans="1:14" ht="21.75">
      <c r="A122" s="160" t="s">
        <v>197</v>
      </c>
      <c r="B122" s="165">
        <f>SUM(B123:B124)</f>
        <v>76000</v>
      </c>
      <c r="C122" s="69">
        <v>76000</v>
      </c>
      <c r="D122" s="179">
        <f>D123</f>
        <v>76002</v>
      </c>
      <c r="E122" s="180">
        <f t="shared" si="1"/>
        <v>1.0000263157894738</v>
      </c>
    </row>
    <row r="123" spans="1:14">
      <c r="A123" s="175" t="s">
        <v>198</v>
      </c>
      <c r="B123" s="176">
        <v>76000</v>
      </c>
      <c r="C123" s="18">
        <v>76000</v>
      </c>
      <c r="D123" s="81">
        <f>76000+2</f>
        <v>76002</v>
      </c>
      <c r="E123" s="138">
        <f t="shared" si="1"/>
        <v>1.0000263157894738</v>
      </c>
    </row>
    <row r="124" spans="1:14">
      <c r="A124" s="153"/>
      <c r="B124" s="153"/>
      <c r="C124" s="16"/>
      <c r="D124" s="81"/>
      <c r="E124" s="16"/>
    </row>
    <row r="125" spans="1:14">
      <c r="A125" s="153"/>
      <c r="B125" s="153"/>
      <c r="C125" s="16"/>
      <c r="D125" s="81"/>
      <c r="E125" s="16"/>
    </row>
    <row r="126" spans="1:14">
      <c r="A126" s="153"/>
      <c r="B126" s="153"/>
      <c r="C126" s="16"/>
      <c r="D126" s="81"/>
      <c r="E126" s="16"/>
    </row>
    <row r="127" spans="1:14">
      <c r="A127" s="153"/>
      <c r="B127" s="153"/>
      <c r="C127" s="16"/>
      <c r="D127" s="81"/>
      <c r="E127" s="16"/>
    </row>
    <row r="128" spans="1:14">
      <c r="A128" s="153"/>
      <c r="B128" s="153"/>
      <c r="C128" s="16"/>
      <c r="D128" s="81"/>
      <c r="E128" s="16"/>
    </row>
    <row r="129" spans="1:5">
      <c r="A129" s="153"/>
      <c r="B129" s="153"/>
      <c r="C129" s="2"/>
      <c r="D129" s="81"/>
      <c r="E129" s="16"/>
    </row>
    <row r="130" spans="1:5">
      <c r="A130" s="153"/>
      <c r="B130" s="153"/>
      <c r="C130" s="2"/>
      <c r="D130" s="81"/>
      <c r="E130" s="16"/>
    </row>
    <row r="131" spans="1:5">
      <c r="A131" s="153"/>
      <c r="B131" s="153"/>
      <c r="C131" s="2"/>
      <c r="D131" s="81"/>
      <c r="E131" s="16"/>
    </row>
    <row r="132" spans="1:5">
      <c r="A132" s="153"/>
      <c r="B132" s="153"/>
      <c r="C132" s="2"/>
      <c r="D132" s="81"/>
      <c r="E132" s="16"/>
    </row>
    <row r="133" spans="1:5">
      <c r="A133" s="153"/>
      <c r="B133" s="153"/>
      <c r="C133" s="2"/>
      <c r="D133" s="81"/>
      <c r="E133" s="16"/>
    </row>
    <row r="134" spans="1:5">
      <c r="A134" s="153"/>
      <c r="B134" s="153"/>
      <c r="C134" s="2"/>
      <c r="D134" s="81"/>
      <c r="E134" s="16"/>
    </row>
    <row r="135" spans="1:5">
      <c r="A135" s="153"/>
      <c r="B135" s="153"/>
      <c r="C135" s="2"/>
      <c r="D135" s="81"/>
      <c r="E135" s="16"/>
    </row>
    <row r="136" spans="1:5">
      <c r="A136" s="153"/>
      <c r="B136" s="153"/>
      <c r="C136" s="2"/>
      <c r="D136" s="81"/>
      <c r="E136" s="16"/>
    </row>
    <row r="137" spans="1:5">
      <c r="A137" s="153"/>
      <c r="B137" s="153"/>
      <c r="C137" s="2"/>
      <c r="D137" s="81"/>
      <c r="E137" s="16"/>
    </row>
    <row r="138" spans="1:5">
      <c r="A138" s="153"/>
      <c r="B138" s="153"/>
      <c r="C138" s="2"/>
      <c r="D138" s="81"/>
      <c r="E138" s="16"/>
    </row>
    <row r="139" spans="1:5">
      <c r="A139" s="153"/>
      <c r="B139" s="153"/>
      <c r="C139" s="2"/>
      <c r="D139" s="81"/>
    </row>
    <row r="140" spans="1:5">
      <c r="A140" s="153"/>
      <c r="B140" s="153"/>
      <c r="C140" s="2"/>
      <c r="D140" s="81"/>
    </row>
    <row r="141" spans="1:5">
      <c r="A141" s="153"/>
      <c r="B141" s="153"/>
      <c r="C141" s="2"/>
      <c r="D141" s="81"/>
    </row>
    <row r="142" spans="1:5">
      <c r="A142" s="153"/>
      <c r="B142" s="153"/>
      <c r="C142" s="2"/>
      <c r="D142" s="81"/>
    </row>
    <row r="143" spans="1:5">
      <c r="A143" s="153"/>
      <c r="B143" s="153"/>
      <c r="C143" s="2"/>
      <c r="D143" s="81"/>
    </row>
    <row r="144" spans="1:5">
      <c r="A144" s="153"/>
      <c r="B144" s="153"/>
      <c r="C144" s="2"/>
      <c r="D144" s="81"/>
    </row>
    <row r="145" spans="1:4">
      <c r="A145" s="153"/>
      <c r="B145" s="153"/>
      <c r="C145" s="2"/>
      <c r="D145" s="81"/>
    </row>
    <row r="146" spans="1:4">
      <c r="A146" s="153"/>
      <c r="B146" s="153"/>
      <c r="C146" s="2"/>
      <c r="D146" s="81"/>
    </row>
    <row r="147" spans="1:4">
      <c r="A147" s="153"/>
      <c r="B147" s="153"/>
      <c r="C147" s="2"/>
      <c r="D147" s="81"/>
    </row>
    <row r="148" spans="1:4">
      <c r="A148" s="153"/>
      <c r="B148" s="153"/>
      <c r="C148" s="2"/>
      <c r="D148" s="81"/>
    </row>
    <row r="149" spans="1:4">
      <c r="A149" s="153"/>
      <c r="B149" s="153"/>
      <c r="C149" s="2"/>
      <c r="D149" s="81"/>
    </row>
    <row r="150" spans="1:4">
      <c r="A150" s="153"/>
      <c r="B150" s="153"/>
      <c r="C150" s="2"/>
      <c r="D150" s="81"/>
    </row>
    <row r="151" spans="1:4">
      <c r="A151" s="153"/>
      <c r="B151" s="153"/>
      <c r="C151" s="2"/>
      <c r="D151" s="81"/>
    </row>
    <row r="152" spans="1:4">
      <c r="A152" s="153"/>
      <c r="B152" s="153"/>
      <c r="C152" s="2"/>
      <c r="D152" s="81"/>
    </row>
    <row r="153" spans="1:4">
      <c r="A153" s="153"/>
      <c r="B153" s="153"/>
      <c r="C153" s="2"/>
      <c r="D153" s="81"/>
    </row>
    <row r="154" spans="1:4">
      <c r="A154" s="153"/>
      <c r="B154" s="153"/>
      <c r="C154" s="2"/>
      <c r="D154" s="81"/>
    </row>
    <row r="155" spans="1:4">
      <c r="A155" s="153"/>
      <c r="B155" s="153"/>
      <c r="C155" s="2"/>
      <c r="D155" s="81"/>
    </row>
    <row r="156" spans="1:4">
      <c r="A156" s="153"/>
      <c r="B156" s="153"/>
      <c r="C156" s="2"/>
      <c r="D156" s="81"/>
    </row>
    <row r="157" spans="1:4">
      <c r="A157" s="153"/>
      <c r="B157" s="153"/>
      <c r="C157" s="2"/>
      <c r="D157" s="16"/>
    </row>
    <row r="158" spans="1:4">
      <c r="A158" s="153"/>
      <c r="B158" s="153"/>
      <c r="C158" s="2"/>
      <c r="D158" s="16"/>
    </row>
    <row r="159" spans="1:4">
      <c r="A159" s="153"/>
      <c r="B159" s="153"/>
      <c r="C159" s="2"/>
      <c r="D159" s="16"/>
    </row>
    <row r="160" spans="1:4">
      <c r="A160" s="153"/>
      <c r="B160" s="153"/>
      <c r="C160" s="2"/>
      <c r="D160" s="16"/>
    </row>
    <row r="161" spans="1:4">
      <c r="A161" s="153"/>
      <c r="B161" s="153"/>
      <c r="C161" s="2"/>
      <c r="D161" s="16"/>
    </row>
    <row r="162" spans="1:4">
      <c r="A162" s="153"/>
      <c r="B162" s="153"/>
      <c r="C162" s="2"/>
      <c r="D162" s="16"/>
    </row>
    <row r="163" spans="1:4">
      <c r="A163" s="153"/>
      <c r="B163" s="153"/>
      <c r="C163" s="2"/>
      <c r="D163" s="16"/>
    </row>
    <row r="164" spans="1:4">
      <c r="A164" s="153"/>
      <c r="B164" s="153"/>
      <c r="C164" s="2"/>
      <c r="D164" s="16"/>
    </row>
    <row r="165" spans="1:4">
      <c r="A165" s="153"/>
      <c r="B165" s="153"/>
      <c r="C165" s="2"/>
      <c r="D165" s="16"/>
    </row>
    <row r="166" spans="1:4">
      <c r="A166" s="153"/>
      <c r="B166" s="153"/>
      <c r="C166" s="2"/>
      <c r="D166" s="16"/>
    </row>
    <row r="167" spans="1:4">
      <c r="A167" s="153"/>
      <c r="B167" s="153"/>
      <c r="C167" s="2"/>
      <c r="D167" s="16"/>
    </row>
    <row r="168" spans="1:4">
      <c r="A168" s="153"/>
      <c r="B168" s="153"/>
      <c r="C168" s="2"/>
      <c r="D168" s="16"/>
    </row>
    <row r="169" spans="1:4">
      <c r="A169" s="153"/>
      <c r="B169" s="153"/>
      <c r="C169" s="2"/>
      <c r="D169" s="16"/>
    </row>
    <row r="170" spans="1:4">
      <c r="A170" s="153"/>
      <c r="B170" s="153"/>
      <c r="C170" s="2"/>
      <c r="D170" s="16"/>
    </row>
    <row r="171" spans="1:4">
      <c r="A171" s="153"/>
      <c r="B171" s="153"/>
      <c r="C171" s="2"/>
      <c r="D171" s="16"/>
    </row>
    <row r="172" spans="1:4">
      <c r="A172" s="153"/>
      <c r="B172" s="153"/>
      <c r="C172" s="2"/>
      <c r="D172" s="2"/>
    </row>
    <row r="173" spans="1:4">
      <c r="A173" s="153"/>
      <c r="B173" s="153"/>
      <c r="C173" s="2"/>
      <c r="D173" s="2"/>
    </row>
    <row r="174" spans="1:4">
      <c r="A174" s="153"/>
      <c r="B174" s="153"/>
      <c r="C174" s="2"/>
      <c r="D174" s="2"/>
    </row>
    <row r="175" spans="1:4">
      <c r="A175" s="153"/>
      <c r="B175" s="153"/>
      <c r="C175" s="2"/>
      <c r="D175" s="2"/>
    </row>
    <row r="176" spans="1:4">
      <c r="A176" s="153"/>
      <c r="B176" s="153"/>
      <c r="C176" s="2"/>
      <c r="D176" s="2"/>
    </row>
    <row r="177" spans="1:4">
      <c r="A177" s="153"/>
      <c r="B177" s="153"/>
      <c r="C177" s="2"/>
      <c r="D177" s="2"/>
    </row>
    <row r="178" spans="1:4">
      <c r="A178" s="153"/>
      <c r="B178" s="153"/>
      <c r="C178" s="2"/>
      <c r="D178" s="2"/>
    </row>
    <row r="179" spans="1:4">
      <c r="A179" s="153"/>
      <c r="B179" s="153"/>
      <c r="C179" s="2"/>
      <c r="D179" s="2"/>
    </row>
    <row r="180" spans="1:4">
      <c r="A180" s="153"/>
      <c r="B180" s="153"/>
      <c r="C180" s="2"/>
      <c r="D180" s="2"/>
    </row>
    <row r="181" spans="1:4">
      <c r="A181" s="153"/>
      <c r="B181" s="153"/>
      <c r="C181" s="2"/>
      <c r="D181" s="2"/>
    </row>
    <row r="182" spans="1:4">
      <c r="A182" s="153"/>
      <c r="B182" s="153"/>
      <c r="C182" s="2"/>
      <c r="D182" s="2"/>
    </row>
    <row r="183" spans="1:4">
      <c r="A183" s="153"/>
      <c r="B183" s="153"/>
      <c r="C183" s="2"/>
      <c r="D183" s="2"/>
    </row>
    <row r="184" spans="1:4">
      <c r="A184" s="153"/>
      <c r="B184" s="153"/>
      <c r="C184" s="2"/>
      <c r="D184" s="2"/>
    </row>
    <row r="185" spans="1:4">
      <c r="A185" s="153"/>
      <c r="B185" s="153"/>
      <c r="C185" s="2"/>
      <c r="D185" s="2"/>
    </row>
    <row r="186" spans="1:4">
      <c r="A186" s="153"/>
      <c r="B186" s="153"/>
      <c r="C186" s="2"/>
      <c r="D186" s="2"/>
    </row>
    <row r="187" spans="1:4">
      <c r="A187" s="153"/>
      <c r="B187" s="153"/>
      <c r="C187" s="2"/>
      <c r="D187" s="2"/>
    </row>
    <row r="188" spans="1:4">
      <c r="A188" s="153"/>
      <c r="B188" s="153"/>
      <c r="C188" s="2"/>
      <c r="D188" s="2"/>
    </row>
    <row r="189" spans="1:4">
      <c r="A189" s="153"/>
      <c r="B189" s="153"/>
      <c r="C189" s="2"/>
      <c r="D189" s="2"/>
    </row>
    <row r="190" spans="1:4">
      <c r="A190" s="153"/>
      <c r="B190" s="153"/>
      <c r="C190" s="2"/>
      <c r="D190" s="2"/>
    </row>
    <row r="191" spans="1:4">
      <c r="A191" s="153"/>
      <c r="B191" s="153"/>
      <c r="C191" s="2"/>
      <c r="D191" s="2"/>
    </row>
    <row r="192" spans="1:4">
      <c r="A192" s="153"/>
      <c r="B192" s="153"/>
      <c r="C192" s="2"/>
      <c r="D192" s="2"/>
    </row>
    <row r="193" spans="1:4">
      <c r="A193" s="153"/>
      <c r="B193" s="153"/>
      <c r="C193" s="2"/>
      <c r="D193" s="2"/>
    </row>
    <row r="194" spans="1:4">
      <c r="A194" s="153"/>
      <c r="B194" s="153"/>
      <c r="C194" s="2"/>
      <c r="D194" s="2"/>
    </row>
    <row r="195" spans="1:4">
      <c r="A195" s="153"/>
      <c r="B195" s="153"/>
      <c r="C195" s="2"/>
      <c r="D195" s="2"/>
    </row>
    <row r="196" spans="1:4">
      <c r="A196" s="153"/>
      <c r="B196" s="153"/>
      <c r="C196" s="2"/>
      <c r="D196" s="2"/>
    </row>
    <row r="197" spans="1:4">
      <c r="A197" s="153"/>
      <c r="B197" s="153"/>
      <c r="C197" s="2"/>
      <c r="D197" s="2"/>
    </row>
    <row r="198" spans="1:4">
      <c r="A198" s="153"/>
      <c r="B198" s="153"/>
      <c r="C198" s="2"/>
      <c r="D198" s="2"/>
    </row>
    <row r="199" spans="1:4">
      <c r="A199" s="153"/>
      <c r="B199" s="153"/>
      <c r="C199" s="2"/>
      <c r="D199" s="2"/>
    </row>
    <row r="200" spans="1:4">
      <c r="A200" s="153"/>
      <c r="B200" s="153"/>
      <c r="C200" s="2"/>
      <c r="D200" s="2"/>
    </row>
    <row r="201" spans="1:4">
      <c r="A201" s="153"/>
      <c r="B201" s="153"/>
      <c r="C201" s="2"/>
      <c r="D201" s="2"/>
    </row>
    <row r="202" spans="1:4">
      <c r="A202" s="153"/>
      <c r="B202" s="153"/>
      <c r="C202" s="2"/>
      <c r="D202" s="2"/>
    </row>
    <row r="203" spans="1:4">
      <c r="A203" s="153"/>
      <c r="B203" s="153"/>
      <c r="C203" s="2"/>
      <c r="D203" s="2"/>
    </row>
    <row r="204" spans="1:4">
      <c r="A204" s="153"/>
      <c r="B204" s="153"/>
      <c r="C204" s="2"/>
      <c r="D204" s="2"/>
    </row>
    <row r="205" spans="1:4">
      <c r="A205" s="153"/>
      <c r="B205" s="153"/>
      <c r="C205" s="2"/>
      <c r="D205" s="2"/>
    </row>
    <row r="206" spans="1:4">
      <c r="A206" s="153"/>
      <c r="B206" s="153"/>
      <c r="C206" s="2"/>
      <c r="D206" s="2"/>
    </row>
    <row r="207" spans="1:4">
      <c r="A207" s="153"/>
      <c r="B207" s="153"/>
      <c r="C207" s="2"/>
      <c r="D207" s="2"/>
    </row>
    <row r="208" spans="1:4">
      <c r="A208" s="153"/>
      <c r="B208" s="153"/>
      <c r="C208" s="2"/>
      <c r="D208" s="2"/>
    </row>
    <row r="209" spans="1:4">
      <c r="A209" s="153"/>
      <c r="B209" s="153"/>
      <c r="C209" s="2"/>
      <c r="D209" s="2"/>
    </row>
    <row r="210" spans="1:4">
      <c r="A210" s="153"/>
      <c r="B210" s="153"/>
      <c r="C210" s="2"/>
      <c r="D210" s="2"/>
    </row>
    <row r="211" spans="1:4">
      <c r="A211" s="153"/>
      <c r="B211" s="153"/>
      <c r="C211" s="2"/>
      <c r="D211" s="2"/>
    </row>
    <row r="212" spans="1:4">
      <c r="A212" s="153"/>
      <c r="B212" s="153"/>
      <c r="C212" s="2"/>
      <c r="D212" s="2"/>
    </row>
    <row r="213" spans="1:4">
      <c r="A213" s="153"/>
      <c r="B213" s="153"/>
      <c r="C213" s="2"/>
      <c r="D213" s="2"/>
    </row>
    <row r="214" spans="1:4">
      <c r="A214" s="153"/>
      <c r="B214" s="153"/>
      <c r="C214" s="2"/>
      <c r="D214" s="2"/>
    </row>
    <row r="215" spans="1:4">
      <c r="A215" s="153"/>
      <c r="B215" s="153"/>
      <c r="C215" s="2"/>
      <c r="D215" s="2"/>
    </row>
    <row r="216" spans="1:4">
      <c r="A216" s="153"/>
      <c r="B216" s="153"/>
      <c r="C216" s="2"/>
      <c r="D216" s="2"/>
    </row>
    <row r="217" spans="1:4">
      <c r="A217" s="153"/>
      <c r="B217" s="153"/>
      <c r="C217" s="2"/>
      <c r="D217" s="2"/>
    </row>
    <row r="218" spans="1:4">
      <c r="A218" s="153"/>
      <c r="B218" s="153"/>
      <c r="C218" s="2"/>
      <c r="D218" s="2"/>
    </row>
    <row r="219" spans="1:4">
      <c r="A219" s="153"/>
      <c r="B219" s="153"/>
      <c r="C219" s="2"/>
      <c r="D219" s="2"/>
    </row>
    <row r="220" spans="1:4">
      <c r="A220" s="153"/>
      <c r="B220" s="153"/>
      <c r="C220" s="2"/>
      <c r="D220" s="2"/>
    </row>
    <row r="221" spans="1:4">
      <c r="A221" s="153"/>
      <c r="B221" s="153"/>
      <c r="C221" s="2"/>
      <c r="D221" s="2"/>
    </row>
    <row r="222" spans="1:4">
      <c r="A222" s="153"/>
      <c r="B222" s="153"/>
      <c r="C222" s="2"/>
      <c r="D222" s="2"/>
    </row>
    <row r="223" spans="1:4">
      <c r="A223" s="153"/>
      <c r="B223" s="153"/>
      <c r="C223" s="2"/>
      <c r="D223" s="2"/>
    </row>
    <row r="224" spans="1:4">
      <c r="A224" s="153"/>
      <c r="B224" s="153"/>
      <c r="C224" s="2"/>
      <c r="D224" s="2"/>
    </row>
    <row r="225" spans="1:4">
      <c r="A225" s="153"/>
      <c r="B225" s="153"/>
      <c r="C225" s="2"/>
      <c r="D225" s="2"/>
    </row>
    <row r="226" spans="1:4">
      <c r="A226" s="153"/>
      <c r="B226" s="153"/>
      <c r="C226" s="2"/>
      <c r="D226" s="2"/>
    </row>
    <row r="227" spans="1:4">
      <c r="A227" s="153"/>
      <c r="B227" s="153"/>
      <c r="C227" s="2"/>
      <c r="D227" s="2"/>
    </row>
    <row r="228" spans="1:4">
      <c r="A228" s="153"/>
      <c r="B228" s="153"/>
      <c r="C228" s="2"/>
      <c r="D228" s="2"/>
    </row>
    <row r="229" spans="1:4">
      <c r="A229" s="153"/>
      <c r="B229" s="153"/>
      <c r="C229" s="2"/>
      <c r="D229" s="2"/>
    </row>
    <row r="230" spans="1:4">
      <c r="A230" s="153"/>
      <c r="B230" s="153"/>
      <c r="C230" s="2"/>
      <c r="D230" s="2"/>
    </row>
    <row r="231" spans="1:4">
      <c r="A231" s="153"/>
      <c r="B231" s="153"/>
      <c r="C231" s="2"/>
      <c r="D231" s="2"/>
    </row>
    <row r="232" spans="1:4">
      <c r="A232" s="153"/>
      <c r="B232" s="153"/>
      <c r="C232" s="2"/>
      <c r="D232" s="2"/>
    </row>
    <row r="233" spans="1:4">
      <c r="A233" s="153"/>
      <c r="B233" s="153"/>
      <c r="C233" s="2"/>
      <c r="D233" s="2"/>
    </row>
    <row r="234" spans="1:4">
      <c r="A234" s="153"/>
      <c r="B234" s="153"/>
      <c r="C234" s="2"/>
      <c r="D234" s="2"/>
    </row>
    <row r="235" spans="1:4">
      <c r="A235" s="153"/>
      <c r="B235" s="153"/>
      <c r="C235" s="2"/>
      <c r="D235" s="2"/>
    </row>
    <row r="236" spans="1:4">
      <c r="A236" s="153"/>
      <c r="B236" s="153"/>
      <c r="C236" s="2"/>
      <c r="D236" s="2"/>
    </row>
    <row r="237" spans="1:4">
      <c r="A237" s="153"/>
      <c r="B237" s="153"/>
      <c r="C237" s="2"/>
      <c r="D237" s="2"/>
    </row>
    <row r="238" spans="1:4">
      <c r="A238" s="153"/>
      <c r="B238" s="153"/>
      <c r="C238" s="2"/>
      <c r="D238" s="2"/>
    </row>
    <row r="239" spans="1:4">
      <c r="A239" s="153"/>
      <c r="B239" s="153"/>
      <c r="C239" s="2"/>
      <c r="D239" s="2"/>
    </row>
    <row r="240" spans="1:4">
      <c r="A240" s="153"/>
      <c r="B240" s="153"/>
      <c r="C240" s="2"/>
      <c r="D240" s="2"/>
    </row>
    <row r="241" spans="1:4">
      <c r="A241" s="153"/>
      <c r="B241" s="153"/>
      <c r="C241" s="2"/>
      <c r="D241" s="2"/>
    </row>
    <row r="242" spans="1:4">
      <c r="A242" s="153"/>
      <c r="B242" s="153"/>
      <c r="C242" s="2"/>
      <c r="D242" s="2"/>
    </row>
    <row r="243" spans="1:4">
      <c r="A243" s="153"/>
      <c r="B243" s="153"/>
      <c r="C243" s="2"/>
      <c r="D243" s="2"/>
    </row>
    <row r="244" spans="1:4">
      <c r="A244" s="153"/>
      <c r="B244" s="153"/>
      <c r="C244" s="2"/>
      <c r="D244" s="2"/>
    </row>
    <row r="245" spans="1:4">
      <c r="A245" s="153"/>
      <c r="B245" s="153"/>
      <c r="C245" s="2"/>
      <c r="D245" s="2"/>
    </row>
    <row r="246" spans="1:4">
      <c r="A246" s="153"/>
      <c r="B246" s="153"/>
      <c r="C246" s="2"/>
      <c r="D246" s="2"/>
    </row>
    <row r="247" spans="1:4">
      <c r="A247" s="153"/>
      <c r="B247" s="153"/>
      <c r="C247" s="2"/>
      <c r="D247" s="2"/>
    </row>
    <row r="248" spans="1:4">
      <c r="A248" s="153"/>
      <c r="B248" s="153"/>
      <c r="C248" s="2"/>
      <c r="D248" s="2"/>
    </row>
    <row r="249" spans="1:4">
      <c r="A249" s="153"/>
      <c r="B249" s="153"/>
      <c r="C249" s="2"/>
      <c r="D249" s="2"/>
    </row>
    <row r="250" spans="1:4">
      <c r="A250" s="153"/>
      <c r="B250" s="153"/>
      <c r="C250" s="2"/>
      <c r="D250" s="2"/>
    </row>
    <row r="251" spans="1:4">
      <c r="A251" s="153"/>
      <c r="B251" s="153"/>
      <c r="C251" s="2"/>
      <c r="D251" s="2"/>
    </row>
    <row r="252" spans="1:4">
      <c r="A252" s="153"/>
      <c r="B252" s="153"/>
      <c r="C252" s="2"/>
      <c r="D252" s="2"/>
    </row>
    <row r="253" spans="1:4">
      <c r="A253" s="153"/>
      <c r="B253" s="153"/>
      <c r="C253" s="2"/>
      <c r="D253" s="2"/>
    </row>
    <row r="254" spans="1:4">
      <c r="A254" s="153"/>
      <c r="B254" s="153"/>
      <c r="C254" s="2"/>
      <c r="D254" s="2"/>
    </row>
    <row r="255" spans="1:4">
      <c r="A255" s="153"/>
      <c r="B255" s="153"/>
      <c r="C255" s="2"/>
      <c r="D255" s="2"/>
    </row>
    <row r="256" spans="1:4">
      <c r="A256" s="153"/>
      <c r="B256" s="153"/>
      <c r="C256" s="2"/>
      <c r="D256" s="2"/>
    </row>
    <row r="257" spans="1:4">
      <c r="A257" s="153"/>
      <c r="B257" s="153"/>
      <c r="C257" s="2"/>
      <c r="D257" s="2"/>
    </row>
    <row r="258" spans="1:4">
      <c r="A258" s="153"/>
      <c r="B258" s="153"/>
      <c r="C258" s="2"/>
      <c r="D258" s="2"/>
    </row>
    <row r="259" spans="1:4">
      <c r="A259" s="153"/>
      <c r="B259" s="153"/>
      <c r="C259" s="2"/>
      <c r="D259" s="2"/>
    </row>
    <row r="260" spans="1:4">
      <c r="A260" s="153"/>
      <c r="B260" s="153"/>
    </row>
    <row r="261" spans="1:4">
      <c r="A261" s="153"/>
      <c r="B261" s="153"/>
    </row>
    <row r="262" spans="1:4">
      <c r="A262" s="153"/>
      <c r="B262" s="153"/>
    </row>
    <row r="263" spans="1:4">
      <c r="A263" s="153"/>
      <c r="B263" s="153"/>
    </row>
    <row r="264" spans="1:4">
      <c r="A264" s="153"/>
      <c r="B264" s="153"/>
    </row>
    <row r="265" spans="1:4">
      <c r="A265" s="153"/>
      <c r="B265" s="153"/>
    </row>
    <row r="266" spans="1:4">
      <c r="A266" s="153"/>
      <c r="B266" s="153"/>
    </row>
    <row r="267" spans="1:4">
      <c r="A267" s="153"/>
      <c r="B267" s="153"/>
    </row>
    <row r="268" spans="1:4">
      <c r="A268" s="153"/>
      <c r="B268" s="153"/>
    </row>
    <row r="269" spans="1:4">
      <c r="A269" s="153"/>
      <c r="B269" s="153"/>
    </row>
    <row r="270" spans="1:4">
      <c r="A270" s="153"/>
      <c r="B270" s="153"/>
    </row>
    <row r="271" spans="1:4">
      <c r="A271" s="153"/>
      <c r="B271" s="153"/>
    </row>
    <row r="272" spans="1:4">
      <c r="A272" s="153"/>
      <c r="B272" s="153"/>
    </row>
    <row r="273" spans="1:2">
      <c r="A273" s="153"/>
      <c r="B273" s="153"/>
    </row>
    <row r="274" spans="1:2">
      <c r="A274" s="153"/>
      <c r="B274" s="153"/>
    </row>
    <row r="275" spans="1:2">
      <c r="A275" s="153"/>
      <c r="B275" s="153"/>
    </row>
  </sheetData>
  <autoFilter ref="A52:A59">
    <filterColumn colId="0">
      <iconFilter iconSet="3Arrows"/>
    </filterColumn>
  </autoFilter>
  <mergeCells count="2">
    <mergeCell ref="A3:D3"/>
    <mergeCell ref="A1:E1"/>
  </mergeCells>
  <phoneticPr fontId="4" type="noConversion"/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/>
  <dimension ref="A1:HT684"/>
  <sheetViews>
    <sheetView workbookViewId="0">
      <selection activeCell="A2" sqref="A2"/>
    </sheetView>
  </sheetViews>
  <sheetFormatPr defaultRowHeight="12.75"/>
  <cols>
    <col min="1" max="1" width="50.28515625" style="1" customWidth="1"/>
    <col min="2" max="2" width="10" style="18" customWidth="1"/>
    <col min="3" max="3" width="11.28515625" style="1" customWidth="1"/>
    <col min="4" max="4" width="9.5703125" style="1" customWidth="1"/>
    <col min="5" max="5" width="7.140625" style="1" customWidth="1"/>
    <col min="6" max="6" width="9.140625" style="1" hidden="1" customWidth="1"/>
    <col min="7" max="7" width="10.5703125" style="1" hidden="1" customWidth="1"/>
    <col min="8" max="8" width="12.140625" style="1" hidden="1" customWidth="1"/>
    <col min="9" max="9" width="17.140625" style="1" customWidth="1"/>
    <col min="10" max="10" width="12.42578125" style="1" customWidth="1"/>
    <col min="11" max="35" width="9.140625" style="1" customWidth="1"/>
    <col min="36" max="36" width="10.140625" style="1" customWidth="1"/>
    <col min="37" max="37" width="9.7109375" style="1" customWidth="1"/>
    <col min="38" max="228" width="9.140625" style="1" customWidth="1"/>
  </cols>
  <sheetData>
    <row r="1" spans="1:228" s="557" customFormat="1">
      <c r="A1" s="646" t="s">
        <v>935</v>
      </c>
      <c r="B1" s="646"/>
      <c r="C1" s="646"/>
      <c r="D1" s="646"/>
      <c r="E1" s="6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 s="557" customFormat="1">
      <c r="A2" s="1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ht="19.5" customHeight="1">
      <c r="A3" s="650" t="s">
        <v>262</v>
      </c>
      <c r="B3" s="650"/>
      <c r="C3" s="650"/>
      <c r="D3" s="650"/>
      <c r="E3" s="65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</row>
    <row r="4" spans="1:228" ht="13.9" customHeight="1">
      <c r="A4" s="258"/>
      <c r="B4" s="258"/>
      <c r="C4" s="258"/>
      <c r="D4" s="258"/>
      <c r="E4" s="25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</row>
    <row r="5" spans="1:228">
      <c r="A5" s="122"/>
      <c r="B5" s="123"/>
      <c r="C5" s="97"/>
      <c r="D5" s="97"/>
      <c r="E5" s="97" t="s">
        <v>260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</row>
    <row r="6" spans="1:228" ht="13.5" thickBot="1">
      <c r="A6" s="124"/>
      <c r="B6" s="123" t="s">
        <v>206</v>
      </c>
      <c r="C6" s="97" t="s">
        <v>202</v>
      </c>
      <c r="D6" s="97" t="s">
        <v>203</v>
      </c>
      <c r="E6" s="97" t="s">
        <v>205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</row>
    <row r="7" spans="1:228" ht="13.5" thickBot="1">
      <c r="A7" s="125" t="s">
        <v>41</v>
      </c>
      <c r="B7" s="126">
        <f>B11+B44</f>
        <v>77288658</v>
      </c>
      <c r="C7" s="126">
        <f>C11+C44</f>
        <v>88168203</v>
      </c>
      <c r="D7" s="126">
        <f>D11+D44</f>
        <v>81339911</v>
      </c>
      <c r="E7" s="181">
        <f>(D7/C7)</f>
        <v>0.92255380321179958</v>
      </c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228">
      <c r="A8" s="127"/>
      <c r="B8" s="128"/>
      <c r="C8" s="16"/>
      <c r="D8" s="18"/>
      <c r="E8" s="1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228">
      <c r="A9" s="129" t="s">
        <v>39</v>
      </c>
      <c r="B9" s="128"/>
      <c r="C9" s="16"/>
      <c r="D9" s="18"/>
      <c r="E9" s="13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228">
      <c r="A10" s="127"/>
      <c r="B10" s="232"/>
      <c r="C10" s="233"/>
      <c r="D10" s="234"/>
      <c r="E10" s="23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228">
      <c r="A11" s="130" t="s">
        <v>101</v>
      </c>
      <c r="B11" s="242">
        <f>B13+B18+B31+B27</f>
        <v>74628658</v>
      </c>
      <c r="C11" s="243">
        <f>C13+C18+C27+C31+C38</f>
        <v>85508203</v>
      </c>
      <c r="D11" s="243">
        <f>D13+D18+D27+D31+D38</f>
        <v>78979911</v>
      </c>
      <c r="E11" s="244">
        <f t="shared" ref="E11:E47" si="0">(D11/C11)</f>
        <v>0.92365303244648933</v>
      </c>
      <c r="F11" s="2"/>
      <c r="G11" s="290">
        <f>D13+D18+D38</f>
        <v>66523299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228">
      <c r="A12" s="130"/>
      <c r="B12" s="242"/>
      <c r="C12" s="16"/>
      <c r="D12" s="18"/>
      <c r="E12" s="138"/>
      <c r="F12" s="2"/>
      <c r="G12" s="2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228">
      <c r="A13" s="131" t="s">
        <v>92</v>
      </c>
      <c r="B13" s="245">
        <f>B14+B16+B15</f>
        <v>4200000</v>
      </c>
      <c r="C13" s="243">
        <f>SUM(C14:C16)</f>
        <v>4161156</v>
      </c>
      <c r="D13" s="246">
        <f>SUM(D14:D16)</f>
        <v>4105000</v>
      </c>
      <c r="E13" s="244">
        <f t="shared" si="0"/>
        <v>0.98650471167146825</v>
      </c>
      <c r="F13" s="2"/>
      <c r="G13" s="2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228">
      <c r="A14" s="132" t="s">
        <v>44</v>
      </c>
      <c r="B14" s="247">
        <v>700000</v>
      </c>
      <c r="C14" s="18">
        <v>661156</v>
      </c>
      <c r="D14" s="18">
        <v>650000</v>
      </c>
      <c r="E14" s="138">
        <f t="shared" si="0"/>
        <v>0.98312652384611199</v>
      </c>
      <c r="F14" s="2"/>
      <c r="G14" s="2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228">
      <c r="A15" s="132" t="s">
        <v>23</v>
      </c>
      <c r="B15" s="247">
        <v>200000</v>
      </c>
      <c r="C15" s="18">
        <v>200000</v>
      </c>
      <c r="D15" s="18">
        <v>155000</v>
      </c>
      <c r="E15" s="138">
        <f t="shared" si="0"/>
        <v>0.77500000000000002</v>
      </c>
      <c r="F15" s="2"/>
      <c r="G15" s="22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228">
      <c r="A16" s="105" t="s">
        <v>93</v>
      </c>
      <c r="B16" s="241">
        <v>3300000</v>
      </c>
      <c r="C16" s="18">
        <v>3300000</v>
      </c>
      <c r="D16" s="18">
        <v>3300000</v>
      </c>
      <c r="E16" s="138">
        <f t="shared" si="0"/>
        <v>1</v>
      </c>
      <c r="F16" s="2"/>
      <c r="G16" s="22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 s="105"/>
      <c r="B17" s="241"/>
      <c r="C17" s="16"/>
      <c r="D17" s="18"/>
      <c r="E17" s="138"/>
      <c r="F17" s="2"/>
      <c r="G17" s="22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 s="131" t="s">
        <v>94</v>
      </c>
      <c r="B18" s="248">
        <f>SUM(B19:B23)</f>
        <v>53328658</v>
      </c>
      <c r="C18" s="243">
        <f>SUM(C19:C25)</f>
        <v>56111018</v>
      </c>
      <c r="D18" s="246">
        <f>SUM(D19:D26)</f>
        <v>56091870</v>
      </c>
      <c r="E18" s="244">
        <f t="shared" si="0"/>
        <v>0.99965874794857579</v>
      </c>
      <c r="F18" s="2"/>
      <c r="G18" s="226"/>
      <c r="H18" s="2"/>
      <c r="I18" s="229"/>
      <c r="J18" s="229"/>
      <c r="K18" s="22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 s="133" t="s">
        <v>31</v>
      </c>
      <c r="B19" s="241">
        <v>1354344</v>
      </c>
      <c r="C19" s="18">
        <v>1354344</v>
      </c>
      <c r="D19" s="18">
        <v>801060</v>
      </c>
      <c r="E19" s="138">
        <f t="shared" si="0"/>
        <v>0.59147454413354361</v>
      </c>
      <c r="F19" s="2"/>
      <c r="G19" s="225">
        <f>D18-D24-D20-D21-D19-D25</f>
        <v>51506320</v>
      </c>
      <c r="H19" s="3"/>
      <c r="I19" s="229"/>
      <c r="J19" s="229"/>
      <c r="K19" s="22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 s="133" t="s">
        <v>33</v>
      </c>
      <c r="B20" s="241">
        <v>2807844</v>
      </c>
      <c r="C20" s="18">
        <v>2807844</v>
      </c>
      <c r="D20" s="18">
        <v>2649660</v>
      </c>
      <c r="E20" s="138">
        <f t="shared" si="0"/>
        <v>0.94366353686315907</v>
      </c>
      <c r="F20" s="2"/>
      <c r="G20" s="226"/>
      <c r="H20" s="3"/>
      <c r="I20" s="229"/>
      <c r="J20" s="229"/>
      <c r="K20" s="22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2.5">
      <c r="A21" s="105" t="s">
        <v>918</v>
      </c>
      <c r="B21" s="241">
        <v>166470</v>
      </c>
      <c r="C21" s="18">
        <f>166470+102360</f>
        <v>268830</v>
      </c>
      <c r="D21" s="18">
        <f>102360+166470</f>
        <v>268830</v>
      </c>
      <c r="E21" s="138">
        <f t="shared" si="0"/>
        <v>1</v>
      </c>
      <c r="F21" s="3"/>
      <c r="G21" s="225">
        <f>D38</f>
        <v>6326429</v>
      </c>
      <c r="H21" s="2"/>
      <c r="I21" s="229"/>
      <c r="J21" s="229"/>
      <c r="K21" s="22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2.5">
      <c r="A22" s="105" t="s">
        <v>4</v>
      </c>
      <c r="B22" s="241">
        <f>23850000+750000</f>
        <v>24600000</v>
      </c>
      <c r="C22" s="18">
        <v>26414000</v>
      </c>
      <c r="D22" s="18">
        <f>26414000-440</f>
        <v>26413560</v>
      </c>
      <c r="E22" s="138">
        <f t="shared" si="0"/>
        <v>0.99998334216703266</v>
      </c>
      <c r="F22" s="2"/>
      <c r="G22" s="225">
        <f>D19+D20+D21+D25</f>
        <v>4555550</v>
      </c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2.5">
      <c r="A23" s="105" t="s">
        <v>148</v>
      </c>
      <c r="B23" s="241">
        <v>24400000</v>
      </c>
      <c r="C23" s="18">
        <v>24400000</v>
      </c>
      <c r="D23" s="18">
        <v>24400000</v>
      </c>
      <c r="E23" s="138">
        <f t="shared" si="0"/>
        <v>1</v>
      </c>
      <c r="F23" s="2"/>
      <c r="G23" s="225">
        <f>D13+D24</f>
        <v>4135000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 s="17" t="s">
        <v>212</v>
      </c>
      <c r="B24" s="241"/>
      <c r="C24" s="18">
        <v>30000</v>
      </c>
      <c r="D24" s="18">
        <v>30000</v>
      </c>
      <c r="E24" s="138">
        <f t="shared" si="0"/>
        <v>1</v>
      </c>
      <c r="F24" s="2"/>
      <c r="G24" s="225">
        <f>SUM(G18:G23)</f>
        <v>66523299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 s="17" t="s">
        <v>887</v>
      </c>
      <c r="B25" s="241"/>
      <c r="C25" s="18">
        <v>836000</v>
      </c>
      <c r="D25" s="18">
        <v>836000</v>
      </c>
      <c r="E25" s="138">
        <f t="shared" si="0"/>
        <v>1</v>
      </c>
      <c r="F25" s="2"/>
      <c r="G25" s="22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A26" s="17" t="s">
        <v>399</v>
      </c>
      <c r="B26" s="239"/>
      <c r="C26" s="237"/>
      <c r="D26" s="18">
        <v>692760</v>
      </c>
      <c r="E26" s="235"/>
      <c r="F26" s="2"/>
      <c r="G26" s="22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 s="131" t="s">
        <v>96</v>
      </c>
      <c r="B27" s="245">
        <f>SUM(B28:B29)</f>
        <v>7200000</v>
      </c>
      <c r="C27" s="243">
        <v>7200000</v>
      </c>
      <c r="D27" s="250">
        <f>SUM(D28:D29)</f>
        <v>5705449</v>
      </c>
      <c r="E27" s="244">
        <f t="shared" si="0"/>
        <v>0.7924234722222222</v>
      </c>
      <c r="F27" s="2"/>
      <c r="G27" s="290">
        <f>D27+D31+D44</f>
        <v>14816612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 s="105" t="s">
        <v>177</v>
      </c>
      <c r="B28" s="247">
        <v>1200000</v>
      </c>
      <c r="C28" s="18">
        <v>1200000</v>
      </c>
      <c r="D28" s="18">
        <v>1542000</v>
      </c>
      <c r="E28" s="138">
        <f t="shared" si="0"/>
        <v>1.2849999999999999</v>
      </c>
      <c r="F28" s="2"/>
      <c r="G28" s="22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 s="105" t="s">
        <v>176</v>
      </c>
      <c r="B29" s="247">
        <v>6000000</v>
      </c>
      <c r="C29" s="18">
        <v>6000000</v>
      </c>
      <c r="D29" s="18">
        <v>4163449</v>
      </c>
      <c r="E29" s="138">
        <f t="shared" si="0"/>
        <v>0.69390816666666666</v>
      </c>
      <c r="F29" s="2"/>
      <c r="G29" s="22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 s="105"/>
      <c r="B30" s="238"/>
      <c r="C30" s="236"/>
      <c r="D30" s="237"/>
      <c r="E30" s="235"/>
      <c r="F30" s="2"/>
      <c r="G30" s="22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 s="131" t="s">
        <v>97</v>
      </c>
      <c r="B31" s="245">
        <f>SUM(B32:B41)</f>
        <v>9900000</v>
      </c>
      <c r="C31" s="243">
        <f>SUM(C32:C37)</f>
        <v>11709600</v>
      </c>
      <c r="D31" s="243">
        <f>SUM(D32:D36)</f>
        <v>6751163</v>
      </c>
      <c r="E31" s="244">
        <f t="shared" si="0"/>
        <v>0.57654941244790603</v>
      </c>
      <c r="F31" s="2"/>
      <c r="G31" s="22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A32" s="105" t="s">
        <v>174</v>
      </c>
      <c r="B32" s="247">
        <v>6000000</v>
      </c>
      <c r="C32" s="18">
        <v>6000000</v>
      </c>
      <c r="D32" s="18">
        <v>1659700</v>
      </c>
      <c r="E32" s="138">
        <f t="shared" si="0"/>
        <v>0.27661666666666668</v>
      </c>
      <c r="F32" s="2"/>
      <c r="G32" s="2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134" t="s">
        <v>179</v>
      </c>
      <c r="B33" s="247">
        <v>600000</v>
      </c>
      <c r="C33" s="18">
        <v>600000</v>
      </c>
      <c r="D33" s="18">
        <v>380000</v>
      </c>
      <c r="E33" s="138">
        <f t="shared" si="0"/>
        <v>0.6333333333333333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>
      <c r="A34" s="105" t="s">
        <v>175</v>
      </c>
      <c r="B34" s="241">
        <v>2000000</v>
      </c>
      <c r="C34" s="18">
        <v>2000000</v>
      </c>
      <c r="D34" s="18">
        <v>1977000</v>
      </c>
      <c r="E34" s="138">
        <f t="shared" si="0"/>
        <v>0.98850000000000005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>
      <c r="A35" s="105" t="s">
        <v>98</v>
      </c>
      <c r="B35" s="247">
        <v>1300000</v>
      </c>
      <c r="C35" s="18">
        <v>1300000</v>
      </c>
      <c r="D35" s="18">
        <v>924863</v>
      </c>
      <c r="E35" s="138">
        <f t="shared" si="0"/>
        <v>0.71143307692307689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2.5">
      <c r="A36" s="105" t="s">
        <v>250</v>
      </c>
      <c r="B36" s="247"/>
      <c r="C36" s="18">
        <v>1809600</v>
      </c>
      <c r="D36" s="18">
        <v>1809600</v>
      </c>
      <c r="E36" s="138">
        <f t="shared" si="0"/>
        <v>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>
      <c r="A37" s="105"/>
      <c r="B37" s="247"/>
      <c r="C37" s="18"/>
      <c r="D37" s="18"/>
      <c r="E37" s="13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>
      <c r="A38" s="206" t="s">
        <v>213</v>
      </c>
      <c r="B38" s="245"/>
      <c r="C38" s="243">
        <f>C39+C40</f>
        <v>6326429</v>
      </c>
      <c r="D38" s="243">
        <f>D39+D40</f>
        <v>6326429</v>
      </c>
      <c r="E38" s="244">
        <f t="shared" si="0"/>
        <v>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105" t="s">
        <v>214</v>
      </c>
      <c r="B39" s="247"/>
      <c r="C39" s="18">
        <v>3976533</v>
      </c>
      <c r="D39" s="18">
        <v>3976533</v>
      </c>
      <c r="E39" s="138">
        <f t="shared" si="0"/>
        <v>1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>
      <c r="A40" s="105" t="s">
        <v>386</v>
      </c>
      <c r="C40" s="18">
        <v>2349896</v>
      </c>
      <c r="D40" s="18">
        <v>2349896</v>
      </c>
      <c r="E40" s="138">
        <f t="shared" si="0"/>
        <v>1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105"/>
      <c r="B41" s="247"/>
      <c r="C41" s="16"/>
      <c r="D41" s="18"/>
      <c r="E41" s="1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>
      <c r="A42" s="129" t="s">
        <v>129</v>
      </c>
      <c r="B42" s="245"/>
      <c r="C42" s="16"/>
      <c r="D42" s="18"/>
      <c r="E42" s="13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>
      <c r="A43" s="135"/>
      <c r="B43" s="245"/>
      <c r="C43" s="16"/>
      <c r="D43" s="18"/>
      <c r="E43" s="13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>
      <c r="A44" s="130" t="s">
        <v>101</v>
      </c>
      <c r="B44" s="245">
        <f>+B45</f>
        <v>2660000</v>
      </c>
      <c r="C44" s="243">
        <v>2660000</v>
      </c>
      <c r="D44" s="246">
        <f>D45</f>
        <v>2360000</v>
      </c>
      <c r="E44" s="244">
        <f t="shared" si="0"/>
        <v>0.88721804511278191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>
      <c r="A45" s="131" t="s">
        <v>97</v>
      </c>
      <c r="B45" s="245">
        <f>SUM(B46:B47)</f>
        <v>2660000</v>
      </c>
      <c r="C45" s="243">
        <v>2660000</v>
      </c>
      <c r="D45" s="246">
        <f>SUM(D46:D47)</f>
        <v>2360000</v>
      </c>
      <c r="E45" s="244">
        <f t="shared" si="0"/>
        <v>0.88721804511278191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>
      <c r="A46" s="134" t="s">
        <v>42</v>
      </c>
      <c r="B46" s="247">
        <v>660000</v>
      </c>
      <c r="C46" s="18">
        <v>660000</v>
      </c>
      <c r="D46" s="18">
        <v>360000</v>
      </c>
      <c r="E46" s="138">
        <f t="shared" si="0"/>
        <v>0.54545454545454541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>
      <c r="A47" s="134" t="s">
        <v>182</v>
      </c>
      <c r="B47" s="249">
        <v>2000000</v>
      </c>
      <c r="C47" s="18">
        <v>2000000</v>
      </c>
      <c r="D47" s="18">
        <v>2000000</v>
      </c>
      <c r="E47" s="138">
        <f t="shared" si="0"/>
        <v>1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>
      <c r="A48" s="136"/>
      <c r="B48" s="240"/>
      <c r="C48" s="236"/>
      <c r="D48" s="237"/>
      <c r="E48" s="23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>
      <c r="A49" s="21"/>
      <c r="B49" s="22"/>
      <c r="C49" s="2"/>
      <c r="D49" s="18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>
      <c r="A50" s="20"/>
      <c r="B50" s="19"/>
      <c r="C50" s="2"/>
      <c r="D50" s="18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>
      <c r="A51" s="17"/>
      <c r="C51" s="2"/>
      <c r="D51" s="18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idden="1">
      <c r="A52" s="2"/>
      <c r="C52" s="2"/>
      <c r="D52" s="18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idden="1">
      <c r="A53" s="2"/>
      <c r="C53" s="2"/>
      <c r="D53" s="18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idden="1">
      <c r="A54" s="2"/>
      <c r="C54" s="2"/>
      <c r="D54" s="18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idden="1">
      <c r="A55" s="2"/>
      <c r="C55" s="2"/>
      <c r="D55" s="18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idden="1">
      <c r="A56" s="2"/>
      <c r="C56" s="2"/>
      <c r="D56" s="18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idden="1">
      <c r="A57" s="2"/>
      <c r="C57" s="2"/>
      <c r="D57" s="18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idden="1">
      <c r="A58" s="2"/>
      <c r="C58" s="2"/>
      <c r="D58" s="18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idden="1">
      <c r="A59" s="2"/>
      <c r="C59" s="2"/>
      <c r="D59" s="18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idden="1">
      <c r="A60" s="2"/>
      <c r="C60" s="2"/>
      <c r="D60" s="18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idden="1">
      <c r="A61" s="2"/>
      <c r="C61" s="2"/>
      <c r="D61" s="18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idden="1">
      <c r="A62" s="2"/>
      <c r="C62" s="2"/>
      <c r="D62" s="18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idden="1">
      <c r="A63" s="2"/>
      <c r="C63" s="2"/>
      <c r="D63" s="18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idden="1">
      <c r="A64" s="2"/>
      <c r="C64" s="2"/>
      <c r="D64" s="18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idden="1">
      <c r="A65" s="2"/>
      <c r="C65" s="2"/>
      <c r="D65" s="18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idden="1">
      <c r="A66" s="2"/>
      <c r="C66" s="2"/>
      <c r="D66" s="18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idden="1">
      <c r="A67" s="2"/>
      <c r="C67" s="2"/>
      <c r="D67" s="18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idden="1">
      <c r="A68" s="2"/>
      <c r="C68" s="2"/>
      <c r="D68" s="18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idden="1">
      <c r="A69" s="2"/>
      <c r="C69" s="2"/>
      <c r="D69" s="18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idden="1">
      <c r="A70" s="2"/>
      <c r="C70" s="2"/>
      <c r="D70" s="18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idden="1">
      <c r="A71" s="2"/>
      <c r="C71" s="2"/>
      <c r="D71" s="18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idden="1">
      <c r="A72" s="2"/>
      <c r="C72" s="2"/>
      <c r="D72" s="18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idden="1">
      <c r="A73" s="2"/>
      <c r="C73" s="2"/>
      <c r="D73" s="18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idden="1">
      <c r="A74" s="2"/>
      <c r="C74" s="2"/>
      <c r="D74" s="18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idden="1">
      <c r="A75" s="2"/>
      <c r="C75" s="2"/>
      <c r="D75" s="18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idden="1">
      <c r="A76" s="2"/>
      <c r="C76" s="2"/>
      <c r="D76" s="18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idden="1">
      <c r="A77" s="2"/>
      <c r="C77" s="2"/>
      <c r="D77" s="18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idden="1">
      <c r="A78" s="2"/>
      <c r="C78" s="2"/>
      <c r="D78" s="18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idden="1">
      <c r="A79" s="2"/>
      <c r="C79" s="2"/>
      <c r="D79" s="18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idden="1">
      <c r="A80" s="2"/>
      <c r="C80" s="2"/>
      <c r="D80" s="18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idden="1">
      <c r="A81" s="2"/>
      <c r="C81" s="2"/>
      <c r="D81" s="18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idden="1">
      <c r="A82" s="2"/>
      <c r="C82" s="2"/>
      <c r="D82" s="18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idden="1">
      <c r="A83" s="2"/>
      <c r="C83" s="2"/>
      <c r="D83" s="18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idden="1">
      <c r="A84" s="2"/>
      <c r="C84" s="2"/>
      <c r="D84" s="18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idden="1">
      <c r="A85" s="2"/>
      <c r="C85" s="2"/>
      <c r="D85" s="18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idden="1">
      <c r="A86" s="2"/>
      <c r="C86" s="2"/>
      <c r="D86" s="18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idden="1">
      <c r="A87" s="2"/>
      <c r="C87" s="2"/>
      <c r="D87" s="18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idden="1">
      <c r="A88" s="2"/>
      <c r="C88" s="2"/>
      <c r="D88" s="18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idden="1">
      <c r="A89" s="2"/>
      <c r="C89" s="2"/>
      <c r="D89" s="18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idden="1">
      <c r="A90" s="2"/>
      <c r="C90" s="2"/>
      <c r="D90" s="18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idden="1">
      <c r="A91" s="2"/>
      <c r="C91" s="2"/>
      <c r="D91" s="18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idden="1">
      <c r="A92" s="2"/>
      <c r="C92" s="2"/>
      <c r="D92" s="18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idden="1">
      <c r="A93" s="2"/>
      <c r="C93" s="2"/>
      <c r="D93" s="18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idden="1">
      <c r="A94" s="2"/>
      <c r="C94" s="2"/>
      <c r="D94" s="18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idden="1">
      <c r="A95" s="2"/>
      <c r="C95" s="2"/>
      <c r="D95" s="18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idden="1">
      <c r="A96" s="2"/>
      <c r="C96" s="2"/>
      <c r="D96" s="18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idden="1">
      <c r="A97" s="2"/>
      <c r="C97" s="2"/>
      <c r="D97" s="18"/>
      <c r="E97" s="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idden="1">
      <c r="A98" s="2"/>
      <c r="C98" s="2"/>
      <c r="D98" s="18"/>
      <c r="E98" s="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idden="1">
      <c r="A99" s="2"/>
      <c r="C99" s="2"/>
      <c r="D99" s="18"/>
      <c r="E99" s="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idden="1">
      <c r="A100" s="2"/>
      <c r="C100" s="2"/>
      <c r="D100" s="18"/>
      <c r="E100" s="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idden="1">
      <c r="A101" s="2"/>
      <c r="C101" s="2"/>
      <c r="D101" s="18"/>
      <c r="E101" s="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idden="1">
      <c r="A102" s="2"/>
      <c r="C102" s="2"/>
      <c r="D102" s="18"/>
      <c r="E102" s="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idden="1">
      <c r="A103" s="2"/>
      <c r="C103" s="2"/>
      <c r="D103" s="18"/>
      <c r="E103" s="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idden="1">
      <c r="A104" s="2"/>
      <c r="C104" s="2"/>
      <c r="D104" s="18"/>
      <c r="E104" s="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idden="1">
      <c r="A105" s="2"/>
      <c r="C105" s="2"/>
      <c r="D105" s="18"/>
      <c r="E105" s="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idden="1">
      <c r="A106" s="2"/>
      <c r="C106" s="2"/>
      <c r="D106" s="18"/>
      <c r="E106" s="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idden="1">
      <c r="A107" s="2"/>
      <c r="C107" s="2"/>
      <c r="D107" s="18"/>
      <c r="E107" s="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idden="1">
      <c r="A108" s="2"/>
      <c r="C108" s="2"/>
      <c r="D108" s="18"/>
      <c r="E108" s="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idden="1">
      <c r="A109" s="2"/>
      <c r="C109" s="2"/>
      <c r="D109" s="18"/>
      <c r="E109" s="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idden="1">
      <c r="A110" s="2"/>
      <c r="C110" s="2"/>
      <c r="D110" s="18"/>
      <c r="E110" s="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idden="1">
      <c r="A111" s="2"/>
      <c r="C111" s="2"/>
      <c r="D111" s="18"/>
      <c r="E111" s="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>
      <c r="A112" s="2"/>
      <c r="C112" s="2"/>
      <c r="D112" s="18"/>
      <c r="E112" s="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>
      <c r="A113" s="2"/>
      <c r="C113" s="2"/>
      <c r="D113" s="18"/>
      <c r="E113" s="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>
      <c r="A114" s="2"/>
      <c r="D114" s="18"/>
      <c r="E114" s="16"/>
    </row>
    <row r="115" spans="1:36">
      <c r="A115" s="2"/>
      <c r="D115" s="18"/>
      <c r="E115" s="16"/>
    </row>
    <row r="116" spans="1:36">
      <c r="A116" s="2"/>
      <c r="D116" s="18"/>
    </row>
    <row r="117" spans="1:36">
      <c r="A117" s="2"/>
      <c r="D117" s="18"/>
    </row>
    <row r="118" spans="1:36">
      <c r="A118" s="2"/>
      <c r="D118" s="18"/>
    </row>
    <row r="119" spans="1:36">
      <c r="A119" s="2"/>
      <c r="D119" s="18"/>
    </row>
    <row r="120" spans="1:36">
      <c r="A120" s="2"/>
      <c r="D120" s="18"/>
    </row>
    <row r="121" spans="1:36">
      <c r="A121" s="2"/>
    </row>
    <row r="122" spans="1:36">
      <c r="A122" s="2"/>
    </row>
    <row r="123" spans="1:36">
      <c r="A123" s="2"/>
    </row>
    <row r="124" spans="1:36">
      <c r="A124" s="2"/>
    </row>
    <row r="125" spans="1:36">
      <c r="A125" s="2"/>
    </row>
    <row r="126" spans="1:36">
      <c r="A126" s="2"/>
    </row>
    <row r="127" spans="1:36">
      <c r="A127" s="2"/>
    </row>
    <row r="128" spans="1:36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</sheetData>
  <mergeCells count="2">
    <mergeCell ref="A3:E3"/>
    <mergeCell ref="A1:E1"/>
  </mergeCells>
  <phoneticPr fontId="4" type="noConversion"/>
  <printOptions gridLines="1"/>
  <pageMargins left="0.55118110236220474" right="0.55118110236220474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936"/>
  <sheetViews>
    <sheetView zoomScale="98" zoomScaleNormal="98" workbookViewId="0">
      <selection activeCell="A2" sqref="A2"/>
    </sheetView>
  </sheetViews>
  <sheetFormatPr defaultRowHeight="12.75"/>
  <cols>
    <col min="1" max="1" width="43.42578125" customWidth="1"/>
    <col min="2" max="2" width="12.5703125" customWidth="1"/>
    <col min="3" max="3" width="12.28515625" customWidth="1"/>
    <col min="4" max="4" width="11.42578125" customWidth="1"/>
    <col min="5" max="5" width="8.140625" customWidth="1"/>
    <col min="6" max="6" width="10.140625" hidden="1" customWidth="1"/>
    <col min="7" max="7" width="16.28515625" hidden="1" customWidth="1"/>
    <col min="8" max="13" width="0" hidden="1" customWidth="1"/>
  </cols>
  <sheetData>
    <row r="1" spans="1:5" s="619" customFormat="1">
      <c r="A1" s="646" t="s">
        <v>924</v>
      </c>
      <c r="B1" s="646"/>
      <c r="C1" s="646"/>
      <c r="D1" s="646"/>
      <c r="E1" s="646"/>
    </row>
    <row r="2" spans="1:5" s="619" customFormat="1"/>
    <row r="3" spans="1:5" s="619" customFormat="1">
      <c r="A3" s="648" t="s">
        <v>899</v>
      </c>
      <c r="B3" s="648"/>
      <c r="C3" s="648"/>
      <c r="D3" s="648"/>
      <c r="E3" s="648"/>
    </row>
    <row r="4" spans="1:5" s="619" customFormat="1"/>
    <row r="5" spans="1:5" s="619" customFormat="1"/>
    <row r="6" spans="1:5">
      <c r="A6" s="648" t="s">
        <v>367</v>
      </c>
      <c r="B6" s="648"/>
      <c r="C6" s="648"/>
      <c r="D6" s="648"/>
      <c r="E6" s="648"/>
    </row>
    <row r="7" spans="1:5">
      <c r="A7" s="257"/>
      <c r="B7" s="79"/>
    </row>
    <row r="8" spans="1:5">
      <c r="A8" s="658" t="s">
        <v>39</v>
      </c>
      <c r="B8" s="658"/>
      <c r="C8" s="658"/>
      <c r="D8" s="658"/>
      <c r="E8" s="658"/>
    </row>
    <row r="9" spans="1:5">
      <c r="A9" s="265"/>
      <c r="B9" s="14"/>
      <c r="C9" s="14"/>
      <c r="D9" s="14"/>
      <c r="E9" s="256" t="s">
        <v>260</v>
      </c>
    </row>
    <row r="10" spans="1:5">
      <c r="A10" s="268"/>
      <c r="B10" s="14" t="s">
        <v>206</v>
      </c>
      <c r="C10" s="14" t="s">
        <v>202</v>
      </c>
      <c r="D10" s="14" t="s">
        <v>203</v>
      </c>
      <c r="E10" s="14" t="s">
        <v>204</v>
      </c>
    </row>
    <row r="11" spans="1:5">
      <c r="A11" s="651" t="s">
        <v>366</v>
      </c>
      <c r="B11" s="654"/>
      <c r="C11" s="269"/>
      <c r="D11" s="269"/>
      <c r="E11" s="270"/>
    </row>
    <row r="12" spans="1:5" ht="22.5">
      <c r="A12" s="102" t="s">
        <v>365</v>
      </c>
      <c r="B12" s="561">
        <v>400000</v>
      </c>
      <c r="C12" s="271">
        <v>400000</v>
      </c>
      <c r="D12" s="4">
        <v>210000</v>
      </c>
      <c r="E12" s="195">
        <f>D12/C12*100</f>
        <v>52.5</v>
      </c>
    </row>
    <row r="13" spans="1:5">
      <c r="A13" s="102" t="s">
        <v>280</v>
      </c>
      <c r="B13" s="561">
        <f>B12*0.27</f>
        <v>108000</v>
      </c>
      <c r="C13" s="271">
        <v>108000</v>
      </c>
      <c r="D13" s="4">
        <v>56700</v>
      </c>
      <c r="E13" s="195">
        <f t="shared" ref="E13:E17" si="0">D13/C13*100</f>
        <v>52.5</v>
      </c>
    </row>
    <row r="14" spans="1:5">
      <c r="A14" s="108" t="s">
        <v>281</v>
      </c>
      <c r="B14" s="562">
        <f>SUM(B12:B13)</f>
        <v>508000</v>
      </c>
      <c r="C14" s="272">
        <f>SUM(C12:C13)</f>
        <v>508000</v>
      </c>
      <c r="D14" s="8">
        <f>SUM(D12:D13)</f>
        <v>266700</v>
      </c>
      <c r="E14" s="213">
        <f t="shared" si="0"/>
        <v>52.5</v>
      </c>
    </row>
    <row r="15" spans="1:5">
      <c r="A15" s="112" t="s">
        <v>278</v>
      </c>
      <c r="B15" s="563">
        <f>B14</f>
        <v>508000</v>
      </c>
      <c r="C15" s="272">
        <v>508000</v>
      </c>
      <c r="D15" s="8">
        <f>D14</f>
        <v>266700</v>
      </c>
      <c r="E15" s="213">
        <f t="shared" si="0"/>
        <v>52.5</v>
      </c>
    </row>
    <row r="16" spans="1:5">
      <c r="A16" s="112"/>
      <c r="B16" s="563"/>
      <c r="C16" s="271"/>
      <c r="D16" s="8"/>
      <c r="E16" s="213"/>
    </row>
    <row r="17" spans="1:5">
      <c r="A17" s="564" t="s">
        <v>274</v>
      </c>
      <c r="B17" s="563">
        <f>+B15</f>
        <v>508000</v>
      </c>
      <c r="C17" s="272">
        <v>508000</v>
      </c>
      <c r="D17" s="8">
        <f>D15</f>
        <v>266700</v>
      </c>
      <c r="E17" s="213">
        <f t="shared" si="0"/>
        <v>52.5</v>
      </c>
    </row>
    <row r="18" spans="1:5">
      <c r="A18" s="565"/>
      <c r="B18" s="118"/>
      <c r="C18" s="271"/>
      <c r="D18" s="14"/>
      <c r="E18" s="14"/>
    </row>
    <row r="19" spans="1:5">
      <c r="A19" s="651" t="s">
        <v>364</v>
      </c>
      <c r="B19" s="654"/>
      <c r="C19" s="274"/>
      <c r="D19" s="275"/>
      <c r="E19" s="293"/>
    </row>
    <row r="20" spans="1:5">
      <c r="A20" s="102" t="s">
        <v>285</v>
      </c>
      <c r="B20" s="561">
        <v>8700000</v>
      </c>
      <c r="C20" s="271">
        <v>8700000</v>
      </c>
      <c r="D20" s="4">
        <f>8111256+130000</f>
        <v>8241256</v>
      </c>
      <c r="E20" s="195">
        <f t="shared" ref="E20:E26" si="1">D20/C20*100</f>
        <v>94.727080459770121</v>
      </c>
    </row>
    <row r="21" spans="1:5">
      <c r="A21" s="102" t="s">
        <v>280</v>
      </c>
      <c r="B21" s="561">
        <f>B20*0.27</f>
        <v>2349000</v>
      </c>
      <c r="C21" s="271">
        <v>2349000</v>
      </c>
      <c r="D21" s="4">
        <v>2143813</v>
      </c>
      <c r="E21" s="195">
        <f t="shared" si="1"/>
        <v>91.264921243082171</v>
      </c>
    </row>
    <row r="22" spans="1:5">
      <c r="A22" s="108" t="s">
        <v>283</v>
      </c>
      <c r="B22" s="562">
        <f>SUM(B20:B21)</f>
        <v>11049000</v>
      </c>
      <c r="C22" s="272">
        <f>SUM(C20:C21)</f>
        <v>11049000</v>
      </c>
      <c r="D22" s="8">
        <f>SUM(D20:D21)</f>
        <v>10385069</v>
      </c>
      <c r="E22" s="213">
        <f t="shared" si="1"/>
        <v>93.991030862521498</v>
      </c>
    </row>
    <row r="23" spans="1:5">
      <c r="A23" s="568"/>
      <c r="B23" s="562">
        <f>SUM(B22)</f>
        <v>11049000</v>
      </c>
      <c r="C23" s="272">
        <v>11049000</v>
      </c>
      <c r="D23" s="8">
        <f>D22</f>
        <v>10385069</v>
      </c>
      <c r="E23" s="213">
        <f t="shared" si="1"/>
        <v>93.991030862521498</v>
      </c>
    </row>
    <row r="24" spans="1:5">
      <c r="A24" s="112" t="s">
        <v>278</v>
      </c>
      <c r="B24" s="562">
        <f>+B23</f>
        <v>11049000</v>
      </c>
      <c r="C24" s="272">
        <v>11049000</v>
      </c>
      <c r="D24" s="8">
        <f>D23</f>
        <v>10385069</v>
      </c>
      <c r="E24" s="213">
        <f t="shared" si="1"/>
        <v>93.991030862521498</v>
      </c>
    </row>
    <row r="25" spans="1:5">
      <c r="A25" s="112"/>
      <c r="B25" s="562"/>
      <c r="C25" s="271"/>
      <c r="D25" s="8"/>
      <c r="E25" s="268"/>
    </row>
    <row r="26" spans="1:5">
      <c r="A26" s="564" t="s">
        <v>274</v>
      </c>
      <c r="B26" s="562">
        <f>+B24</f>
        <v>11049000</v>
      </c>
      <c r="C26" s="272">
        <v>11049000</v>
      </c>
      <c r="D26" s="8">
        <f>D24</f>
        <v>10385069</v>
      </c>
      <c r="E26" s="213">
        <f t="shared" si="1"/>
        <v>93.991030862521498</v>
      </c>
    </row>
    <row r="27" spans="1:5">
      <c r="A27" s="564"/>
      <c r="B27" s="562"/>
      <c r="D27" s="4"/>
      <c r="E27" s="14"/>
    </row>
    <row r="28" spans="1:5">
      <c r="A28" s="651" t="s">
        <v>363</v>
      </c>
      <c r="B28" s="654"/>
      <c r="C28" s="269"/>
      <c r="D28" s="275"/>
      <c r="E28" s="293"/>
    </row>
    <row r="29" spans="1:5">
      <c r="A29" s="570" t="s">
        <v>313</v>
      </c>
      <c r="B29" s="571">
        <v>815000</v>
      </c>
      <c r="C29" s="4">
        <v>815000</v>
      </c>
      <c r="D29" s="4">
        <v>746900</v>
      </c>
      <c r="E29" s="195">
        <f t="shared" ref="E29:E54" si="2">D29/C29*100</f>
        <v>91.644171779141104</v>
      </c>
    </row>
    <row r="30" spans="1:5">
      <c r="A30" s="559" t="s">
        <v>272</v>
      </c>
      <c r="B30" s="572">
        <f>SUM(B29)</f>
        <v>815000</v>
      </c>
      <c r="C30" s="8">
        <v>815000</v>
      </c>
      <c r="D30" s="8">
        <f>SUM(D29)</f>
        <v>746900</v>
      </c>
      <c r="E30" s="213">
        <f t="shared" si="2"/>
        <v>91.644171779141104</v>
      </c>
    </row>
    <row r="31" spans="1:5">
      <c r="A31" s="559"/>
      <c r="B31" s="572"/>
      <c r="C31" s="14"/>
      <c r="D31" s="4"/>
      <c r="E31" s="195"/>
    </row>
    <row r="32" spans="1:5">
      <c r="A32" s="273" t="s">
        <v>275</v>
      </c>
      <c r="B32" s="571">
        <v>220000</v>
      </c>
      <c r="C32" s="4">
        <v>220000</v>
      </c>
      <c r="D32" s="4">
        <v>198000</v>
      </c>
      <c r="E32" s="195">
        <f t="shared" si="2"/>
        <v>90</v>
      </c>
    </row>
    <row r="33" spans="1:5">
      <c r="A33" s="559" t="s">
        <v>271</v>
      </c>
      <c r="B33" s="572">
        <f>SUM(B32)</f>
        <v>220000</v>
      </c>
      <c r="C33" s="8">
        <v>220000</v>
      </c>
      <c r="D33" s="8">
        <f>SUM(D32)</f>
        <v>198000</v>
      </c>
      <c r="E33" s="213">
        <f t="shared" si="2"/>
        <v>90</v>
      </c>
    </row>
    <row r="34" spans="1:5">
      <c r="A34" s="566"/>
      <c r="B34" s="571"/>
      <c r="C34" s="14"/>
      <c r="D34" s="4"/>
      <c r="E34" s="195"/>
    </row>
    <row r="35" spans="1:5">
      <c r="A35" s="570" t="s">
        <v>311</v>
      </c>
      <c r="B35" s="571">
        <v>20000</v>
      </c>
      <c r="C35" s="4">
        <v>20000</v>
      </c>
      <c r="D35" s="4">
        <v>9728</v>
      </c>
      <c r="E35" s="195">
        <f t="shared" si="2"/>
        <v>48.64</v>
      </c>
    </row>
    <row r="36" spans="1:5">
      <c r="A36" s="102" t="s">
        <v>289</v>
      </c>
      <c r="B36" s="571">
        <v>20000</v>
      </c>
      <c r="C36" s="4">
        <v>20000</v>
      </c>
      <c r="D36" s="4">
        <v>2398</v>
      </c>
      <c r="E36" s="195">
        <f t="shared" si="2"/>
        <v>11.99</v>
      </c>
    </row>
    <row r="37" spans="1:5">
      <c r="A37" s="102" t="s">
        <v>301</v>
      </c>
      <c r="B37" s="571">
        <v>10000</v>
      </c>
      <c r="C37" s="4">
        <v>10000</v>
      </c>
      <c r="D37" s="4"/>
      <c r="E37" s="195">
        <f t="shared" si="2"/>
        <v>0</v>
      </c>
    </row>
    <row r="38" spans="1:5">
      <c r="A38" s="102" t="s">
        <v>429</v>
      </c>
      <c r="B38" s="571"/>
      <c r="C38" s="4"/>
      <c r="D38" s="4">
        <v>40206</v>
      </c>
      <c r="E38" s="195"/>
    </row>
    <row r="39" spans="1:5">
      <c r="A39" s="113" t="s">
        <v>425</v>
      </c>
      <c r="B39" s="572">
        <f>SUM(B35:B37)</f>
        <v>50000</v>
      </c>
      <c r="C39" s="8">
        <v>50000</v>
      </c>
      <c r="D39" s="8">
        <f>SUM(D35:D38)</f>
        <v>52332</v>
      </c>
      <c r="E39" s="213">
        <f t="shared" si="2"/>
        <v>104.664</v>
      </c>
    </row>
    <row r="40" spans="1:5">
      <c r="A40" s="91" t="s">
        <v>287</v>
      </c>
      <c r="B40" s="571">
        <v>100000</v>
      </c>
      <c r="C40" s="4">
        <v>100000</v>
      </c>
      <c r="D40" s="4">
        <v>97320</v>
      </c>
      <c r="E40" s="195">
        <f t="shared" si="2"/>
        <v>97.32</v>
      </c>
    </row>
    <row r="41" spans="1:5">
      <c r="A41" s="108" t="s">
        <v>286</v>
      </c>
      <c r="B41" s="572">
        <f>SUM(B40:B40)</f>
        <v>100000</v>
      </c>
      <c r="C41" s="8">
        <v>100000</v>
      </c>
      <c r="D41" s="8">
        <f>SUM(D40)</f>
        <v>97320</v>
      </c>
      <c r="E41" s="213">
        <f t="shared" si="2"/>
        <v>97.32</v>
      </c>
    </row>
    <row r="42" spans="1:5">
      <c r="A42" s="102" t="s">
        <v>316</v>
      </c>
      <c r="B42" s="571">
        <v>420000</v>
      </c>
      <c r="C42" s="4">
        <v>420000</v>
      </c>
      <c r="D42" s="4">
        <v>0</v>
      </c>
      <c r="E42" s="195">
        <f t="shared" si="2"/>
        <v>0</v>
      </c>
    </row>
    <row r="43" spans="1:5">
      <c r="A43" s="102" t="s">
        <v>296</v>
      </c>
      <c r="B43" s="571">
        <v>100000</v>
      </c>
      <c r="C43" s="4">
        <v>100000</v>
      </c>
      <c r="D43" s="4">
        <v>438806</v>
      </c>
      <c r="E43" s="195">
        <f t="shared" si="2"/>
        <v>438.80600000000004</v>
      </c>
    </row>
    <row r="44" spans="1:5">
      <c r="A44" s="102" t="s">
        <v>285</v>
      </c>
      <c r="B44" s="571">
        <v>220000</v>
      </c>
      <c r="C44" s="4">
        <v>220000</v>
      </c>
      <c r="D44" s="4">
        <v>219528</v>
      </c>
      <c r="E44" s="195">
        <f t="shared" si="2"/>
        <v>99.785454545454542</v>
      </c>
    </row>
    <row r="45" spans="1:5">
      <c r="A45" s="102" t="s">
        <v>284</v>
      </c>
      <c r="B45" s="571">
        <v>60000</v>
      </c>
      <c r="C45" s="4">
        <v>60000</v>
      </c>
      <c r="D45" s="4">
        <v>57551</v>
      </c>
      <c r="E45" s="195">
        <f t="shared" si="2"/>
        <v>95.918333333333337</v>
      </c>
    </row>
    <row r="46" spans="1:5">
      <c r="A46" s="108" t="s">
        <v>283</v>
      </c>
      <c r="B46" s="572">
        <f>SUM(B42:B45)</f>
        <v>800000</v>
      </c>
      <c r="C46" s="8">
        <v>800000</v>
      </c>
      <c r="D46" s="8">
        <f>SUM(D42:D45)</f>
        <v>715885</v>
      </c>
      <c r="E46" s="213">
        <f t="shared" si="2"/>
        <v>89.485624999999999</v>
      </c>
    </row>
    <row r="47" spans="1:5">
      <c r="A47" s="102" t="s">
        <v>295</v>
      </c>
      <c r="B47" s="571">
        <v>60000</v>
      </c>
      <c r="C47" s="4">
        <v>60000</v>
      </c>
      <c r="D47" s="4">
        <v>14494</v>
      </c>
      <c r="E47" s="195">
        <f t="shared" si="2"/>
        <v>24.156666666666666</v>
      </c>
    </row>
    <row r="48" spans="1:5">
      <c r="A48" s="102" t="s">
        <v>309</v>
      </c>
      <c r="B48" s="571">
        <f>5610000+300000</f>
        <v>5910000</v>
      </c>
      <c r="C48" s="4">
        <v>5910000</v>
      </c>
      <c r="D48" s="4">
        <v>5910200</v>
      </c>
      <c r="E48" s="195">
        <f t="shared" si="2"/>
        <v>100.00338409475464</v>
      </c>
    </row>
    <row r="49" spans="1:5" ht="22.5">
      <c r="A49" s="102" t="s">
        <v>293</v>
      </c>
      <c r="B49" s="571">
        <v>20000</v>
      </c>
      <c r="C49" s="4">
        <v>20000</v>
      </c>
      <c r="D49" s="4">
        <v>18540</v>
      </c>
      <c r="E49" s="195">
        <f t="shared" si="2"/>
        <v>92.7</v>
      </c>
    </row>
    <row r="50" spans="1:5">
      <c r="A50" s="108" t="s">
        <v>281</v>
      </c>
      <c r="B50" s="573">
        <f>SUM(B47:B49)</f>
        <v>5990000</v>
      </c>
      <c r="C50" s="8">
        <v>5990000</v>
      </c>
      <c r="D50" s="8">
        <f>SUM(D47:D49)</f>
        <v>5943234</v>
      </c>
      <c r="E50" s="213">
        <f t="shared" si="2"/>
        <v>99.219265442404009</v>
      </c>
    </row>
    <row r="51" spans="1:5">
      <c r="A51" s="102" t="s">
        <v>280</v>
      </c>
      <c r="B51" s="574">
        <f>(B35+B36+B40+B43+B44+B47+B49+B45+B37)*0.27+B42*0.05</f>
        <v>185700</v>
      </c>
      <c r="C51" s="4">
        <v>185700</v>
      </c>
      <c r="D51" s="4">
        <f>224377+8486+8000</f>
        <v>240863</v>
      </c>
      <c r="E51" s="195">
        <f t="shared" si="2"/>
        <v>129.70543887991383</v>
      </c>
    </row>
    <row r="52" spans="1:5" ht="18" customHeight="1">
      <c r="A52" s="113" t="s">
        <v>279</v>
      </c>
      <c r="B52" s="573">
        <f>SUM(B51:B51)</f>
        <v>185700</v>
      </c>
      <c r="C52" s="8">
        <v>185700</v>
      </c>
      <c r="D52" s="8">
        <f>SUM(D51)</f>
        <v>240863</v>
      </c>
      <c r="E52" s="213">
        <f t="shared" si="2"/>
        <v>129.70543887991383</v>
      </c>
    </row>
    <row r="53" spans="1:5">
      <c r="A53" s="112" t="s">
        <v>278</v>
      </c>
      <c r="B53" s="573">
        <f>B39+B41+B46+B50+B52</f>
        <v>7125700</v>
      </c>
      <c r="C53" s="8">
        <v>7125700</v>
      </c>
      <c r="D53" s="8">
        <f>D39+D41+D46+D50+D52</f>
        <v>7049634</v>
      </c>
      <c r="E53" s="213">
        <f t="shared" si="2"/>
        <v>98.932511893568346</v>
      </c>
    </row>
    <row r="54" spans="1:5">
      <c r="A54" s="564" t="s">
        <v>274</v>
      </c>
      <c r="B54" s="573">
        <f>B30+B33+B53</f>
        <v>8160700</v>
      </c>
      <c r="C54" s="8">
        <v>8160700</v>
      </c>
      <c r="D54" s="8">
        <f>D30+D33+D53</f>
        <v>7994534</v>
      </c>
      <c r="E54" s="213">
        <f t="shared" si="2"/>
        <v>97.963826632519272</v>
      </c>
    </row>
    <row r="55" spans="1:5">
      <c r="A55" s="112"/>
      <c r="B55" s="562"/>
      <c r="D55" s="4"/>
      <c r="E55" s="14"/>
    </row>
    <row r="56" spans="1:5">
      <c r="A56" s="661" t="s">
        <v>104</v>
      </c>
      <c r="B56" s="654"/>
      <c r="C56" s="269"/>
      <c r="D56" s="276"/>
      <c r="E56" s="293"/>
    </row>
    <row r="57" spans="1:5">
      <c r="A57" s="564"/>
      <c r="B57" s="562"/>
      <c r="D57" s="4"/>
      <c r="E57" s="14"/>
    </row>
    <row r="58" spans="1:5">
      <c r="A58" s="102" t="s">
        <v>316</v>
      </c>
      <c r="B58" s="574">
        <v>110000</v>
      </c>
      <c r="C58" s="4">
        <v>110000</v>
      </c>
      <c r="D58" s="4">
        <v>0</v>
      </c>
      <c r="E58" s="195">
        <f t="shared" ref="E58:E70" si="3">D58/C58*100</f>
        <v>0</v>
      </c>
    </row>
    <row r="59" spans="1:5">
      <c r="A59" s="102" t="s">
        <v>296</v>
      </c>
      <c r="B59" s="571">
        <v>30000</v>
      </c>
      <c r="C59" s="4">
        <v>30000</v>
      </c>
      <c r="D59" s="4">
        <v>110184</v>
      </c>
      <c r="E59" s="195">
        <f t="shared" si="3"/>
        <v>367.28000000000003</v>
      </c>
    </row>
    <row r="60" spans="1:5">
      <c r="A60" s="102" t="s">
        <v>285</v>
      </c>
      <c r="B60" s="571">
        <v>60000</v>
      </c>
      <c r="C60" s="4">
        <v>60000</v>
      </c>
      <c r="D60" s="4">
        <v>54886</v>
      </c>
      <c r="E60" s="195">
        <f t="shared" si="3"/>
        <v>91.476666666666659</v>
      </c>
    </row>
    <row r="61" spans="1:5">
      <c r="A61" s="102" t="s">
        <v>284</v>
      </c>
      <c r="B61" s="571">
        <v>30000</v>
      </c>
      <c r="C61" s="4">
        <v>30000</v>
      </c>
      <c r="D61" s="4">
        <v>20466</v>
      </c>
      <c r="E61" s="195">
        <f t="shared" si="3"/>
        <v>68.22</v>
      </c>
    </row>
    <row r="62" spans="1:5">
      <c r="A62" s="108" t="s">
        <v>283</v>
      </c>
      <c r="B62" s="572">
        <f>SUM(B58:B61)</f>
        <v>230000</v>
      </c>
      <c r="C62" s="8">
        <f>SUM(C58:C61)</f>
        <v>230000</v>
      </c>
      <c r="D62" s="8">
        <f>SUM(D59:D61)</f>
        <v>185536</v>
      </c>
      <c r="E62" s="213">
        <f t="shared" si="3"/>
        <v>80.667826086956524</v>
      </c>
    </row>
    <row r="63" spans="1:5">
      <c r="A63" s="102" t="s">
        <v>295</v>
      </c>
      <c r="B63" s="571">
        <v>30000</v>
      </c>
      <c r="C63" s="4">
        <v>30000</v>
      </c>
      <c r="D63" s="4">
        <v>0</v>
      </c>
      <c r="E63" s="195">
        <f t="shared" si="3"/>
        <v>0</v>
      </c>
    </row>
    <row r="64" spans="1:5" ht="22.5">
      <c r="A64" s="102" t="s">
        <v>293</v>
      </c>
      <c r="B64" s="571">
        <v>24000</v>
      </c>
      <c r="C64" s="4">
        <v>24000</v>
      </c>
      <c r="D64" s="4">
        <v>0</v>
      </c>
      <c r="E64" s="195">
        <f t="shared" si="3"/>
        <v>0</v>
      </c>
    </row>
    <row r="65" spans="1:5">
      <c r="A65" s="108" t="s">
        <v>281</v>
      </c>
      <c r="B65" s="573">
        <f>SUM(B63:B64)</f>
        <v>54000</v>
      </c>
      <c r="C65" s="8">
        <v>54000</v>
      </c>
      <c r="D65" s="8">
        <v>0</v>
      </c>
      <c r="E65" s="195">
        <f t="shared" si="3"/>
        <v>0</v>
      </c>
    </row>
    <row r="66" spans="1:5">
      <c r="A66" s="102" t="s">
        <v>280</v>
      </c>
      <c r="B66" s="574">
        <f>(B59+B60+B61+B63+B64)*0.27+B58*0.05</f>
        <v>52480</v>
      </c>
      <c r="C66" s="4">
        <v>52480</v>
      </c>
      <c r="D66" s="4">
        <v>49271</v>
      </c>
      <c r="E66" s="195">
        <f t="shared" si="3"/>
        <v>93.885289634146346</v>
      </c>
    </row>
    <row r="67" spans="1:5" ht="16.5" customHeight="1">
      <c r="A67" s="113" t="s">
        <v>279</v>
      </c>
      <c r="B67" s="573">
        <f>SUM(B66:B66)</f>
        <v>52480</v>
      </c>
      <c r="C67" s="8">
        <v>52480</v>
      </c>
      <c r="D67" s="8">
        <f>SUM(D66)</f>
        <v>49271</v>
      </c>
      <c r="E67" s="213">
        <f t="shared" si="3"/>
        <v>93.885289634146346</v>
      </c>
    </row>
    <row r="68" spans="1:5">
      <c r="A68" s="112" t="s">
        <v>278</v>
      </c>
      <c r="B68" s="573">
        <f>+B62+B65+B67</f>
        <v>336480</v>
      </c>
      <c r="C68" s="8">
        <v>336480</v>
      </c>
      <c r="D68" s="8">
        <f>D62+D67</f>
        <v>234807</v>
      </c>
      <c r="E68" s="213">
        <f t="shared" si="3"/>
        <v>69.783345221112697</v>
      </c>
    </row>
    <row r="69" spans="1:5">
      <c r="A69" s="112"/>
      <c r="B69" s="573"/>
      <c r="C69" s="14"/>
      <c r="D69" s="4"/>
      <c r="E69" s="195"/>
    </row>
    <row r="70" spans="1:5">
      <c r="A70" s="564" t="s">
        <v>274</v>
      </c>
      <c r="B70" s="573">
        <f>B68</f>
        <v>336480</v>
      </c>
      <c r="C70" s="8">
        <v>336480</v>
      </c>
      <c r="D70" s="8">
        <f>D68</f>
        <v>234807</v>
      </c>
      <c r="E70" s="213">
        <f t="shared" si="3"/>
        <v>69.783345221112697</v>
      </c>
    </row>
    <row r="71" spans="1:5">
      <c r="A71" s="564"/>
      <c r="B71" s="562"/>
      <c r="C71" s="14"/>
      <c r="D71" s="14"/>
      <c r="E71" s="14"/>
    </row>
    <row r="72" spans="1:5">
      <c r="A72" s="655" t="s">
        <v>320</v>
      </c>
      <c r="B72" s="654"/>
      <c r="C72" s="275"/>
      <c r="D72" s="275"/>
      <c r="E72" s="293"/>
    </row>
    <row r="73" spans="1:5">
      <c r="A73" s="264"/>
      <c r="B73" s="116"/>
      <c r="C73" s="14"/>
      <c r="D73" s="14"/>
      <c r="E73" s="14"/>
    </row>
    <row r="74" spans="1:5">
      <c r="A74" s="273" t="s">
        <v>406</v>
      </c>
      <c r="B74" s="574">
        <v>13128000</v>
      </c>
      <c r="C74" s="4">
        <v>56721210</v>
      </c>
      <c r="D74" s="4">
        <v>61227844</v>
      </c>
      <c r="E74" s="195">
        <f t="shared" ref="E74:E99" si="4">D74/C74*100</f>
        <v>107.94523600607251</v>
      </c>
    </row>
    <row r="75" spans="1:5">
      <c r="A75" s="273" t="s">
        <v>414</v>
      </c>
      <c r="B75" s="574"/>
      <c r="C75" s="4"/>
      <c r="D75" s="4">
        <v>100000</v>
      </c>
      <c r="E75" s="195"/>
    </row>
    <row r="76" spans="1:5">
      <c r="A76" s="273" t="s">
        <v>415</v>
      </c>
      <c r="B76" s="574"/>
      <c r="C76" s="4"/>
      <c r="D76" s="4">
        <v>795275</v>
      </c>
      <c r="E76" s="195"/>
    </row>
    <row r="77" spans="1:5">
      <c r="A77" s="559" t="s">
        <v>272</v>
      </c>
      <c r="B77" s="573">
        <f>SUM(B74)</f>
        <v>13128000</v>
      </c>
      <c r="C77" s="8">
        <f>SUM(C74)</f>
        <v>56721210</v>
      </c>
      <c r="D77" s="8">
        <f>SUM(D74:D76)</f>
        <v>62123119</v>
      </c>
      <c r="E77" s="213">
        <f t="shared" si="4"/>
        <v>109.5236138298178</v>
      </c>
    </row>
    <row r="78" spans="1:5">
      <c r="A78" s="559"/>
      <c r="B78" s="573"/>
      <c r="C78" s="14"/>
      <c r="D78" s="4"/>
      <c r="E78" s="195"/>
    </row>
    <row r="79" spans="1:5">
      <c r="A79" s="273" t="s">
        <v>275</v>
      </c>
      <c r="B79" s="574">
        <v>1772000</v>
      </c>
      <c r="C79" s="4">
        <v>7566512</v>
      </c>
      <c r="D79" s="4">
        <v>8370737</v>
      </c>
      <c r="E79" s="195">
        <f t="shared" si="4"/>
        <v>110.62874148616959</v>
      </c>
    </row>
    <row r="80" spans="1:5">
      <c r="A80" s="273" t="s">
        <v>305</v>
      </c>
      <c r="B80" s="574">
        <v>50000</v>
      </c>
      <c r="C80" s="4">
        <v>50000</v>
      </c>
      <c r="D80" s="4">
        <v>16660</v>
      </c>
      <c r="E80" s="195">
        <f t="shared" si="4"/>
        <v>33.32</v>
      </c>
    </row>
    <row r="81" spans="1:5">
      <c r="A81" s="273" t="s">
        <v>331</v>
      </c>
      <c r="B81" s="574"/>
      <c r="C81" s="4"/>
      <c r="D81" s="4">
        <v>74642</v>
      </c>
      <c r="E81" s="195"/>
    </row>
    <row r="82" spans="1:5">
      <c r="A82" s="273" t="s">
        <v>304</v>
      </c>
      <c r="B82" s="574"/>
      <c r="C82" s="4"/>
      <c r="D82" s="4">
        <v>19040</v>
      </c>
      <c r="E82" s="195"/>
    </row>
    <row r="83" spans="1:5">
      <c r="A83" s="559" t="s">
        <v>271</v>
      </c>
      <c r="B83" s="573">
        <f>SUM(B79:B80)</f>
        <v>1822000</v>
      </c>
      <c r="C83" s="8">
        <v>7616512</v>
      </c>
      <c r="D83" s="8">
        <f>SUM(D79:D82)</f>
        <v>8481079</v>
      </c>
      <c r="E83" s="213">
        <f t="shared" si="4"/>
        <v>111.35121956086986</v>
      </c>
    </row>
    <row r="84" spans="1:5">
      <c r="A84" s="559"/>
      <c r="B84" s="573"/>
      <c r="C84" s="4"/>
      <c r="D84" s="4"/>
      <c r="E84" s="195"/>
    </row>
    <row r="85" spans="1:5">
      <c r="A85" s="570" t="s">
        <v>301</v>
      </c>
      <c r="B85" s="573"/>
      <c r="C85" s="4"/>
      <c r="D85" s="4">
        <v>5110</v>
      </c>
      <c r="E85" s="195"/>
    </row>
    <row r="86" spans="1:5">
      <c r="A86" s="570" t="s">
        <v>416</v>
      </c>
      <c r="B86" s="573"/>
      <c r="C86" s="4"/>
      <c r="D86" s="4">
        <f>40557+555650</f>
        <v>596207</v>
      </c>
      <c r="E86" s="195"/>
    </row>
    <row r="87" spans="1:5">
      <c r="A87" s="570" t="s">
        <v>417</v>
      </c>
      <c r="B87" s="573"/>
      <c r="C87" s="4"/>
      <c r="D87" s="4">
        <v>226277</v>
      </c>
      <c r="E87" s="195"/>
    </row>
    <row r="88" spans="1:5">
      <c r="A88" s="570" t="s">
        <v>289</v>
      </c>
      <c r="B88" s="573"/>
      <c r="C88" s="4">
        <v>2258554</v>
      </c>
      <c r="D88" s="4">
        <v>1850748</v>
      </c>
      <c r="E88" s="195">
        <f t="shared" si="4"/>
        <v>81.943934039212692</v>
      </c>
    </row>
    <row r="89" spans="1:5">
      <c r="A89" s="575" t="s">
        <v>418</v>
      </c>
      <c r="B89" s="573"/>
      <c r="C89" s="8">
        <f>SUM(C88)</f>
        <v>2258554</v>
      </c>
      <c r="D89" s="8">
        <f>SUM(D85:D88)</f>
        <v>2678342</v>
      </c>
      <c r="E89" s="213">
        <f t="shared" si="4"/>
        <v>118.5865823885548</v>
      </c>
    </row>
    <row r="90" spans="1:5">
      <c r="A90" s="570" t="s">
        <v>419</v>
      </c>
      <c r="B90" s="573"/>
      <c r="C90" s="8"/>
      <c r="D90" s="4">
        <v>15046</v>
      </c>
      <c r="E90" s="195"/>
    </row>
    <row r="91" spans="1:5">
      <c r="A91" s="570" t="s">
        <v>420</v>
      </c>
      <c r="B91" s="573"/>
      <c r="C91" s="8"/>
      <c r="D91" s="4">
        <v>278068</v>
      </c>
      <c r="E91" s="195"/>
    </row>
    <row r="92" spans="1:5">
      <c r="A92" s="570" t="s">
        <v>421</v>
      </c>
      <c r="B92" s="573"/>
      <c r="C92" s="8"/>
      <c r="D92" s="4">
        <v>23200</v>
      </c>
      <c r="E92" s="195"/>
    </row>
    <row r="93" spans="1:5">
      <c r="A93" s="570" t="s">
        <v>422</v>
      </c>
      <c r="B93" s="573"/>
      <c r="C93" s="8"/>
      <c r="D93" s="4">
        <v>124147</v>
      </c>
      <c r="E93" s="195"/>
    </row>
    <row r="94" spans="1:5">
      <c r="A94" s="575" t="s">
        <v>281</v>
      </c>
      <c r="B94" s="573"/>
      <c r="C94" s="8">
        <f>SUM(C90:C93)</f>
        <v>0</v>
      </c>
      <c r="D94" s="8">
        <f>SUM(D90:D93)</f>
        <v>440461</v>
      </c>
      <c r="E94" s="195"/>
    </row>
    <row r="95" spans="1:5">
      <c r="A95" s="102" t="s">
        <v>280</v>
      </c>
      <c r="B95" s="573"/>
      <c r="C95" s="8"/>
      <c r="D95" s="4">
        <f>806246+7000+3726</f>
        <v>816972</v>
      </c>
      <c r="E95" s="195"/>
    </row>
    <row r="96" spans="1:5" ht="16.5" customHeight="1">
      <c r="A96" s="113" t="s">
        <v>279</v>
      </c>
      <c r="B96" s="573"/>
      <c r="C96" s="8"/>
      <c r="D96" s="8">
        <f>SUM(D95)</f>
        <v>816972</v>
      </c>
      <c r="E96" s="195"/>
    </row>
    <row r="97" spans="1:5">
      <c r="A97" s="575" t="s">
        <v>273</v>
      </c>
      <c r="B97" s="573"/>
      <c r="C97" s="8">
        <v>2258554</v>
      </c>
      <c r="D97" s="8">
        <f>D89+D94+D96</f>
        <v>3935775</v>
      </c>
      <c r="E97" s="213">
        <f t="shared" si="4"/>
        <v>174.26083237327953</v>
      </c>
    </row>
    <row r="98" spans="1:5">
      <c r="A98" s="575"/>
      <c r="B98" s="573"/>
      <c r="C98" s="4"/>
      <c r="D98" s="4"/>
      <c r="E98" s="195"/>
    </row>
    <row r="99" spans="1:5">
      <c r="A99" s="564" t="s">
        <v>274</v>
      </c>
      <c r="B99" s="573">
        <f>B77+B83</f>
        <v>14950000</v>
      </c>
      <c r="C99" s="8">
        <v>66596276</v>
      </c>
      <c r="D99" s="8">
        <f>D77+D83+D97</f>
        <v>74539973</v>
      </c>
      <c r="E99" s="213">
        <f t="shared" si="4"/>
        <v>111.92813994584321</v>
      </c>
    </row>
    <row r="100" spans="1:5">
      <c r="A100" s="564"/>
      <c r="B100" s="562"/>
      <c r="C100" s="14"/>
      <c r="D100" s="4"/>
      <c r="E100" s="14"/>
    </row>
    <row r="101" spans="1:5">
      <c r="A101" s="655" t="s">
        <v>362</v>
      </c>
      <c r="B101" s="654"/>
      <c r="C101" s="275"/>
      <c r="D101" s="276"/>
      <c r="E101" s="293"/>
    </row>
    <row r="102" spans="1:5">
      <c r="A102" s="264"/>
      <c r="B102" s="116"/>
      <c r="C102" s="14"/>
      <c r="D102" s="4"/>
      <c r="E102" s="14"/>
    </row>
    <row r="103" spans="1:5">
      <c r="A103" s="273" t="s">
        <v>406</v>
      </c>
      <c r="B103" s="574">
        <v>6917000</v>
      </c>
      <c r="C103" s="4">
        <v>6917000</v>
      </c>
      <c r="D103" s="4">
        <v>0</v>
      </c>
      <c r="E103" s="195">
        <f t="shared" ref="E103:E109" si="5">D103/C103*100</f>
        <v>0</v>
      </c>
    </row>
    <row r="104" spans="1:5">
      <c r="A104" s="559" t="s">
        <v>272</v>
      </c>
      <c r="B104" s="573">
        <f>SUM(B103)</f>
        <v>6917000</v>
      </c>
      <c r="C104" s="8">
        <v>6917000</v>
      </c>
      <c r="D104" s="8">
        <v>0</v>
      </c>
      <c r="E104" s="195">
        <f t="shared" si="5"/>
        <v>0</v>
      </c>
    </row>
    <row r="105" spans="1:5">
      <c r="A105" s="559"/>
      <c r="B105" s="573"/>
      <c r="C105" s="14"/>
      <c r="D105" s="4"/>
      <c r="E105" s="195"/>
    </row>
    <row r="106" spans="1:5">
      <c r="A106" s="273" t="s">
        <v>275</v>
      </c>
      <c r="B106" s="574">
        <v>934000</v>
      </c>
      <c r="C106" s="4">
        <v>934000</v>
      </c>
      <c r="D106" s="4">
        <v>0</v>
      </c>
      <c r="E106" s="195">
        <f t="shared" si="5"/>
        <v>0</v>
      </c>
    </row>
    <row r="107" spans="1:5">
      <c r="A107" s="273" t="s">
        <v>305</v>
      </c>
      <c r="B107" s="574">
        <v>50000</v>
      </c>
      <c r="C107" s="4">
        <v>50000</v>
      </c>
      <c r="D107" s="4">
        <v>0</v>
      </c>
      <c r="E107" s="195">
        <f t="shared" si="5"/>
        <v>0</v>
      </c>
    </row>
    <row r="108" spans="1:5">
      <c r="A108" s="559" t="s">
        <v>271</v>
      </c>
      <c r="B108" s="573">
        <f>SUM(B106:B107)</f>
        <v>984000</v>
      </c>
      <c r="C108" s="8">
        <v>984000</v>
      </c>
      <c r="D108" s="8">
        <v>0</v>
      </c>
      <c r="E108" s="213">
        <f t="shared" si="5"/>
        <v>0</v>
      </c>
    </row>
    <row r="109" spans="1:5">
      <c r="A109" s="564" t="s">
        <v>274</v>
      </c>
      <c r="B109" s="573">
        <f>B104+B108</f>
        <v>7901000</v>
      </c>
      <c r="C109" s="8">
        <v>7901000</v>
      </c>
      <c r="D109" s="8">
        <v>0</v>
      </c>
      <c r="E109" s="213">
        <f t="shared" si="5"/>
        <v>0</v>
      </c>
    </row>
    <row r="110" spans="1:5">
      <c r="A110" s="264"/>
      <c r="B110" s="116"/>
      <c r="C110" s="14"/>
      <c r="D110" s="4"/>
      <c r="E110" s="4"/>
    </row>
    <row r="111" spans="1:5">
      <c r="A111" s="653" t="s">
        <v>129</v>
      </c>
      <c r="B111" s="653"/>
      <c r="C111" s="653"/>
      <c r="D111" s="653"/>
      <c r="E111" s="653"/>
    </row>
    <row r="112" spans="1:5">
      <c r="A112" s="564"/>
      <c r="B112" s="573"/>
      <c r="D112" s="4"/>
      <c r="E112" s="4"/>
    </row>
    <row r="113" spans="1:5">
      <c r="A113" s="651" t="s">
        <v>66</v>
      </c>
      <c r="B113" s="654"/>
      <c r="C113" s="269"/>
      <c r="D113" s="276"/>
      <c r="E113" s="295"/>
    </row>
    <row r="114" spans="1:5">
      <c r="A114" s="569"/>
      <c r="B114" s="576"/>
      <c r="D114" s="4"/>
      <c r="E114" s="4"/>
    </row>
    <row r="115" spans="1:5" ht="26.25" customHeight="1">
      <c r="A115" s="273" t="s">
        <v>368</v>
      </c>
      <c r="B115" s="577">
        <v>1785000</v>
      </c>
      <c r="C115" s="4">
        <v>1785000</v>
      </c>
      <c r="D115" s="4">
        <v>1785000</v>
      </c>
      <c r="E115" s="195">
        <f t="shared" ref="E115:E140" si="6">D115/C115*100</f>
        <v>100</v>
      </c>
    </row>
    <row r="116" spans="1:5">
      <c r="A116" s="570" t="s">
        <v>361</v>
      </c>
      <c r="B116" s="571">
        <v>1161000</v>
      </c>
      <c r="C116" s="4">
        <v>1161000</v>
      </c>
      <c r="D116" s="4">
        <v>1161000</v>
      </c>
      <c r="E116" s="195">
        <f t="shared" si="6"/>
        <v>100</v>
      </c>
    </row>
    <row r="117" spans="1:5">
      <c r="A117" s="570" t="s">
        <v>360</v>
      </c>
      <c r="B117" s="571">
        <v>1620000</v>
      </c>
      <c r="C117" s="4">
        <v>1620000</v>
      </c>
      <c r="D117" s="4">
        <v>1552900</v>
      </c>
      <c r="E117" s="195">
        <f t="shared" si="6"/>
        <v>95.858024691358025</v>
      </c>
    </row>
    <row r="118" spans="1:5">
      <c r="A118" s="570" t="s">
        <v>369</v>
      </c>
      <c r="B118" s="571"/>
      <c r="C118" s="4">
        <v>37300</v>
      </c>
      <c r="D118" s="4">
        <f>18400+18900</f>
        <v>37300</v>
      </c>
      <c r="E118" s="195">
        <f t="shared" si="6"/>
        <v>100</v>
      </c>
    </row>
    <row r="119" spans="1:5">
      <c r="A119" s="570" t="s">
        <v>423</v>
      </c>
      <c r="B119" s="571"/>
      <c r="C119" s="4"/>
      <c r="D119" s="4">
        <v>91599</v>
      </c>
      <c r="E119" s="195"/>
    </row>
    <row r="120" spans="1:5">
      <c r="A120" s="559" t="s">
        <v>272</v>
      </c>
      <c r="B120" s="572">
        <f>SUM(B115:B117)</f>
        <v>4566000</v>
      </c>
      <c r="C120" s="8">
        <v>4603300</v>
      </c>
      <c r="D120" s="8">
        <f>SUM(D115:D119)</f>
        <v>4627799</v>
      </c>
      <c r="E120" s="213">
        <f t="shared" si="6"/>
        <v>100.53220515716986</v>
      </c>
    </row>
    <row r="121" spans="1:5">
      <c r="A121" s="559"/>
      <c r="B121" s="572"/>
      <c r="C121" s="14"/>
      <c r="D121" s="4"/>
      <c r="E121" s="195"/>
    </row>
    <row r="122" spans="1:5">
      <c r="A122" s="273" t="s">
        <v>275</v>
      </c>
      <c r="B122" s="571">
        <v>1233000</v>
      </c>
      <c r="C122" s="4">
        <v>1243071</v>
      </c>
      <c r="D122" s="4">
        <v>1223883</v>
      </c>
      <c r="E122" s="195">
        <f t="shared" si="6"/>
        <v>98.456403536081211</v>
      </c>
    </row>
    <row r="123" spans="1:5">
      <c r="A123" s="559" t="s">
        <v>271</v>
      </c>
      <c r="B123" s="572">
        <f>SUM(B122:B122)</f>
        <v>1233000</v>
      </c>
      <c r="C123" s="8">
        <v>1243071</v>
      </c>
      <c r="D123" s="8">
        <f>SUM(D122)</f>
        <v>1223883</v>
      </c>
      <c r="E123" s="213">
        <f t="shared" si="6"/>
        <v>98.456403536081211</v>
      </c>
    </row>
    <row r="124" spans="1:5">
      <c r="A124" s="559"/>
      <c r="B124" s="572"/>
      <c r="C124" s="14"/>
      <c r="D124" s="4"/>
      <c r="E124" s="195"/>
    </row>
    <row r="125" spans="1:5">
      <c r="A125" s="570" t="s">
        <v>426</v>
      </c>
      <c r="B125" s="572"/>
      <c r="C125" s="14"/>
      <c r="D125" s="4">
        <f>3208754-D126</f>
        <v>3078667</v>
      </c>
      <c r="E125" s="195"/>
    </row>
    <row r="126" spans="1:5">
      <c r="A126" s="570" t="s">
        <v>424</v>
      </c>
      <c r="B126" s="560"/>
      <c r="C126" s="14"/>
      <c r="D126" s="4">
        <v>130087</v>
      </c>
      <c r="E126" s="195"/>
    </row>
    <row r="127" spans="1:5">
      <c r="A127" s="575" t="s">
        <v>425</v>
      </c>
      <c r="B127" s="560"/>
      <c r="C127" s="268"/>
      <c r="D127" s="8">
        <f>SUM(D125:D126)</f>
        <v>3208754</v>
      </c>
      <c r="E127" s="195"/>
    </row>
    <row r="128" spans="1:5">
      <c r="A128" s="570" t="s">
        <v>409</v>
      </c>
      <c r="B128" s="560"/>
      <c r="C128" s="268"/>
      <c r="D128" s="4">
        <v>100000</v>
      </c>
      <c r="E128" s="195"/>
    </row>
    <row r="129" spans="1:5">
      <c r="A129" s="91" t="s">
        <v>359</v>
      </c>
      <c r="B129" s="571">
        <f>10970000</f>
        <v>10970000</v>
      </c>
      <c r="C129" s="4">
        <v>10970000</v>
      </c>
      <c r="D129" s="4">
        <v>4875795</v>
      </c>
      <c r="E129" s="195">
        <f t="shared" si="6"/>
        <v>44.446627164995448</v>
      </c>
    </row>
    <row r="130" spans="1:5" ht="22.5">
      <c r="A130" s="91" t="s">
        <v>358</v>
      </c>
      <c r="B130" s="571">
        <v>1500000</v>
      </c>
      <c r="C130" s="4">
        <v>1500000</v>
      </c>
      <c r="D130" s="4">
        <v>865000</v>
      </c>
      <c r="E130" s="195">
        <f t="shared" si="6"/>
        <v>57.666666666666664</v>
      </c>
    </row>
    <row r="131" spans="1:5">
      <c r="A131" s="102" t="s">
        <v>321</v>
      </c>
      <c r="B131" s="571">
        <f>180000+200000</f>
        <v>380000</v>
      </c>
      <c r="C131" s="4">
        <v>380000</v>
      </c>
      <c r="D131" s="4">
        <v>732910</v>
      </c>
      <c r="E131" s="195">
        <f t="shared" si="6"/>
        <v>192.87105263157895</v>
      </c>
    </row>
    <row r="132" spans="1:5">
      <c r="A132" s="108" t="s">
        <v>281</v>
      </c>
      <c r="B132" s="572">
        <f>SUM(B129:B131)</f>
        <v>12850000</v>
      </c>
      <c r="C132" s="8">
        <v>12850000</v>
      </c>
      <c r="D132" s="8">
        <f>SUM(D128:D131)</f>
        <v>6573705</v>
      </c>
      <c r="E132" s="213">
        <f t="shared" si="6"/>
        <v>51.157237354085602</v>
      </c>
    </row>
    <row r="133" spans="1:5">
      <c r="A133" s="102" t="s">
        <v>280</v>
      </c>
      <c r="B133" s="571">
        <f>(+B131+B129+B130)*0.27</f>
        <v>3469500</v>
      </c>
      <c r="C133" s="4">
        <v>3469500</v>
      </c>
      <c r="D133" s="4">
        <f>1865624+380004</f>
        <v>2245628</v>
      </c>
      <c r="E133" s="195">
        <f t="shared" si="6"/>
        <v>64.724830667243111</v>
      </c>
    </row>
    <row r="134" spans="1:5">
      <c r="A134" s="102" t="s">
        <v>427</v>
      </c>
      <c r="B134" s="571"/>
      <c r="C134" s="4"/>
      <c r="D134" s="4">
        <v>192000</v>
      </c>
      <c r="E134" s="195"/>
    </row>
    <row r="135" spans="1:5">
      <c r="A135" s="102" t="s">
        <v>428</v>
      </c>
      <c r="B135" s="571"/>
      <c r="C135" s="4"/>
      <c r="D135" s="4">
        <f>39170+105600</f>
        <v>144770</v>
      </c>
      <c r="E135" s="195"/>
    </row>
    <row r="136" spans="1:5" ht="22.5">
      <c r="A136" s="113" t="s">
        <v>279</v>
      </c>
      <c r="B136" s="572">
        <f>SUM(B133)</f>
        <v>3469500</v>
      </c>
      <c r="C136" s="8">
        <v>3469500</v>
      </c>
      <c r="D136" s="8">
        <f>SUM(D133:D135)</f>
        <v>2582398</v>
      </c>
      <c r="E136" s="213">
        <f t="shared" si="6"/>
        <v>74.431416630638424</v>
      </c>
    </row>
    <row r="137" spans="1:5">
      <c r="A137" s="113"/>
      <c r="B137" s="574"/>
      <c r="C137" s="14"/>
      <c r="D137" s="4"/>
      <c r="E137" s="195"/>
    </row>
    <row r="138" spans="1:5">
      <c r="A138" s="112" t="s">
        <v>278</v>
      </c>
      <c r="B138" s="573">
        <f>B136+B132</f>
        <v>16319500</v>
      </c>
      <c r="C138" s="8">
        <v>16319500</v>
      </c>
      <c r="D138" s="8">
        <f>D127+D132+D136</f>
        <v>12364857</v>
      </c>
      <c r="E138" s="213">
        <f t="shared" si="6"/>
        <v>75.767376451484424</v>
      </c>
    </row>
    <row r="139" spans="1:5">
      <c r="A139" s="112"/>
      <c r="B139" s="574"/>
      <c r="C139" s="14"/>
      <c r="D139" s="4"/>
      <c r="E139" s="195"/>
    </row>
    <row r="140" spans="1:5">
      <c r="A140" s="564" t="s">
        <v>274</v>
      </c>
      <c r="B140" s="573">
        <f>B120+B123+B138</f>
        <v>22118500</v>
      </c>
      <c r="C140" s="8">
        <v>22165871</v>
      </c>
      <c r="D140" s="8">
        <f>D120+D123+D138</f>
        <v>18216539</v>
      </c>
      <c r="E140" s="213">
        <f t="shared" si="6"/>
        <v>82.182825118850516</v>
      </c>
    </row>
    <row r="141" spans="1:5">
      <c r="A141" s="568"/>
      <c r="B141" s="562"/>
      <c r="C141" s="14"/>
      <c r="D141" s="4"/>
      <c r="E141" s="4"/>
    </row>
    <row r="142" spans="1:5">
      <c r="A142" s="564"/>
      <c r="B142" s="563"/>
      <c r="C142" s="14"/>
      <c r="D142" s="4"/>
      <c r="E142" s="4"/>
    </row>
    <row r="143" spans="1:5" ht="24.75" customHeight="1">
      <c r="A143" s="651" t="s">
        <v>357</v>
      </c>
      <c r="B143" s="654"/>
      <c r="C143" s="275"/>
      <c r="D143" s="276"/>
      <c r="E143" s="295"/>
    </row>
    <row r="144" spans="1:5">
      <c r="A144" s="273"/>
      <c r="B144" s="567"/>
      <c r="C144" s="14"/>
      <c r="D144" s="4"/>
      <c r="E144" s="4"/>
    </row>
    <row r="145" spans="1:5">
      <c r="A145" s="273" t="s">
        <v>900</v>
      </c>
      <c r="B145" s="567">
        <v>26108000</v>
      </c>
      <c r="C145" s="4">
        <v>24608000</v>
      </c>
      <c r="D145" s="81">
        <v>25712433</v>
      </c>
      <c r="E145" s="195">
        <f t="shared" ref="E145:E186" si="7">D145/C145*100</f>
        <v>104.48810549414824</v>
      </c>
    </row>
    <row r="146" spans="1:5">
      <c r="A146" s="570" t="s">
        <v>346</v>
      </c>
      <c r="B146" s="567">
        <v>2813000</v>
      </c>
      <c r="C146" s="4">
        <v>2813000</v>
      </c>
      <c r="D146" s="81"/>
      <c r="E146" s="195">
        <f t="shared" si="7"/>
        <v>0</v>
      </c>
    </row>
    <row r="147" spans="1:5">
      <c r="A147" s="570" t="s">
        <v>306</v>
      </c>
      <c r="B147" s="567">
        <v>343000</v>
      </c>
      <c r="C147" s="4">
        <v>343000</v>
      </c>
      <c r="D147" s="81">
        <f>45106</f>
        <v>45106</v>
      </c>
      <c r="E147" s="195">
        <f t="shared" si="7"/>
        <v>13.150437317784256</v>
      </c>
    </row>
    <row r="148" spans="1:5">
      <c r="A148" s="570" t="s">
        <v>430</v>
      </c>
      <c r="B148" s="567"/>
      <c r="C148" s="4"/>
      <c r="D148" s="81">
        <f>325000+176088+425000</f>
        <v>926088</v>
      </c>
      <c r="E148" s="195"/>
    </row>
    <row r="149" spans="1:5" ht="22.5">
      <c r="A149" s="570" t="s">
        <v>314</v>
      </c>
      <c r="B149" s="567">
        <v>300000</v>
      </c>
      <c r="C149" s="4">
        <v>300000</v>
      </c>
      <c r="D149" s="81">
        <f>409307</f>
        <v>409307</v>
      </c>
      <c r="E149" s="195">
        <f t="shared" si="7"/>
        <v>136.43566666666666</v>
      </c>
    </row>
    <row r="150" spans="1:5">
      <c r="A150" s="570" t="s">
        <v>313</v>
      </c>
      <c r="B150" s="567"/>
      <c r="C150" s="4"/>
      <c r="D150" s="81">
        <v>228536</v>
      </c>
      <c r="E150" s="195"/>
    </row>
    <row r="151" spans="1:5">
      <c r="A151" s="559" t="s">
        <v>272</v>
      </c>
      <c r="B151" s="560">
        <f>SUM(B145:B149)</f>
        <v>29564000</v>
      </c>
      <c r="C151" s="8">
        <v>28064000</v>
      </c>
      <c r="D151" s="179">
        <f>SUM(D145:D150)</f>
        <v>27321470</v>
      </c>
      <c r="E151" s="213">
        <f t="shared" si="7"/>
        <v>97.354154789053595</v>
      </c>
    </row>
    <row r="152" spans="1:5">
      <c r="A152" s="559"/>
      <c r="B152" s="560"/>
      <c r="C152" s="14"/>
      <c r="D152" s="81"/>
      <c r="E152" s="195"/>
    </row>
    <row r="153" spans="1:5">
      <c r="A153" s="273" t="s">
        <v>275</v>
      </c>
      <c r="B153" s="567">
        <v>7901000</v>
      </c>
      <c r="C153" s="4">
        <v>7501000</v>
      </c>
      <c r="D153" s="81">
        <v>7144971</v>
      </c>
      <c r="E153" s="195">
        <f t="shared" si="7"/>
        <v>95.253579522730305</v>
      </c>
    </row>
    <row r="154" spans="1:5">
      <c r="A154" s="273" t="s">
        <v>305</v>
      </c>
      <c r="B154" s="567">
        <v>96000</v>
      </c>
      <c r="C154" s="4">
        <v>96000</v>
      </c>
      <c r="D154" s="81">
        <v>224889</v>
      </c>
      <c r="E154" s="195">
        <f t="shared" si="7"/>
        <v>234.25937499999998</v>
      </c>
    </row>
    <row r="155" spans="1:5">
      <c r="A155" s="273" t="s">
        <v>331</v>
      </c>
      <c r="B155" s="567">
        <v>20000</v>
      </c>
      <c r="C155" s="4">
        <v>20000</v>
      </c>
      <c r="D155" s="81">
        <v>110362</v>
      </c>
      <c r="E155" s="195">
        <f t="shared" si="7"/>
        <v>551.80999999999995</v>
      </c>
    </row>
    <row r="156" spans="1:5">
      <c r="A156" s="273" t="s">
        <v>304</v>
      </c>
      <c r="B156" s="567">
        <v>54000</v>
      </c>
      <c r="C156" s="4">
        <v>54000</v>
      </c>
      <c r="D156" s="81">
        <v>133883</v>
      </c>
      <c r="E156" s="195">
        <f t="shared" si="7"/>
        <v>247.93148148148148</v>
      </c>
    </row>
    <row r="157" spans="1:5">
      <c r="A157" s="559" t="s">
        <v>271</v>
      </c>
      <c r="B157" s="560">
        <f>SUM(B153:B156)</f>
        <v>8071000</v>
      </c>
      <c r="C157" s="8">
        <v>7671000</v>
      </c>
      <c r="D157" s="179">
        <f>SUM(D153:D156)</f>
        <v>7614105</v>
      </c>
      <c r="E157" s="213">
        <f t="shared" si="7"/>
        <v>99.258310520140796</v>
      </c>
    </row>
    <row r="158" spans="1:5">
      <c r="A158" s="559"/>
      <c r="B158" s="560"/>
      <c r="C158" s="14"/>
      <c r="D158" s="81"/>
      <c r="E158" s="195"/>
    </row>
    <row r="159" spans="1:5">
      <c r="A159" s="102" t="s">
        <v>311</v>
      </c>
      <c r="B159" s="571">
        <v>10000</v>
      </c>
      <c r="C159" s="4">
        <v>10000</v>
      </c>
      <c r="D159" s="81">
        <v>5868</v>
      </c>
      <c r="E159" s="195">
        <f t="shared" si="7"/>
        <v>58.68</v>
      </c>
    </row>
    <row r="160" spans="1:5">
      <c r="A160" s="102" t="s">
        <v>289</v>
      </c>
      <c r="B160" s="574">
        <v>200000</v>
      </c>
      <c r="C160" s="4">
        <v>200000</v>
      </c>
      <c r="D160" s="81"/>
      <c r="E160" s="195">
        <f t="shared" si="7"/>
        <v>0</v>
      </c>
    </row>
    <row r="161" spans="1:5">
      <c r="A161" s="113" t="s">
        <v>288</v>
      </c>
      <c r="B161" s="573">
        <f>SUM(B159:B160)</f>
        <v>210000</v>
      </c>
      <c r="C161" s="8">
        <v>210000</v>
      </c>
      <c r="D161" s="179">
        <f>SUM(D159:D160)</f>
        <v>5868</v>
      </c>
      <c r="E161" s="213">
        <f t="shared" si="7"/>
        <v>2.7942857142857145</v>
      </c>
    </row>
    <row r="162" spans="1:5">
      <c r="A162" s="102" t="s">
        <v>301</v>
      </c>
      <c r="B162" s="574">
        <v>50000</v>
      </c>
      <c r="C162" s="4">
        <v>50000</v>
      </c>
      <c r="D162" s="81">
        <v>57987</v>
      </c>
      <c r="E162" s="195">
        <f t="shared" si="7"/>
        <v>115.974</v>
      </c>
    </row>
    <row r="163" spans="1:5">
      <c r="A163" s="102" t="s">
        <v>299</v>
      </c>
      <c r="B163" s="574">
        <v>1500000</v>
      </c>
      <c r="C163" s="4">
        <v>3000000</v>
      </c>
      <c r="D163" s="81">
        <f>3325697+7371</f>
        <v>3333068</v>
      </c>
      <c r="E163" s="195">
        <f t="shared" si="7"/>
        <v>111.10226666666667</v>
      </c>
    </row>
    <row r="164" spans="1:5">
      <c r="A164" s="102" t="s">
        <v>417</v>
      </c>
      <c r="B164" s="574"/>
      <c r="C164" s="4"/>
      <c r="D164" s="81">
        <v>306661</v>
      </c>
      <c r="E164" s="195"/>
    </row>
    <row r="165" spans="1:5">
      <c r="A165" s="113" t="s">
        <v>298</v>
      </c>
      <c r="B165" s="573">
        <f>SUM(B162:B163)</f>
        <v>1550000</v>
      </c>
      <c r="C165" s="8">
        <v>3050000</v>
      </c>
      <c r="D165" s="179">
        <f>SUM(D162:D164)</f>
        <v>3697716</v>
      </c>
      <c r="E165" s="213">
        <f t="shared" si="7"/>
        <v>121.23659016393442</v>
      </c>
    </row>
    <row r="166" spans="1:5">
      <c r="A166" s="91" t="s">
        <v>287</v>
      </c>
      <c r="B166" s="574">
        <v>240000</v>
      </c>
      <c r="C166" s="4">
        <v>240000</v>
      </c>
      <c r="D166" s="81">
        <v>211600</v>
      </c>
      <c r="E166" s="195">
        <f t="shared" si="7"/>
        <v>88.166666666666671</v>
      </c>
    </row>
    <row r="167" spans="1:5">
      <c r="A167" s="102" t="s">
        <v>297</v>
      </c>
      <c r="B167" s="574">
        <v>120000</v>
      </c>
      <c r="C167" s="4">
        <v>120000</v>
      </c>
      <c r="D167" s="81">
        <v>0</v>
      </c>
      <c r="E167" s="195">
        <f t="shared" si="7"/>
        <v>0</v>
      </c>
    </row>
    <row r="168" spans="1:5">
      <c r="A168" s="108" t="s">
        <v>286</v>
      </c>
      <c r="B168" s="573">
        <f>SUM(B166:B167)</f>
        <v>360000</v>
      </c>
      <c r="C168" s="8">
        <v>360000</v>
      </c>
      <c r="D168" s="179">
        <f>SUM(D166:D167)</f>
        <v>211600</v>
      </c>
      <c r="E168" s="213">
        <f t="shared" si="7"/>
        <v>58.777777777777771</v>
      </c>
    </row>
    <row r="169" spans="1:5">
      <c r="A169" s="102" t="s">
        <v>285</v>
      </c>
      <c r="B169" s="574">
        <v>5000000</v>
      </c>
      <c r="C169" s="4">
        <v>10000000</v>
      </c>
      <c r="D169" s="81">
        <v>10587253</v>
      </c>
      <c r="E169" s="195">
        <f t="shared" si="7"/>
        <v>105.87253000000001</v>
      </c>
    </row>
    <row r="170" spans="1:5">
      <c r="A170" s="102" t="s">
        <v>284</v>
      </c>
      <c r="B170" s="574">
        <v>750000</v>
      </c>
      <c r="C170" s="4">
        <v>2250000</v>
      </c>
      <c r="D170" s="81">
        <v>3350461</v>
      </c>
      <c r="E170" s="195">
        <f t="shared" si="7"/>
        <v>148.90937777777776</v>
      </c>
    </row>
    <row r="171" spans="1:5">
      <c r="A171" s="108" t="s">
        <v>283</v>
      </c>
      <c r="B171" s="573">
        <f>SUM(B169:B170)</f>
        <v>5750000</v>
      </c>
      <c r="C171" s="8">
        <v>12250000</v>
      </c>
      <c r="D171" s="179">
        <f>SUM(D169:D170)</f>
        <v>13937714</v>
      </c>
      <c r="E171" s="213">
        <f t="shared" si="7"/>
        <v>113.77725714285714</v>
      </c>
    </row>
    <row r="172" spans="1:5">
      <c r="A172" s="102" t="s">
        <v>295</v>
      </c>
      <c r="B172" s="574">
        <v>1000000</v>
      </c>
      <c r="C172" s="4">
        <v>1000000</v>
      </c>
      <c r="D172" s="81">
        <f>3000+530350</f>
        <v>533350</v>
      </c>
      <c r="E172" s="195">
        <f t="shared" si="7"/>
        <v>53.335000000000001</v>
      </c>
    </row>
    <row r="173" spans="1:5">
      <c r="A173" s="102" t="s">
        <v>309</v>
      </c>
      <c r="B173" s="574">
        <v>300000</v>
      </c>
      <c r="C173" s="4">
        <v>300000</v>
      </c>
      <c r="D173" s="81">
        <v>880722</v>
      </c>
      <c r="E173" s="195">
        <f t="shared" si="7"/>
        <v>293.57400000000001</v>
      </c>
    </row>
    <row r="174" spans="1:5" ht="22.5">
      <c r="A174" s="102" t="s">
        <v>293</v>
      </c>
      <c r="B174" s="574">
        <v>200000</v>
      </c>
      <c r="C174" s="4">
        <v>200000</v>
      </c>
      <c r="D174" s="81">
        <v>1292642</v>
      </c>
      <c r="E174" s="195">
        <f t="shared" si="7"/>
        <v>646.32100000000003</v>
      </c>
    </row>
    <row r="175" spans="1:5">
      <c r="A175" s="108" t="s">
        <v>281</v>
      </c>
      <c r="B175" s="573">
        <f>SUM(B172:B174)</f>
        <v>1500000</v>
      </c>
      <c r="C175" s="8">
        <v>1500000</v>
      </c>
      <c r="D175" s="179">
        <f>SUM(D172:D174)</f>
        <v>2706714</v>
      </c>
      <c r="E175" s="213">
        <f t="shared" si="7"/>
        <v>180.44759999999999</v>
      </c>
    </row>
    <row r="176" spans="1:5">
      <c r="A176" s="91" t="s">
        <v>433</v>
      </c>
      <c r="B176" s="573"/>
      <c r="C176" s="8"/>
      <c r="D176" s="81">
        <v>18256</v>
      </c>
      <c r="E176" s="195"/>
    </row>
    <row r="177" spans="1:5">
      <c r="A177" s="91" t="s">
        <v>356</v>
      </c>
      <c r="B177" s="574">
        <v>1000000</v>
      </c>
      <c r="C177" s="4">
        <v>1000000</v>
      </c>
      <c r="D177" s="81">
        <v>354500</v>
      </c>
      <c r="E177" s="195">
        <f t="shared" si="7"/>
        <v>35.449999999999996</v>
      </c>
    </row>
    <row r="178" spans="1:5">
      <c r="A178" s="102" t="s">
        <v>280</v>
      </c>
      <c r="B178" s="574">
        <f>(B159+B160+B162+B163+B166+B167+B169+B170+B172+B173+B174+B177)*0.27</f>
        <v>2799900</v>
      </c>
      <c r="C178" s="4">
        <v>4959900</v>
      </c>
      <c r="D178" s="81">
        <f>5353912+16058</f>
        <v>5369970</v>
      </c>
      <c r="E178" s="195">
        <f t="shared" si="7"/>
        <v>108.26770701022197</v>
      </c>
    </row>
    <row r="179" spans="1:5">
      <c r="A179" s="102" t="s">
        <v>427</v>
      </c>
      <c r="B179" s="574"/>
      <c r="C179" s="4"/>
      <c r="D179" s="81">
        <v>472000</v>
      </c>
      <c r="E179" s="195"/>
    </row>
    <row r="180" spans="1:5">
      <c r="A180" s="102" t="s">
        <v>431</v>
      </c>
      <c r="B180" s="574"/>
      <c r="C180" s="4"/>
      <c r="D180" s="81">
        <v>329556</v>
      </c>
      <c r="E180" s="195"/>
    </row>
    <row r="181" spans="1:5">
      <c r="A181" s="102" t="s">
        <v>432</v>
      </c>
      <c r="B181" s="574"/>
      <c r="C181" s="4"/>
      <c r="D181" s="81">
        <v>100000</v>
      </c>
      <c r="E181" s="195"/>
    </row>
    <row r="182" spans="1:5" ht="22.5">
      <c r="A182" s="113" t="s">
        <v>279</v>
      </c>
      <c r="B182" s="573">
        <f>B178+B177</f>
        <v>3799900</v>
      </c>
      <c r="C182" s="8">
        <v>5959900</v>
      </c>
      <c r="D182" s="179">
        <f>SUM(D176:D181)</f>
        <v>6644282</v>
      </c>
      <c r="E182" s="213">
        <f t="shared" si="7"/>
        <v>111.4831121327539</v>
      </c>
    </row>
    <row r="183" spans="1:5">
      <c r="A183" s="113"/>
      <c r="B183" s="574"/>
      <c r="C183" s="14"/>
      <c r="D183" s="81"/>
      <c r="E183" s="195"/>
    </row>
    <row r="184" spans="1:5">
      <c r="A184" s="112" t="s">
        <v>278</v>
      </c>
      <c r="B184" s="573">
        <f>B161+B165+B168+B171+B175+B182</f>
        <v>13169900</v>
      </c>
      <c r="C184" s="8">
        <v>23329900</v>
      </c>
      <c r="D184" s="179">
        <f>D161+D165+D168+D171+D175+D182</f>
        <v>27203894</v>
      </c>
      <c r="E184" s="213">
        <f t="shared" si="7"/>
        <v>116.60527477614563</v>
      </c>
    </row>
    <row r="185" spans="1:5">
      <c r="A185" s="112"/>
      <c r="B185" s="573"/>
      <c r="C185" s="14"/>
      <c r="D185" s="81"/>
      <c r="E185" s="195"/>
    </row>
    <row r="186" spans="1:5">
      <c r="A186" s="564" t="s">
        <v>274</v>
      </c>
      <c r="B186" s="578">
        <f>B151+B157+B184</f>
        <v>50804900</v>
      </c>
      <c r="C186" s="8">
        <v>59064900</v>
      </c>
      <c r="D186" s="179">
        <f>D151+D157+D184</f>
        <v>62139469</v>
      </c>
      <c r="E186" s="213">
        <f t="shared" si="7"/>
        <v>105.20540794956057</v>
      </c>
    </row>
    <row r="187" spans="1:5">
      <c r="A187" s="564"/>
      <c r="B187" s="578"/>
      <c r="D187" s="81"/>
      <c r="E187" s="81"/>
    </row>
    <row r="188" spans="1:5">
      <c r="A188" s="564"/>
      <c r="B188" s="578"/>
      <c r="D188" s="81"/>
      <c r="E188" s="81"/>
    </row>
    <row r="189" spans="1:5">
      <c r="A189" s="112"/>
      <c r="B189" s="563"/>
      <c r="D189" s="81"/>
      <c r="E189" s="81"/>
    </row>
    <row r="190" spans="1:5">
      <c r="A190" s="656" t="s">
        <v>40</v>
      </c>
      <c r="B190" s="656"/>
      <c r="C190" s="656"/>
      <c r="D190" s="656"/>
      <c r="E190" s="656"/>
    </row>
    <row r="191" spans="1:5">
      <c r="A191" s="564"/>
      <c r="B191" s="562"/>
      <c r="D191" s="81"/>
      <c r="E191" s="81"/>
    </row>
    <row r="192" spans="1:5" ht="24" customHeight="1">
      <c r="A192" s="651" t="s">
        <v>105</v>
      </c>
      <c r="B192" s="654"/>
      <c r="C192" s="269"/>
      <c r="D192" s="296"/>
      <c r="E192" s="297"/>
    </row>
    <row r="193" spans="1:5">
      <c r="A193" s="569"/>
      <c r="B193" s="116"/>
      <c r="D193" s="81"/>
      <c r="E193" s="81"/>
    </row>
    <row r="194" spans="1:5">
      <c r="A194" s="579" t="s">
        <v>406</v>
      </c>
      <c r="B194" s="116"/>
      <c r="D194" s="81">
        <v>682967</v>
      </c>
      <c r="E194" s="195"/>
    </row>
    <row r="195" spans="1:5" ht="22.5">
      <c r="A195" s="570" t="s">
        <v>370</v>
      </c>
      <c r="B195" s="571">
        <v>7524000</v>
      </c>
      <c r="C195" s="4">
        <v>11330334</v>
      </c>
      <c r="D195" s="81">
        <v>12179945</v>
      </c>
      <c r="E195" s="195">
        <f t="shared" ref="E195:E226" si="8">D195/C195*100</f>
        <v>107.49855211682198</v>
      </c>
    </row>
    <row r="196" spans="1:5">
      <c r="A196" s="570" t="s">
        <v>345</v>
      </c>
      <c r="B196" s="571"/>
      <c r="C196" s="4">
        <v>148688</v>
      </c>
      <c r="D196" s="81">
        <v>0</v>
      </c>
      <c r="E196" s="195">
        <f t="shared" si="8"/>
        <v>0</v>
      </c>
    </row>
    <row r="197" spans="1:5">
      <c r="A197" s="570" t="s">
        <v>371</v>
      </c>
      <c r="B197" s="571"/>
      <c r="C197" s="4">
        <v>808000</v>
      </c>
      <c r="D197" s="81">
        <v>0</v>
      </c>
      <c r="E197" s="195">
        <f t="shared" si="8"/>
        <v>0</v>
      </c>
    </row>
    <row r="198" spans="1:5">
      <c r="A198" s="570" t="s">
        <v>313</v>
      </c>
      <c r="B198" s="571"/>
      <c r="C198" s="4"/>
      <c r="D198" s="81">
        <v>165000</v>
      </c>
      <c r="E198" s="195"/>
    </row>
    <row r="199" spans="1:5">
      <c r="A199" s="570" t="s">
        <v>407</v>
      </c>
      <c r="B199" s="571"/>
      <c r="C199" s="4"/>
      <c r="D199" s="81">
        <v>6567</v>
      </c>
      <c r="E199" s="195"/>
    </row>
    <row r="200" spans="1:5">
      <c r="A200" s="559" t="s">
        <v>272</v>
      </c>
      <c r="B200" s="572">
        <f>SUM(B195:B195)</f>
        <v>7524000</v>
      </c>
      <c r="C200" s="8">
        <f>SUM(C195:C197)</f>
        <v>12287022</v>
      </c>
      <c r="D200" s="179">
        <f>SUM(D194:D199)</f>
        <v>13034479</v>
      </c>
      <c r="E200" s="213">
        <f t="shared" si="8"/>
        <v>106.08330480729992</v>
      </c>
    </row>
    <row r="201" spans="1:5">
      <c r="A201" s="559"/>
      <c r="B201" s="572"/>
      <c r="C201" s="14"/>
      <c r="D201" s="81"/>
      <c r="E201" s="195"/>
    </row>
    <row r="202" spans="1:5">
      <c r="A202" s="273" t="s">
        <v>275</v>
      </c>
      <c r="B202" s="571">
        <v>2032000</v>
      </c>
      <c r="C202" s="4">
        <v>3285893</v>
      </c>
      <c r="D202" s="81">
        <v>3109942</v>
      </c>
      <c r="E202" s="195">
        <f t="shared" si="8"/>
        <v>94.645260816466021</v>
      </c>
    </row>
    <row r="203" spans="1:5">
      <c r="A203" s="273" t="s">
        <v>305</v>
      </c>
      <c r="B203" s="571"/>
      <c r="C203" s="4">
        <v>24771</v>
      </c>
      <c r="D203" s="81">
        <v>194788</v>
      </c>
      <c r="E203" s="195">
        <f t="shared" si="8"/>
        <v>786.35501190908724</v>
      </c>
    </row>
    <row r="204" spans="1:5">
      <c r="A204" s="273" t="s">
        <v>304</v>
      </c>
      <c r="B204" s="571"/>
      <c r="C204" s="4">
        <v>26541</v>
      </c>
      <c r="D204" s="81">
        <v>1172</v>
      </c>
      <c r="E204" s="195">
        <f t="shared" si="8"/>
        <v>4.4158095022794921</v>
      </c>
    </row>
    <row r="205" spans="1:5">
      <c r="A205" s="273" t="s">
        <v>408</v>
      </c>
      <c r="B205" s="571"/>
      <c r="C205" s="4"/>
      <c r="D205" s="81">
        <v>12922</v>
      </c>
      <c r="E205" s="195"/>
    </row>
    <row r="206" spans="1:5">
      <c r="A206" s="559" t="s">
        <v>271</v>
      </c>
      <c r="B206" s="572">
        <f>SUM(B202:B202)</f>
        <v>2032000</v>
      </c>
      <c r="C206" s="8">
        <f>SUM(C202:C204)</f>
        <v>3337205</v>
      </c>
      <c r="D206" s="179">
        <f>SUM(D202:D205)</f>
        <v>3318824</v>
      </c>
      <c r="E206" s="213">
        <f t="shared" si="8"/>
        <v>99.449209742883639</v>
      </c>
    </row>
    <row r="207" spans="1:5">
      <c r="A207" s="565"/>
      <c r="B207" s="118"/>
      <c r="C207" s="14"/>
      <c r="D207" s="81"/>
      <c r="E207" s="195"/>
    </row>
    <row r="208" spans="1:5">
      <c r="A208" s="90" t="s">
        <v>301</v>
      </c>
      <c r="B208" s="118"/>
      <c r="C208" s="14"/>
      <c r="D208" s="81">
        <v>78255</v>
      </c>
      <c r="E208" s="195"/>
    </row>
    <row r="209" spans="1:5">
      <c r="A209" s="102" t="s">
        <v>299</v>
      </c>
      <c r="B209" s="574">
        <v>100000</v>
      </c>
      <c r="C209" s="4">
        <v>100000</v>
      </c>
      <c r="D209" s="81">
        <v>20141</v>
      </c>
      <c r="E209" s="195">
        <f t="shared" si="8"/>
        <v>20.141000000000002</v>
      </c>
    </row>
    <row r="210" spans="1:5">
      <c r="A210" s="113" t="s">
        <v>298</v>
      </c>
      <c r="B210" s="573">
        <f>SUM(B209)</f>
        <v>100000</v>
      </c>
      <c r="C210" s="8">
        <f>SUM(C209)</f>
        <v>100000</v>
      </c>
      <c r="D210" s="179">
        <f>SUM(D208:D209)</f>
        <v>98396</v>
      </c>
      <c r="E210" s="195">
        <f t="shared" si="8"/>
        <v>98.396000000000001</v>
      </c>
    </row>
    <row r="211" spans="1:5">
      <c r="A211" s="102" t="s">
        <v>409</v>
      </c>
      <c r="B211" s="574"/>
      <c r="C211" s="4"/>
      <c r="D211" s="81">
        <v>319721</v>
      </c>
      <c r="E211" s="195"/>
    </row>
    <row r="212" spans="1:5">
      <c r="A212" s="102" t="s">
        <v>410</v>
      </c>
      <c r="B212" s="574"/>
      <c r="C212" s="4"/>
      <c r="D212" s="81">
        <v>300000</v>
      </c>
      <c r="E212" s="195"/>
    </row>
    <row r="213" spans="1:5">
      <c r="A213" s="102" t="s">
        <v>411</v>
      </c>
      <c r="B213" s="574">
        <v>1200000</v>
      </c>
      <c r="C213" s="4">
        <v>1200000</v>
      </c>
      <c r="D213" s="81">
        <v>2944462</v>
      </c>
      <c r="E213" s="195">
        <f t="shared" si="8"/>
        <v>245.37183333333331</v>
      </c>
    </row>
    <row r="214" spans="1:5">
      <c r="A214" s="108" t="s">
        <v>281</v>
      </c>
      <c r="B214" s="572">
        <f>SUM(B211:B213)</f>
        <v>1200000</v>
      </c>
      <c r="C214" s="8">
        <f>SUM(C211:C213)</f>
        <v>1200000</v>
      </c>
      <c r="D214" s="179">
        <f>SUM(D211:D213)</f>
        <v>3564183</v>
      </c>
      <c r="E214" s="195">
        <f t="shared" si="8"/>
        <v>297.01525000000004</v>
      </c>
    </row>
    <row r="215" spans="1:5">
      <c r="A215" s="102" t="s">
        <v>280</v>
      </c>
      <c r="B215" s="574">
        <f>(B213+B209)*0.27</f>
        <v>351000</v>
      </c>
      <c r="C215" s="4">
        <v>351000</v>
      </c>
      <c r="D215" s="81">
        <v>267409</v>
      </c>
      <c r="E215" s="195">
        <f t="shared" si="8"/>
        <v>76.18490028490028</v>
      </c>
    </row>
    <row r="216" spans="1:5">
      <c r="A216" s="102" t="s">
        <v>342</v>
      </c>
      <c r="B216" s="249">
        <f>12700000+2160000-1697860-229-1-50637-148228</f>
        <v>12963045</v>
      </c>
      <c r="C216" s="4">
        <v>7523545</v>
      </c>
      <c r="D216" s="81">
        <v>793000</v>
      </c>
      <c r="E216" s="195">
        <f t="shared" si="8"/>
        <v>10.540243994021434</v>
      </c>
    </row>
    <row r="217" spans="1:5">
      <c r="A217" s="566" t="s">
        <v>355</v>
      </c>
      <c r="B217" s="574">
        <v>600000</v>
      </c>
      <c r="C217" s="4">
        <v>600000</v>
      </c>
      <c r="D217" s="81">
        <v>0</v>
      </c>
      <c r="E217" s="195">
        <f t="shared" si="8"/>
        <v>0</v>
      </c>
    </row>
    <row r="218" spans="1:5">
      <c r="A218" s="566" t="s">
        <v>354</v>
      </c>
      <c r="B218" s="574">
        <f>16660000-25000</f>
        <v>16635000</v>
      </c>
      <c r="C218" s="4">
        <v>16635000</v>
      </c>
      <c r="D218" s="81">
        <v>13902107</v>
      </c>
      <c r="E218" s="195">
        <f t="shared" si="8"/>
        <v>83.571427712654042</v>
      </c>
    </row>
    <row r="219" spans="1:5">
      <c r="A219" s="566" t="s">
        <v>413</v>
      </c>
      <c r="B219" s="574"/>
      <c r="C219" s="4"/>
      <c r="D219" s="81">
        <v>55570</v>
      </c>
      <c r="E219" s="195"/>
    </row>
    <row r="220" spans="1:5">
      <c r="A220" s="102" t="s">
        <v>341</v>
      </c>
      <c r="B220" s="574">
        <f>4000000+500000-100000</f>
        <v>4400000</v>
      </c>
      <c r="C220" s="4">
        <v>4400000</v>
      </c>
      <c r="D220" s="81">
        <v>1622363</v>
      </c>
      <c r="E220" s="195">
        <f t="shared" si="8"/>
        <v>36.871886363636364</v>
      </c>
    </row>
    <row r="221" spans="1:5">
      <c r="A221" s="102" t="s">
        <v>372</v>
      </c>
      <c r="B221" s="574"/>
      <c r="C221" s="4">
        <v>8684496</v>
      </c>
      <c r="D221" s="81">
        <v>8584496</v>
      </c>
      <c r="E221" s="195">
        <f t="shared" si="8"/>
        <v>98.848522700684072</v>
      </c>
    </row>
    <row r="222" spans="1:5">
      <c r="A222" s="102" t="s">
        <v>412</v>
      </c>
      <c r="B222" s="574"/>
      <c r="C222" s="4"/>
      <c r="D222" s="81">
        <f>168160+2000</f>
        <v>170160</v>
      </c>
      <c r="E222" s="195"/>
    </row>
    <row r="223" spans="1:5" ht="22.5">
      <c r="A223" s="113" t="s">
        <v>279</v>
      </c>
      <c r="B223" s="573">
        <f>SUM(B215:B220)</f>
        <v>34949045</v>
      </c>
      <c r="C223" s="8">
        <f>SUM(C215:C221)</f>
        <v>38194041</v>
      </c>
      <c r="D223" s="179">
        <f>SUM(D215:D222)</f>
        <v>25395105</v>
      </c>
      <c r="E223" s="213">
        <f t="shared" si="8"/>
        <v>66.489704506522358</v>
      </c>
    </row>
    <row r="224" spans="1:5">
      <c r="A224" s="112" t="s">
        <v>278</v>
      </c>
      <c r="B224" s="563">
        <f>B223+B214+B210</f>
        <v>36249045</v>
      </c>
      <c r="C224" s="267">
        <f t="shared" ref="C224:D224" si="9">C223+C214+C210</f>
        <v>39494041</v>
      </c>
      <c r="D224" s="267">
        <f t="shared" si="9"/>
        <v>29057684</v>
      </c>
      <c r="E224" s="213">
        <f t="shared" si="8"/>
        <v>73.574856520759681</v>
      </c>
    </row>
    <row r="225" spans="1:5">
      <c r="A225" s="112"/>
      <c r="B225" s="563"/>
      <c r="C225" s="14"/>
      <c r="D225" s="81"/>
      <c r="E225" s="213"/>
    </row>
    <row r="226" spans="1:5">
      <c r="A226" s="564" t="s">
        <v>274</v>
      </c>
      <c r="B226" s="563">
        <f>B224+B200+B206</f>
        <v>45805045</v>
      </c>
      <c r="C226" s="8">
        <v>55118268</v>
      </c>
      <c r="D226" s="179">
        <f>D224+D206+D200</f>
        <v>45410987</v>
      </c>
      <c r="E226" s="213">
        <f t="shared" si="8"/>
        <v>82.388269166948419</v>
      </c>
    </row>
    <row r="227" spans="1:5">
      <c r="A227" s="564"/>
      <c r="B227" s="563"/>
      <c r="C227" s="14"/>
      <c r="D227" s="81"/>
      <c r="E227" s="81"/>
    </row>
    <row r="228" spans="1:5">
      <c r="A228" s="580" t="s">
        <v>373</v>
      </c>
      <c r="B228" s="581"/>
      <c r="C228" s="275"/>
      <c r="D228" s="296"/>
      <c r="E228" s="297"/>
    </row>
    <row r="229" spans="1:5">
      <c r="A229" s="564"/>
      <c r="B229" s="563"/>
      <c r="C229" s="14"/>
      <c r="D229" s="81"/>
      <c r="E229" s="81"/>
    </row>
    <row r="230" spans="1:5">
      <c r="A230" s="582" t="s">
        <v>318</v>
      </c>
      <c r="B230" s="563"/>
      <c r="C230" s="4">
        <v>1520000</v>
      </c>
      <c r="D230" s="81">
        <v>1528847</v>
      </c>
      <c r="E230" s="195">
        <f t="shared" ref="E230:E242" si="10">D230/C230*100</f>
        <v>100.5820394736842</v>
      </c>
    </row>
    <row r="231" spans="1:5">
      <c r="A231" s="582" t="s">
        <v>280</v>
      </c>
      <c r="B231" s="563"/>
      <c r="C231" s="4">
        <v>410400</v>
      </c>
      <c r="D231" s="81">
        <v>412789</v>
      </c>
      <c r="E231" s="195">
        <f t="shared" si="10"/>
        <v>100.58211500974659</v>
      </c>
    </row>
    <row r="232" spans="1:5">
      <c r="A232" s="291" t="s">
        <v>281</v>
      </c>
      <c r="B232" s="563"/>
      <c r="C232" s="8">
        <f>SUM(C230:C231)</f>
        <v>1930400</v>
      </c>
      <c r="D232" s="179">
        <f>SUM(D230:D231)</f>
        <v>1941636</v>
      </c>
      <c r="E232" s="213">
        <f t="shared" si="10"/>
        <v>100.58205553253212</v>
      </c>
    </row>
    <row r="233" spans="1:5">
      <c r="A233" s="582"/>
      <c r="B233" s="563"/>
      <c r="C233" s="4"/>
      <c r="D233" s="81"/>
      <c r="E233" s="213"/>
    </row>
    <row r="234" spans="1:5">
      <c r="A234" s="291" t="s">
        <v>273</v>
      </c>
      <c r="B234" s="563"/>
      <c r="C234" s="8">
        <v>1930400</v>
      </c>
      <c r="D234" s="179">
        <f>D232</f>
        <v>1941636</v>
      </c>
      <c r="E234" s="213">
        <f t="shared" si="10"/>
        <v>100.58205553253212</v>
      </c>
    </row>
    <row r="235" spans="1:5">
      <c r="A235" s="291" t="s">
        <v>274</v>
      </c>
      <c r="B235" s="563"/>
      <c r="C235" s="8">
        <v>1930400</v>
      </c>
      <c r="D235" s="179">
        <f>D234</f>
        <v>1941636</v>
      </c>
      <c r="E235" s="213">
        <f t="shared" si="10"/>
        <v>100.58205553253212</v>
      </c>
    </row>
    <row r="236" spans="1:5">
      <c r="A236" s="291"/>
      <c r="B236" s="563"/>
      <c r="C236" s="4"/>
      <c r="D236" s="179"/>
      <c r="E236" s="213"/>
    </row>
    <row r="237" spans="1:5">
      <c r="A237" s="291"/>
      <c r="B237" s="563"/>
      <c r="C237" s="4"/>
      <c r="D237" s="179"/>
      <c r="E237" s="213"/>
    </row>
    <row r="238" spans="1:5">
      <c r="A238" s="559" t="s">
        <v>272</v>
      </c>
      <c r="B238" s="562">
        <f>B30+B77+B120+B200+B151+B103</f>
        <v>62514000</v>
      </c>
      <c r="C238" s="8">
        <v>109407532</v>
      </c>
      <c r="D238" s="262">
        <f>D30+D77+D120+D200+D151+D103</f>
        <v>107853767</v>
      </c>
      <c r="E238" s="213">
        <f t="shared" si="10"/>
        <v>98.579837263854913</v>
      </c>
    </row>
    <row r="239" spans="1:5">
      <c r="A239" s="559" t="s">
        <v>271</v>
      </c>
      <c r="B239" s="562">
        <f>B33+B83+B123+B206+B157+B108</f>
        <v>14362000</v>
      </c>
      <c r="C239" s="8">
        <v>21071788</v>
      </c>
      <c r="D239" s="262">
        <f>D33+D83+D123+D206+D157+D108</f>
        <v>20835891</v>
      </c>
      <c r="E239" s="213">
        <f t="shared" si="10"/>
        <v>98.880507909437966</v>
      </c>
    </row>
    <row r="240" spans="1:5">
      <c r="A240" s="112" t="s">
        <v>273</v>
      </c>
      <c r="B240" s="562">
        <f>B15+B24+B53+B68+B138+B224+B184</f>
        <v>84757625</v>
      </c>
      <c r="C240" s="8">
        <v>102351575</v>
      </c>
      <c r="D240" s="262">
        <f>D15+D24+D53+D68+D138+D224+D184+D97+D234</f>
        <v>92440056</v>
      </c>
      <c r="E240" s="213">
        <f t="shared" si="10"/>
        <v>90.316202755062633</v>
      </c>
    </row>
    <row r="241" spans="1:5">
      <c r="A241" s="112" t="s">
        <v>353</v>
      </c>
      <c r="B241" s="562">
        <f>'[2]4_ melléklet'!B4</f>
        <v>77288658</v>
      </c>
      <c r="C241" s="8">
        <v>88168203</v>
      </c>
      <c r="D241" s="262">
        <f>'4_ melléklet'!D7</f>
        <v>81339911</v>
      </c>
      <c r="E241" s="213">
        <f t="shared" si="10"/>
        <v>92.255380321179956</v>
      </c>
    </row>
    <row r="242" spans="1:5" ht="33.75">
      <c r="A242" s="266" t="s">
        <v>907</v>
      </c>
      <c r="B242" s="562">
        <f>SUM(B238:B241)</f>
        <v>238922283</v>
      </c>
      <c r="C242" s="8">
        <v>320999098</v>
      </c>
      <c r="D242" s="179">
        <f>D238+D239+D240+D241</f>
        <v>302469625</v>
      </c>
      <c r="E242" s="213">
        <f t="shared" si="10"/>
        <v>94.227562284302749</v>
      </c>
    </row>
    <row r="243" spans="1:5">
      <c r="A243" s="266"/>
      <c r="B243" s="562"/>
      <c r="C243" s="14"/>
      <c r="D243" s="81"/>
      <c r="E243" s="179"/>
    </row>
    <row r="244" spans="1:5">
      <c r="A244" s="266"/>
      <c r="B244" s="562"/>
      <c r="C244" s="14"/>
      <c r="D244" s="81"/>
      <c r="E244" s="81"/>
    </row>
    <row r="245" spans="1:5">
      <c r="A245" s="656" t="s">
        <v>352</v>
      </c>
      <c r="B245" s="656"/>
      <c r="C245" s="656"/>
      <c r="D245" s="656"/>
      <c r="E245" s="656"/>
    </row>
    <row r="246" spans="1:5">
      <c r="A246" s="583"/>
      <c r="B246" s="562"/>
      <c r="C246" s="14"/>
      <c r="D246" s="81"/>
      <c r="E246" s="81"/>
    </row>
    <row r="247" spans="1:5">
      <c r="A247" s="657" t="s">
        <v>39</v>
      </c>
      <c r="B247" s="657"/>
      <c r="C247" s="657"/>
      <c r="D247" s="657"/>
      <c r="E247" s="657"/>
    </row>
    <row r="248" spans="1:5" ht="14.25">
      <c r="A248" s="584"/>
      <c r="B248" s="562"/>
      <c r="C248" s="14"/>
      <c r="D248" s="81"/>
      <c r="E248" s="81"/>
    </row>
    <row r="249" spans="1:5" ht="24.75" customHeight="1">
      <c r="A249" s="651" t="s">
        <v>374</v>
      </c>
      <c r="B249" s="654"/>
      <c r="C249" s="275"/>
      <c r="D249" s="296"/>
      <c r="E249" s="297"/>
    </row>
    <row r="250" spans="1:5">
      <c r="A250" s="273" t="s">
        <v>351</v>
      </c>
      <c r="B250" s="567">
        <v>9727000</v>
      </c>
      <c r="C250" s="4">
        <v>9869800</v>
      </c>
      <c r="D250" s="81">
        <v>9053360</v>
      </c>
      <c r="E250" s="195">
        <f t="shared" ref="E250:E282" si="11">D250/C250*100</f>
        <v>91.727897221828201</v>
      </c>
    </row>
    <row r="251" spans="1:5">
      <c r="A251" s="273" t="s">
        <v>436</v>
      </c>
      <c r="B251" s="567"/>
      <c r="C251" s="4"/>
      <c r="D251" s="81">
        <v>264200</v>
      </c>
      <c r="E251" s="195"/>
    </row>
    <row r="252" spans="1:5">
      <c r="A252" s="570" t="s">
        <v>350</v>
      </c>
      <c r="B252" s="567">
        <v>126000</v>
      </c>
      <c r="C252" s="4">
        <v>126000</v>
      </c>
      <c r="D252" s="81">
        <v>48663</v>
      </c>
      <c r="E252" s="195">
        <f t="shared" si="11"/>
        <v>38.621428571428574</v>
      </c>
    </row>
    <row r="253" spans="1:5">
      <c r="A253" s="570" t="s">
        <v>375</v>
      </c>
      <c r="B253" s="567"/>
      <c r="C253" s="4">
        <v>153300</v>
      </c>
      <c r="D253" s="81">
        <v>384583</v>
      </c>
      <c r="E253" s="195">
        <f t="shared" si="11"/>
        <v>250.86953685583825</v>
      </c>
    </row>
    <row r="254" spans="1:5">
      <c r="A254" s="570" t="s">
        <v>313</v>
      </c>
      <c r="B254" s="567"/>
      <c r="C254" s="4"/>
      <c r="D254" s="81">
        <v>754300</v>
      </c>
      <c r="E254" s="195"/>
    </row>
    <row r="255" spans="1:5">
      <c r="A255" s="559" t="s">
        <v>272</v>
      </c>
      <c r="B255" s="560">
        <f>SUM(B250:B252)</f>
        <v>9853000</v>
      </c>
      <c r="C255" s="8">
        <f>SUM(C250:C253)</f>
        <v>10149100</v>
      </c>
      <c r="D255" s="179">
        <f>SUM(D250:D254)</f>
        <v>10505106</v>
      </c>
      <c r="E255" s="213">
        <f t="shared" si="11"/>
        <v>103.50775930870716</v>
      </c>
    </row>
    <row r="256" spans="1:5">
      <c r="A256" s="559"/>
      <c r="B256" s="560"/>
      <c r="C256" s="14"/>
      <c r="D256" s="81"/>
      <c r="E256" s="195"/>
    </row>
    <row r="257" spans="1:5">
      <c r="A257" s="273" t="s">
        <v>275</v>
      </c>
      <c r="B257" s="567">
        <v>2660000</v>
      </c>
      <c r="C257" s="4">
        <v>2739947</v>
      </c>
      <c r="D257" s="81">
        <v>2790528</v>
      </c>
      <c r="E257" s="195">
        <f t="shared" si="11"/>
        <v>101.84605760622377</v>
      </c>
    </row>
    <row r="258" spans="1:5">
      <c r="A258" s="273" t="s">
        <v>305</v>
      </c>
      <c r="B258" s="567">
        <v>20000</v>
      </c>
      <c r="C258" s="4">
        <v>20000</v>
      </c>
      <c r="D258" s="81">
        <v>502689</v>
      </c>
      <c r="E258" s="195">
        <f t="shared" si="11"/>
        <v>2513.4450000000002</v>
      </c>
    </row>
    <row r="259" spans="1:5">
      <c r="A259" s="273" t="s">
        <v>304</v>
      </c>
      <c r="B259" s="567"/>
      <c r="C259" s="4"/>
      <c r="D259" s="81">
        <v>493698</v>
      </c>
      <c r="E259" s="195"/>
    </row>
    <row r="260" spans="1:5">
      <c r="A260" s="273" t="s">
        <v>408</v>
      </c>
      <c r="B260" s="567"/>
      <c r="C260" s="4"/>
      <c r="D260" s="81">
        <v>16418</v>
      </c>
      <c r="E260" s="195"/>
    </row>
    <row r="261" spans="1:5">
      <c r="A261" s="559" t="s">
        <v>271</v>
      </c>
      <c r="B261" s="560">
        <f>SUM(B257:B258)</f>
        <v>2680000</v>
      </c>
      <c r="C261" s="8">
        <f>SUM(C257:C258)</f>
        <v>2759947</v>
      </c>
      <c r="D261" s="179">
        <f>SUM(D257:D260)</f>
        <v>3803333</v>
      </c>
      <c r="E261" s="213">
        <f t="shared" si="11"/>
        <v>137.80456653696612</v>
      </c>
    </row>
    <row r="262" spans="1:5">
      <c r="A262" s="559"/>
      <c r="B262" s="562"/>
      <c r="C262" s="14"/>
      <c r="D262" s="81"/>
      <c r="E262" s="195"/>
    </row>
    <row r="263" spans="1:5">
      <c r="A263" s="273" t="s">
        <v>311</v>
      </c>
      <c r="B263" s="561"/>
      <c r="C263" s="14"/>
      <c r="D263" s="81">
        <v>29872</v>
      </c>
      <c r="E263" s="195"/>
    </row>
    <row r="264" spans="1:5">
      <c r="A264" s="102" t="s">
        <v>301</v>
      </c>
      <c r="B264" s="574">
        <v>20000</v>
      </c>
      <c r="C264" s="4">
        <v>20000</v>
      </c>
      <c r="D264" s="81"/>
      <c r="E264" s="195">
        <f t="shared" si="11"/>
        <v>0</v>
      </c>
    </row>
    <row r="265" spans="1:5">
      <c r="A265" s="102" t="s">
        <v>300</v>
      </c>
      <c r="B265" s="574">
        <v>70000</v>
      </c>
      <c r="C265" s="4">
        <v>70000</v>
      </c>
      <c r="D265" s="81">
        <f>23118+51220</f>
        <v>74338</v>
      </c>
      <c r="E265" s="195">
        <f t="shared" si="11"/>
        <v>106.19714285714285</v>
      </c>
    </row>
    <row r="266" spans="1:5">
      <c r="A266" s="102" t="s">
        <v>299</v>
      </c>
      <c r="B266" s="574">
        <v>1300000</v>
      </c>
      <c r="C266" s="4">
        <v>1300000</v>
      </c>
      <c r="D266" s="81">
        <f>204506+1331+1551095</f>
        <v>1756932</v>
      </c>
      <c r="E266" s="195">
        <f t="shared" si="11"/>
        <v>135.14861538461537</v>
      </c>
    </row>
    <row r="267" spans="1:5">
      <c r="A267" s="113" t="s">
        <v>298</v>
      </c>
      <c r="B267" s="573">
        <f>SUM(B264:B266)</f>
        <v>1390000</v>
      </c>
      <c r="C267" s="8">
        <f>SUM(C264:C266)</f>
        <v>1390000</v>
      </c>
      <c r="D267" s="179">
        <f>SUM(D263:D266)</f>
        <v>1861142</v>
      </c>
      <c r="E267" s="213">
        <f t="shared" si="11"/>
        <v>133.89510791366908</v>
      </c>
    </row>
    <row r="268" spans="1:5">
      <c r="A268" s="91" t="s">
        <v>316</v>
      </c>
      <c r="B268" s="574">
        <f>70000*34*2.1</f>
        <v>4998000</v>
      </c>
      <c r="C268" s="4">
        <v>4998000</v>
      </c>
      <c r="D268" s="81">
        <f>1279319+1350670</f>
        <v>2629989</v>
      </c>
      <c r="E268" s="195">
        <f t="shared" si="11"/>
        <v>52.62082833133254</v>
      </c>
    </row>
    <row r="269" spans="1:5">
      <c r="A269" s="102" t="s">
        <v>296</v>
      </c>
      <c r="B269" s="574">
        <v>2500000</v>
      </c>
      <c r="C269" s="4">
        <v>4200000</v>
      </c>
      <c r="D269" s="81">
        <f>34677+7484327</f>
        <v>7519004</v>
      </c>
      <c r="E269" s="195">
        <f t="shared" si="11"/>
        <v>179.02390476190476</v>
      </c>
    </row>
    <row r="270" spans="1:5">
      <c r="A270" s="102" t="s">
        <v>285</v>
      </c>
      <c r="B270" s="574">
        <v>2600000</v>
      </c>
      <c r="C270" s="4">
        <v>2865000</v>
      </c>
      <c r="D270" s="81">
        <f>736323+2555971</f>
        <v>3292294</v>
      </c>
      <c r="E270" s="195">
        <f t="shared" si="11"/>
        <v>114.9142757417103</v>
      </c>
    </row>
    <row r="271" spans="1:5">
      <c r="A271" s="102" t="s">
        <v>284</v>
      </c>
      <c r="B271" s="574">
        <v>1200000</v>
      </c>
      <c r="C271" s="4">
        <v>1200000</v>
      </c>
      <c r="D271" s="81">
        <f>312874+693284</f>
        <v>1006158</v>
      </c>
      <c r="E271" s="195">
        <f t="shared" si="11"/>
        <v>83.846500000000006</v>
      </c>
    </row>
    <row r="272" spans="1:5">
      <c r="A272" s="108" t="s">
        <v>283</v>
      </c>
      <c r="B272" s="573">
        <f>SUM(B268:B271)</f>
        <v>11298000</v>
      </c>
      <c r="C272" s="8">
        <v>13263000</v>
      </c>
      <c r="D272" s="179">
        <f>SUM(D268:D271)</f>
        <v>14447445</v>
      </c>
      <c r="E272" s="213">
        <f t="shared" si="11"/>
        <v>108.93044560054285</v>
      </c>
    </row>
    <row r="273" spans="1:8">
      <c r="A273" s="102" t="s">
        <v>295</v>
      </c>
      <c r="B273" s="574">
        <v>300000</v>
      </c>
      <c r="C273" s="4">
        <v>300000</v>
      </c>
      <c r="D273" s="81">
        <f>64770+279384</f>
        <v>344154</v>
      </c>
      <c r="E273" s="195">
        <f t="shared" si="11"/>
        <v>114.718</v>
      </c>
    </row>
    <row r="274" spans="1:8" ht="22.5">
      <c r="A274" s="102" t="s">
        <v>293</v>
      </c>
      <c r="B274" s="574">
        <v>600000</v>
      </c>
      <c r="C274" s="4">
        <v>600000</v>
      </c>
      <c r="D274" s="81">
        <f>235432+344764</f>
        <v>580196</v>
      </c>
      <c r="E274" s="195">
        <f t="shared" si="11"/>
        <v>96.699333333333342</v>
      </c>
    </row>
    <row r="275" spans="1:8">
      <c r="A275" s="108" t="s">
        <v>281</v>
      </c>
      <c r="B275" s="573">
        <f>SUM(B273:B274)</f>
        <v>900000</v>
      </c>
      <c r="C275" s="8">
        <v>900000</v>
      </c>
      <c r="D275" s="179">
        <f>SUM(D273:D274)</f>
        <v>924350</v>
      </c>
      <c r="E275" s="213">
        <f t="shared" si="11"/>
        <v>102.70555555555556</v>
      </c>
    </row>
    <row r="276" spans="1:8">
      <c r="A276" s="102" t="s">
        <v>280</v>
      </c>
      <c r="B276" s="574">
        <f>(B264+B265+B266+B269+B270+B271+B273+B274)*0.27+B268*0.05</f>
        <v>2569200</v>
      </c>
      <c r="C276" s="4">
        <v>3015120</v>
      </c>
      <c r="D276" s="81">
        <f>480446+3476747</f>
        <v>3957193</v>
      </c>
      <c r="E276" s="195">
        <f t="shared" si="11"/>
        <v>131.24495874127732</v>
      </c>
    </row>
    <row r="277" spans="1:8">
      <c r="A277" s="102" t="s">
        <v>427</v>
      </c>
      <c r="B277" s="574"/>
      <c r="C277" s="4"/>
      <c r="D277" s="81">
        <v>187000</v>
      </c>
      <c r="E277" s="195"/>
    </row>
    <row r="278" spans="1:8" ht="22.5">
      <c r="A278" s="113" t="s">
        <v>279</v>
      </c>
      <c r="B278" s="573">
        <f>SUM(B276)</f>
        <v>2569200</v>
      </c>
      <c r="C278" s="8">
        <v>3015120</v>
      </c>
      <c r="D278" s="179">
        <f>SUM(D276:D277)</f>
        <v>4144193</v>
      </c>
      <c r="E278" s="213">
        <f t="shared" si="11"/>
        <v>137.4470336172358</v>
      </c>
    </row>
    <row r="279" spans="1:8">
      <c r="A279" s="113"/>
      <c r="B279" s="574"/>
      <c r="C279" s="14"/>
      <c r="D279" s="81"/>
      <c r="E279" s="195"/>
    </row>
    <row r="280" spans="1:8">
      <c r="A280" s="112" t="s">
        <v>278</v>
      </c>
      <c r="B280" s="573">
        <f>B267+B272+B275+B278</f>
        <v>16157200</v>
      </c>
      <c r="C280" s="8">
        <v>18568120</v>
      </c>
      <c r="D280" s="179">
        <f>D267+D272+D275+D278</f>
        <v>21377130</v>
      </c>
      <c r="E280" s="213">
        <f t="shared" si="11"/>
        <v>115.12813359672384</v>
      </c>
      <c r="G280" s="229">
        <v>3371465</v>
      </c>
    </row>
    <row r="281" spans="1:8">
      <c r="A281" s="112"/>
      <c r="B281" s="573"/>
      <c r="C281" s="14"/>
      <c r="D281" s="179"/>
      <c r="E281" s="195"/>
      <c r="G281" s="229">
        <f>32465513-151409</f>
        <v>32314104</v>
      </c>
    </row>
    <row r="282" spans="1:8">
      <c r="A282" s="564" t="s">
        <v>274</v>
      </c>
      <c r="B282" s="573">
        <f>B255+B261+B280</f>
        <v>28690200</v>
      </c>
      <c r="C282" s="8">
        <v>31477167</v>
      </c>
      <c r="D282" s="179">
        <f>D280+D261+D255</f>
        <v>35685569</v>
      </c>
      <c r="E282" s="213">
        <f t="shared" si="11"/>
        <v>113.36969746991525</v>
      </c>
      <c r="G282" s="229">
        <f>SUM(G280:G281)</f>
        <v>35685569</v>
      </c>
      <c r="H282" s="27"/>
    </row>
    <row r="283" spans="1:8">
      <c r="A283" s="564"/>
      <c r="B283" s="563"/>
      <c r="C283" s="14"/>
      <c r="D283" s="81"/>
      <c r="E283" s="81"/>
    </row>
    <row r="284" spans="1:8">
      <c r="A284" s="273"/>
      <c r="B284" s="567"/>
      <c r="C284" s="14"/>
      <c r="D284" s="81"/>
      <c r="E284" s="81"/>
    </row>
    <row r="285" spans="1:8">
      <c r="A285" s="651" t="s">
        <v>349</v>
      </c>
      <c r="B285" s="654"/>
      <c r="C285" s="275"/>
      <c r="D285" s="296"/>
      <c r="E285" s="297"/>
    </row>
    <row r="286" spans="1:8">
      <c r="A286" s="569"/>
      <c r="B286" s="576"/>
      <c r="C286" s="14"/>
      <c r="D286" s="81"/>
      <c r="E286" s="81"/>
    </row>
    <row r="287" spans="1:8">
      <c r="A287" s="559"/>
      <c r="B287" s="560"/>
      <c r="C287" s="14"/>
      <c r="D287" s="81"/>
      <c r="E287" s="81"/>
    </row>
    <row r="288" spans="1:8">
      <c r="A288" s="102" t="s">
        <v>330</v>
      </c>
      <c r="B288" s="571">
        <v>1810000</v>
      </c>
      <c r="C288" s="4">
        <v>1810000</v>
      </c>
      <c r="D288" s="81">
        <f>477229+181431+173656</f>
        <v>832316</v>
      </c>
      <c r="E288" s="195">
        <f>D288/C288*100</f>
        <v>45.984309392265196</v>
      </c>
    </row>
    <row r="289" spans="1:5">
      <c r="A289" s="102" t="s">
        <v>299</v>
      </c>
      <c r="B289" s="571">
        <v>250000</v>
      </c>
      <c r="C289" s="4">
        <v>250000</v>
      </c>
      <c r="D289" s="81">
        <v>18507</v>
      </c>
      <c r="E289" s="195">
        <f t="shared" ref="E289:E306" si="12">D289/C289*100</f>
        <v>7.4028</v>
      </c>
    </row>
    <row r="290" spans="1:5">
      <c r="A290" s="113" t="s">
        <v>298</v>
      </c>
      <c r="B290" s="572">
        <f>SUM(B288:B289)</f>
        <v>2060000</v>
      </c>
      <c r="C290" s="8">
        <f>SUM(C288:C289)</f>
        <v>2060000</v>
      </c>
      <c r="D290" s="179">
        <f>SUM(D288:D289)</f>
        <v>850823</v>
      </c>
      <c r="E290" s="213">
        <f t="shared" si="12"/>
        <v>41.302087378640778</v>
      </c>
    </row>
    <row r="291" spans="1:5">
      <c r="A291" s="102" t="s">
        <v>296</v>
      </c>
      <c r="B291" s="571">
        <v>300000</v>
      </c>
      <c r="C291" s="4">
        <v>300000</v>
      </c>
      <c r="D291" s="81">
        <v>593252</v>
      </c>
      <c r="E291" s="195">
        <f t="shared" si="12"/>
        <v>197.75066666666669</v>
      </c>
    </row>
    <row r="292" spans="1:5">
      <c r="A292" s="102" t="s">
        <v>285</v>
      </c>
      <c r="B292" s="571">
        <v>600000</v>
      </c>
      <c r="C292" s="4">
        <v>600000</v>
      </c>
      <c r="D292" s="81">
        <v>456390</v>
      </c>
      <c r="E292" s="195">
        <f t="shared" si="12"/>
        <v>76.064999999999998</v>
      </c>
    </row>
    <row r="293" spans="1:5">
      <c r="A293" s="102" t="s">
        <v>284</v>
      </c>
      <c r="B293" s="571">
        <v>300000</v>
      </c>
      <c r="C293" s="4">
        <v>300000</v>
      </c>
      <c r="D293" s="81">
        <v>365359</v>
      </c>
      <c r="E293" s="195">
        <f t="shared" si="12"/>
        <v>121.78633333333333</v>
      </c>
    </row>
    <row r="294" spans="1:5">
      <c r="A294" s="108" t="s">
        <v>283</v>
      </c>
      <c r="B294" s="573">
        <f>SUM(B291:B293)</f>
        <v>1200000</v>
      </c>
      <c r="C294" s="8">
        <f>SUM(C291:C293)</f>
        <v>1200000</v>
      </c>
      <c r="D294" s="179">
        <f>SUM(D291:D293)</f>
        <v>1415001</v>
      </c>
      <c r="E294" s="213">
        <f t="shared" si="12"/>
        <v>117.91674999999999</v>
      </c>
    </row>
    <row r="295" spans="1:5">
      <c r="A295" s="102" t="s">
        <v>295</v>
      </c>
      <c r="B295" s="574">
        <v>150000</v>
      </c>
      <c r="C295" s="4">
        <v>150000</v>
      </c>
      <c r="D295" s="81">
        <v>171539</v>
      </c>
      <c r="E295" s="195">
        <f t="shared" si="12"/>
        <v>114.35933333333332</v>
      </c>
    </row>
    <row r="296" spans="1:5">
      <c r="A296" s="102" t="s">
        <v>348</v>
      </c>
      <c r="B296" s="574">
        <v>100000</v>
      </c>
      <c r="C296" s="4">
        <v>100000</v>
      </c>
      <c r="D296" s="81">
        <v>0</v>
      </c>
      <c r="E296" s="195">
        <f t="shared" si="12"/>
        <v>0</v>
      </c>
    </row>
    <row r="297" spans="1:5" ht="22.5">
      <c r="A297" s="102" t="s">
        <v>293</v>
      </c>
      <c r="B297" s="574">
        <v>300000</v>
      </c>
      <c r="C297" s="4">
        <v>300000</v>
      </c>
      <c r="D297" s="81">
        <v>131030</v>
      </c>
      <c r="E297" s="195">
        <f t="shared" si="12"/>
        <v>43.676666666666669</v>
      </c>
    </row>
    <row r="298" spans="1:5">
      <c r="A298" s="108" t="s">
        <v>281</v>
      </c>
      <c r="B298" s="573">
        <f>SUM(B295:B297)</f>
        <v>550000</v>
      </c>
      <c r="C298" s="8">
        <f>SUM(C295:C297)</f>
        <v>550000</v>
      </c>
      <c r="D298" s="179">
        <f>SUM(D295:D297)</f>
        <v>302569</v>
      </c>
      <c r="E298" s="213">
        <f t="shared" si="12"/>
        <v>55.01254545454546</v>
      </c>
    </row>
    <row r="299" spans="1:5">
      <c r="A299" s="102" t="s">
        <v>280</v>
      </c>
      <c r="B299" s="574">
        <f>(+B288+B291+B292+B293+B295+B289+B296+B297)*0.27</f>
        <v>1028700.0000000001</v>
      </c>
      <c r="C299" s="4">
        <v>1028700</v>
      </c>
      <c r="D299" s="81">
        <f>90786+583923</f>
        <v>674709</v>
      </c>
      <c r="E299" s="195">
        <f t="shared" si="12"/>
        <v>65.588509769612131</v>
      </c>
    </row>
    <row r="300" spans="1:5">
      <c r="A300" s="102" t="s">
        <v>427</v>
      </c>
      <c r="B300" s="574"/>
      <c r="C300" s="4"/>
      <c r="D300" s="81">
        <v>86000</v>
      </c>
      <c r="E300" s="195"/>
    </row>
    <row r="301" spans="1:5">
      <c r="A301" s="102" t="s">
        <v>341</v>
      </c>
      <c r="B301" s="574">
        <v>500000</v>
      </c>
      <c r="C301" s="4">
        <v>500000</v>
      </c>
      <c r="D301" s="81">
        <v>528820</v>
      </c>
      <c r="E301" s="195">
        <f t="shared" si="12"/>
        <v>105.764</v>
      </c>
    </row>
    <row r="302" spans="1:5" ht="22.5">
      <c r="A302" s="113" t="s">
        <v>279</v>
      </c>
      <c r="B302" s="573">
        <f>SUM(B299:B301)</f>
        <v>1528700</v>
      </c>
      <c r="C302" s="8">
        <f>SUM(C299:C301)</f>
        <v>1528700</v>
      </c>
      <c r="D302" s="179">
        <f>SUM(D299:D301)</f>
        <v>1289529</v>
      </c>
      <c r="E302" s="213">
        <f t="shared" si="12"/>
        <v>84.354615032380451</v>
      </c>
    </row>
    <row r="303" spans="1:5">
      <c r="A303" s="113"/>
      <c r="B303" s="562"/>
      <c r="C303" s="14"/>
      <c r="D303" s="81"/>
      <c r="E303" s="195"/>
    </row>
    <row r="304" spans="1:5">
      <c r="A304" s="112" t="s">
        <v>278</v>
      </c>
      <c r="B304" s="562">
        <f>+B290+B294+B298+B302</f>
        <v>5338700</v>
      </c>
      <c r="C304" s="8">
        <v>5338700</v>
      </c>
      <c r="D304" s="179">
        <f>D302+D298+D294+D290</f>
        <v>3857922</v>
      </c>
      <c r="E304" s="213">
        <f t="shared" si="12"/>
        <v>72.263322531702485</v>
      </c>
    </row>
    <row r="305" spans="1:5">
      <c r="A305" s="112"/>
      <c r="B305" s="561"/>
      <c r="C305" s="14"/>
      <c r="D305" s="179"/>
      <c r="E305" s="195"/>
    </row>
    <row r="306" spans="1:5">
      <c r="A306" s="564" t="s">
        <v>274</v>
      </c>
      <c r="B306" s="562">
        <f>B304</f>
        <v>5338700</v>
      </c>
      <c r="C306" s="8">
        <v>5338700</v>
      </c>
      <c r="D306" s="179">
        <f>D304</f>
        <v>3857922</v>
      </c>
      <c r="E306" s="213">
        <f t="shared" si="12"/>
        <v>72.263322531702485</v>
      </c>
    </row>
    <row r="307" spans="1:5">
      <c r="A307" s="564"/>
      <c r="B307" s="562"/>
      <c r="C307" s="14"/>
      <c r="D307" s="81"/>
      <c r="E307" s="81"/>
    </row>
    <row r="308" spans="1:5">
      <c r="A308" s="564"/>
      <c r="B308" s="562"/>
      <c r="C308" s="14"/>
      <c r="D308" s="81"/>
      <c r="E308" s="81"/>
    </row>
    <row r="309" spans="1:5">
      <c r="A309" s="656" t="s">
        <v>40</v>
      </c>
      <c r="B309" s="656"/>
      <c r="C309" s="656"/>
      <c r="D309" s="656"/>
      <c r="E309" s="656"/>
    </row>
    <row r="310" spans="1:5">
      <c r="A310" s="564"/>
      <c r="B310" s="562"/>
      <c r="C310" s="14"/>
      <c r="D310" s="81"/>
      <c r="E310" s="81"/>
    </row>
    <row r="311" spans="1:5" ht="24.75" customHeight="1">
      <c r="A311" s="651" t="s">
        <v>105</v>
      </c>
      <c r="B311" s="654"/>
      <c r="C311" s="275"/>
      <c r="D311" s="296"/>
      <c r="E311" s="297"/>
    </row>
    <row r="312" spans="1:5">
      <c r="A312" s="273"/>
      <c r="B312" s="567"/>
      <c r="C312" s="14"/>
      <c r="D312" s="81"/>
      <c r="E312" s="81"/>
    </row>
    <row r="313" spans="1:5">
      <c r="A313" s="273" t="s">
        <v>377</v>
      </c>
      <c r="B313" s="567"/>
      <c r="C313" s="4">
        <v>1578066</v>
      </c>
      <c r="D313" s="81">
        <v>0</v>
      </c>
      <c r="E313" s="195">
        <f t="shared" ref="E313:E360" si="13">D313/C313*100</f>
        <v>0</v>
      </c>
    </row>
    <row r="314" spans="1:5">
      <c r="A314" s="273" t="s">
        <v>376</v>
      </c>
      <c r="B314" s="567">
        <v>52678000</v>
      </c>
      <c r="C314" s="4">
        <v>47691300</v>
      </c>
      <c r="D314" s="81">
        <f>45963401+1376151</f>
        <v>47339552</v>
      </c>
      <c r="E314" s="195">
        <f t="shared" si="13"/>
        <v>99.262448287213815</v>
      </c>
    </row>
    <row r="315" spans="1:5">
      <c r="A315" s="273" t="s">
        <v>434</v>
      </c>
      <c r="B315" s="567"/>
      <c r="C315" s="4"/>
      <c r="D315" s="81">
        <v>944882</v>
      </c>
      <c r="E315" s="195"/>
    </row>
    <row r="316" spans="1:5">
      <c r="A316" s="273" t="s">
        <v>307</v>
      </c>
      <c r="B316" s="567"/>
      <c r="C316" s="4"/>
      <c r="D316" s="81">
        <v>1070000</v>
      </c>
      <c r="E316" s="195"/>
    </row>
    <row r="317" spans="1:5">
      <c r="A317" s="273" t="s">
        <v>347</v>
      </c>
      <c r="B317" s="567">
        <v>903000</v>
      </c>
      <c r="C317" s="4">
        <v>903000</v>
      </c>
      <c r="D317" s="81">
        <v>903280</v>
      </c>
      <c r="E317" s="195">
        <f t="shared" si="13"/>
        <v>100.03100775193798</v>
      </c>
    </row>
    <row r="318" spans="1:5">
      <c r="A318" s="570" t="s">
        <v>346</v>
      </c>
      <c r="B318" s="567">
        <v>337000</v>
      </c>
      <c r="C318" s="4">
        <v>337000</v>
      </c>
      <c r="D318" s="81">
        <v>337446</v>
      </c>
      <c r="E318" s="195">
        <f t="shared" si="13"/>
        <v>100.13234421364984</v>
      </c>
    </row>
    <row r="319" spans="1:5">
      <c r="A319" s="570" t="s">
        <v>323</v>
      </c>
      <c r="B319" s="567">
        <v>936000</v>
      </c>
      <c r="C319" s="4">
        <v>936000</v>
      </c>
      <c r="D319" s="81"/>
      <c r="E319" s="195">
        <f t="shared" si="13"/>
        <v>0</v>
      </c>
    </row>
    <row r="320" spans="1:5">
      <c r="A320" s="570" t="s">
        <v>361</v>
      </c>
      <c r="B320" s="567"/>
      <c r="C320" s="4"/>
      <c r="D320" s="81">
        <v>1496800</v>
      </c>
      <c r="E320" s="195"/>
    </row>
    <row r="321" spans="1:8">
      <c r="A321" s="570" t="s">
        <v>345</v>
      </c>
      <c r="B321" s="567">
        <v>2676000</v>
      </c>
      <c r="C321" s="4">
        <v>2527312</v>
      </c>
      <c r="D321" s="81">
        <f>1296555+1231186+6172+30000+303612</f>
        <v>2867525</v>
      </c>
      <c r="E321" s="195">
        <f t="shared" si="13"/>
        <v>113.46145628240598</v>
      </c>
    </row>
    <row r="322" spans="1:8">
      <c r="A322" s="570" t="s">
        <v>306</v>
      </c>
      <c r="B322" s="567">
        <v>1315000</v>
      </c>
      <c r="C322" s="4">
        <v>1315000</v>
      </c>
      <c r="D322" s="81">
        <f>275415+508055</f>
        <v>783470</v>
      </c>
      <c r="E322" s="195">
        <f t="shared" si="13"/>
        <v>59.579467680608367</v>
      </c>
    </row>
    <row r="323" spans="1:8" ht="22.5">
      <c r="A323" s="570" t="s">
        <v>314</v>
      </c>
      <c r="B323" s="567">
        <v>96000</v>
      </c>
      <c r="C323" s="4">
        <v>636600</v>
      </c>
      <c r="D323" s="81">
        <v>0</v>
      </c>
      <c r="E323" s="195">
        <f t="shared" si="13"/>
        <v>0</v>
      </c>
    </row>
    <row r="324" spans="1:8">
      <c r="A324" s="570" t="s">
        <v>344</v>
      </c>
      <c r="B324" s="567">
        <v>808000</v>
      </c>
      <c r="C324" s="4">
        <v>950000</v>
      </c>
      <c r="D324" s="81">
        <v>0</v>
      </c>
      <c r="E324" s="195">
        <f t="shared" si="13"/>
        <v>0</v>
      </c>
    </row>
    <row r="325" spans="1:8">
      <c r="A325" s="570" t="s">
        <v>415</v>
      </c>
      <c r="B325" s="567"/>
      <c r="C325" s="4"/>
      <c r="D325" s="81">
        <v>1270808</v>
      </c>
      <c r="E325" s="195"/>
    </row>
    <row r="326" spans="1:8">
      <c r="A326" s="570" t="s">
        <v>327</v>
      </c>
      <c r="B326" s="567">
        <v>950000</v>
      </c>
      <c r="C326" s="4">
        <v>1200000</v>
      </c>
      <c r="D326" s="81">
        <v>787564</v>
      </c>
      <c r="E326" s="195">
        <f t="shared" si="13"/>
        <v>65.63033333333334</v>
      </c>
    </row>
    <row r="327" spans="1:8">
      <c r="A327" s="570" t="s">
        <v>313</v>
      </c>
      <c r="B327" s="567">
        <v>500000</v>
      </c>
      <c r="C327" s="4">
        <v>944882</v>
      </c>
      <c r="D327" s="81">
        <f>364297+219900</f>
        <v>584197</v>
      </c>
      <c r="E327" s="195">
        <f t="shared" si="13"/>
        <v>61.827508620123993</v>
      </c>
    </row>
    <row r="328" spans="1:8">
      <c r="A328" s="559" t="s">
        <v>272</v>
      </c>
      <c r="B328" s="560">
        <f>SUM(B314:B327)</f>
        <v>61199000</v>
      </c>
      <c r="C328" s="8">
        <f>SUM(C313:C327)</f>
        <v>59019160</v>
      </c>
      <c r="D328" s="179">
        <f>SUM(D313:D327)</f>
        <v>58385524</v>
      </c>
      <c r="E328" s="213">
        <f t="shared" si="13"/>
        <v>98.926389328482472</v>
      </c>
    </row>
    <row r="329" spans="1:8">
      <c r="A329" s="559"/>
      <c r="B329" s="560"/>
      <c r="C329" s="14"/>
      <c r="D329" s="81"/>
      <c r="E329" s="195"/>
    </row>
    <row r="330" spans="1:8">
      <c r="A330" s="273" t="s">
        <v>275</v>
      </c>
      <c r="B330" s="567">
        <v>15302000</v>
      </c>
      <c r="C330" s="4">
        <v>14745566</v>
      </c>
      <c r="D330" s="81">
        <v>14488585</v>
      </c>
      <c r="E330" s="195">
        <f t="shared" si="13"/>
        <v>98.25723203843107</v>
      </c>
    </row>
    <row r="331" spans="1:8">
      <c r="A331" s="273" t="s">
        <v>305</v>
      </c>
      <c r="B331" s="567">
        <v>1040000</v>
      </c>
      <c r="C331" s="4">
        <v>1015229</v>
      </c>
      <c r="D331" s="81">
        <v>403370</v>
      </c>
      <c r="E331" s="195">
        <f t="shared" si="13"/>
        <v>39.731922551463761</v>
      </c>
    </row>
    <row r="332" spans="1:8">
      <c r="A332" s="273" t="s">
        <v>304</v>
      </c>
      <c r="B332" s="567">
        <v>808000</v>
      </c>
      <c r="C332" s="4">
        <v>781459</v>
      </c>
      <c r="D332" s="81">
        <v>268840</v>
      </c>
      <c r="E332" s="195">
        <f t="shared" si="13"/>
        <v>34.402316692238493</v>
      </c>
    </row>
    <row r="333" spans="1:8">
      <c r="A333" s="559" t="s">
        <v>271</v>
      </c>
      <c r="B333" s="560">
        <f>SUM(B330:B332)</f>
        <v>17150000</v>
      </c>
      <c r="C333" s="8">
        <f>SUM(C330:C332)</f>
        <v>16542254</v>
      </c>
      <c r="D333" s="179">
        <f>SUM(D330:D332)</f>
        <v>15160795</v>
      </c>
      <c r="E333" s="213">
        <f t="shared" si="13"/>
        <v>91.648907095731929</v>
      </c>
    </row>
    <row r="334" spans="1:8">
      <c r="A334" s="559"/>
      <c r="B334" s="560"/>
      <c r="C334" s="14"/>
      <c r="D334" s="81"/>
      <c r="E334" s="195"/>
    </row>
    <row r="335" spans="1:8">
      <c r="A335" s="102" t="s">
        <v>310</v>
      </c>
      <c r="B335" s="571">
        <v>130000</v>
      </c>
      <c r="C335" s="4">
        <v>130000</v>
      </c>
      <c r="D335" s="81">
        <v>205606</v>
      </c>
      <c r="E335" s="195">
        <f t="shared" si="13"/>
        <v>158.15846153846152</v>
      </c>
    </row>
    <row r="336" spans="1:8">
      <c r="A336" s="102" t="s">
        <v>302</v>
      </c>
      <c r="B336" s="571">
        <v>630000</v>
      </c>
      <c r="C336" s="4">
        <v>630000</v>
      </c>
      <c r="D336" s="81">
        <v>519114</v>
      </c>
      <c r="E336" s="195">
        <f t="shared" si="13"/>
        <v>82.399047619047622</v>
      </c>
      <c r="H336" s="261"/>
    </row>
    <row r="337" spans="1:5">
      <c r="A337" s="102" t="s">
        <v>289</v>
      </c>
      <c r="B337" s="574">
        <v>100000</v>
      </c>
      <c r="C337" s="4">
        <v>100000</v>
      </c>
      <c r="D337" s="81">
        <f>14497</f>
        <v>14497</v>
      </c>
      <c r="E337" s="195">
        <f t="shared" si="13"/>
        <v>14.496999999999998</v>
      </c>
    </row>
    <row r="338" spans="1:5">
      <c r="A338" s="113" t="s">
        <v>288</v>
      </c>
      <c r="B338" s="573">
        <f>SUM(B335:B337)</f>
        <v>860000</v>
      </c>
      <c r="C338" s="8">
        <f>SUM(C335:C337)</f>
        <v>860000</v>
      </c>
      <c r="D338" s="179">
        <f>SUM(D335:D337)</f>
        <v>739217</v>
      </c>
      <c r="E338" s="213">
        <f t="shared" si="13"/>
        <v>85.955465116279072</v>
      </c>
    </row>
    <row r="339" spans="1:5">
      <c r="A339" s="102" t="s">
        <v>301</v>
      </c>
      <c r="B339" s="574">
        <v>1000000</v>
      </c>
      <c r="C339" s="4">
        <v>1000000</v>
      </c>
      <c r="D339" s="81">
        <v>992667</v>
      </c>
      <c r="E339" s="195">
        <f t="shared" si="13"/>
        <v>99.2667</v>
      </c>
    </row>
    <row r="340" spans="1:5">
      <c r="A340" s="102" t="s">
        <v>299</v>
      </c>
      <c r="B340" s="561">
        <v>2000000</v>
      </c>
      <c r="C340" s="4">
        <v>2000000</v>
      </c>
      <c r="D340" s="81">
        <f>7874+1432344</f>
        <v>1440218</v>
      </c>
      <c r="E340" s="195">
        <f t="shared" si="13"/>
        <v>72.010900000000007</v>
      </c>
    </row>
    <row r="341" spans="1:5">
      <c r="A341" s="113" t="s">
        <v>298</v>
      </c>
      <c r="B341" s="573">
        <f>SUM(B339:B340)</f>
        <v>3000000</v>
      </c>
      <c r="C341" s="8">
        <f>SUM(C339:C340)</f>
        <v>3000000</v>
      </c>
      <c r="D341" s="179">
        <f>SUM(D339:D340)</f>
        <v>2432885</v>
      </c>
      <c r="E341" s="213">
        <f t="shared" si="13"/>
        <v>81.096166666666676</v>
      </c>
    </row>
    <row r="342" spans="1:5">
      <c r="A342" s="91" t="s">
        <v>287</v>
      </c>
      <c r="B342" s="561">
        <f>2800000+360000</f>
        <v>3160000</v>
      </c>
      <c r="C342" s="4">
        <v>3160000</v>
      </c>
      <c r="D342" s="81">
        <f>2746295+351936</f>
        <v>3098231</v>
      </c>
      <c r="E342" s="195">
        <f t="shared" si="13"/>
        <v>98.045284810126589</v>
      </c>
    </row>
    <row r="343" spans="1:5">
      <c r="A343" s="102" t="s">
        <v>297</v>
      </c>
      <c r="B343" s="574">
        <v>300000</v>
      </c>
      <c r="C343" s="4">
        <v>300000</v>
      </c>
      <c r="D343" s="81">
        <v>270347</v>
      </c>
      <c r="E343" s="195">
        <f t="shared" si="13"/>
        <v>90.115666666666669</v>
      </c>
    </row>
    <row r="344" spans="1:5">
      <c r="A344" s="108" t="s">
        <v>286</v>
      </c>
      <c r="B344" s="573">
        <f>SUM(B342:B343)</f>
        <v>3460000</v>
      </c>
      <c r="C344" s="8">
        <f>SUM(C342:C343)</f>
        <v>3460000</v>
      </c>
      <c r="D344" s="179">
        <f>SUM(D342:D343)</f>
        <v>3368578</v>
      </c>
      <c r="E344" s="213">
        <f t="shared" si="13"/>
        <v>97.35774566473988</v>
      </c>
    </row>
    <row r="345" spans="1:5">
      <c r="A345" s="102" t="s">
        <v>316</v>
      </c>
      <c r="B345" s="574">
        <v>490000</v>
      </c>
      <c r="C345" s="4">
        <v>490000</v>
      </c>
      <c r="D345" s="81">
        <v>368996</v>
      </c>
      <c r="E345" s="195">
        <f t="shared" si="13"/>
        <v>75.305306122448982</v>
      </c>
    </row>
    <row r="346" spans="1:5">
      <c r="A346" s="102" t="s">
        <v>285</v>
      </c>
      <c r="B346" s="574">
        <v>520000</v>
      </c>
      <c r="C346" s="4">
        <v>520000</v>
      </c>
      <c r="D346" s="81">
        <v>518408</v>
      </c>
      <c r="E346" s="195">
        <f t="shared" si="13"/>
        <v>99.693846153846152</v>
      </c>
    </row>
    <row r="347" spans="1:5">
      <c r="A347" s="102" t="s">
        <v>284</v>
      </c>
      <c r="B347" s="561">
        <v>180000</v>
      </c>
      <c r="C347" s="4">
        <v>180000</v>
      </c>
      <c r="D347" s="81">
        <v>154025</v>
      </c>
      <c r="E347" s="195">
        <f t="shared" si="13"/>
        <v>85.569444444444443</v>
      </c>
    </row>
    <row r="348" spans="1:5">
      <c r="A348" s="108" t="s">
        <v>283</v>
      </c>
      <c r="B348" s="573">
        <f>SUM(B345:B347)</f>
        <v>1190000</v>
      </c>
      <c r="C348" s="8">
        <f>SUM(C345:C347)</f>
        <v>1190000</v>
      </c>
      <c r="D348" s="179">
        <f>SUM(D345:D347)</f>
        <v>1041429</v>
      </c>
      <c r="E348" s="213">
        <f t="shared" si="13"/>
        <v>87.515042016806717</v>
      </c>
    </row>
    <row r="349" spans="1:5">
      <c r="A349" s="102" t="s">
        <v>338</v>
      </c>
      <c r="B349" s="574">
        <v>420000</v>
      </c>
      <c r="C349" s="4">
        <v>420000</v>
      </c>
      <c r="D349" s="81">
        <v>583020</v>
      </c>
      <c r="E349" s="195">
        <f t="shared" si="13"/>
        <v>138.81428571428572</v>
      </c>
    </row>
    <row r="350" spans="1:5">
      <c r="A350" s="102" t="s">
        <v>295</v>
      </c>
      <c r="B350" s="574">
        <v>600000</v>
      </c>
      <c r="C350" s="4">
        <v>600000</v>
      </c>
      <c r="D350" s="81">
        <v>910204</v>
      </c>
      <c r="E350" s="195">
        <f t="shared" si="13"/>
        <v>151.70066666666665</v>
      </c>
    </row>
    <row r="351" spans="1:5">
      <c r="A351" s="102" t="s">
        <v>337</v>
      </c>
      <c r="B351" s="561">
        <v>2600000</v>
      </c>
      <c r="C351" s="4">
        <v>2600000</v>
      </c>
      <c r="D351" s="81">
        <v>2593718</v>
      </c>
      <c r="E351" s="195">
        <f t="shared" si="13"/>
        <v>99.758384615384614</v>
      </c>
    </row>
    <row r="352" spans="1:5">
      <c r="A352" s="102" t="s">
        <v>309</v>
      </c>
      <c r="B352" s="561">
        <f>2140000+200000</f>
        <v>2340000</v>
      </c>
      <c r="C352" s="4">
        <v>2340000</v>
      </c>
      <c r="D352" s="81">
        <v>864424</v>
      </c>
      <c r="E352" s="195">
        <f t="shared" si="13"/>
        <v>36.941196581196586</v>
      </c>
    </row>
    <row r="353" spans="1:5">
      <c r="A353" s="102" t="s">
        <v>343</v>
      </c>
      <c r="B353" s="561">
        <v>2800000</v>
      </c>
      <c r="C353" s="4">
        <v>2800000</v>
      </c>
      <c r="D353" s="81">
        <v>2251395</v>
      </c>
      <c r="E353" s="195">
        <f t="shared" si="13"/>
        <v>80.406964285714295</v>
      </c>
    </row>
    <row r="354" spans="1:5">
      <c r="A354" s="108" t="s">
        <v>281</v>
      </c>
      <c r="B354" s="573">
        <f>SUM(B349:B353)</f>
        <v>8760000</v>
      </c>
      <c r="C354" s="8">
        <f>SUM(C349:C353)</f>
        <v>8760000</v>
      </c>
      <c r="D354" s="81">
        <f>SUM(D349:D353)</f>
        <v>7202761</v>
      </c>
      <c r="E354" s="195">
        <f t="shared" si="13"/>
        <v>82.22329908675799</v>
      </c>
    </row>
    <row r="355" spans="1:5">
      <c r="A355" s="102" t="s">
        <v>280</v>
      </c>
      <c r="B355" s="574">
        <f>(B335+B336+B337+B339+B342+B343+B346+B347+B349+B350+B351+B352+B353+B340)*0.27+B345*0.05</f>
        <v>4555100</v>
      </c>
      <c r="C355" s="4">
        <v>4352472</v>
      </c>
      <c r="D355" s="81">
        <f>647533+2547982</f>
        <v>3195515</v>
      </c>
      <c r="E355" s="195">
        <f t="shared" si="13"/>
        <v>73.418393041931125</v>
      </c>
    </row>
    <row r="356" spans="1:5">
      <c r="A356" s="102" t="s">
        <v>342</v>
      </c>
      <c r="B356" s="574">
        <v>297000</v>
      </c>
      <c r="C356" s="4">
        <v>297000</v>
      </c>
      <c r="D356" s="81">
        <v>148000</v>
      </c>
      <c r="E356" s="195">
        <f t="shared" si="13"/>
        <v>49.831649831649834</v>
      </c>
    </row>
    <row r="357" spans="1:5">
      <c r="A357" s="102" t="s">
        <v>341</v>
      </c>
      <c r="B357" s="561">
        <v>1500000</v>
      </c>
      <c r="C357" s="4">
        <v>1500000</v>
      </c>
      <c r="D357" s="81">
        <f>1133994+42</f>
        <v>1134036</v>
      </c>
      <c r="E357" s="195">
        <f t="shared" si="13"/>
        <v>75.602400000000003</v>
      </c>
    </row>
    <row r="358" spans="1:5">
      <c r="A358" s="102" t="s">
        <v>435</v>
      </c>
      <c r="B358" s="561"/>
      <c r="C358" s="4"/>
      <c r="D358" s="81">
        <v>330853</v>
      </c>
      <c r="E358" s="195"/>
    </row>
    <row r="359" spans="1:5" ht="15" customHeight="1">
      <c r="A359" s="113" t="s">
        <v>279</v>
      </c>
      <c r="B359" s="573">
        <f>SUM(B355:B357)</f>
        <v>6352100</v>
      </c>
      <c r="C359" s="8">
        <f>SUM(C355:C357)</f>
        <v>6149472</v>
      </c>
      <c r="D359" s="179">
        <f>SUM(D355:D358)</f>
        <v>4808404</v>
      </c>
      <c r="E359" s="213">
        <f t="shared" si="13"/>
        <v>78.192143975938095</v>
      </c>
    </row>
    <row r="360" spans="1:5">
      <c r="A360" s="112" t="s">
        <v>278</v>
      </c>
      <c r="B360" s="573">
        <f>B338+B341+B344+B348+B354+B359</f>
        <v>23622100</v>
      </c>
      <c r="C360" s="8">
        <v>23419472</v>
      </c>
      <c r="D360" s="179">
        <f>D338+D341+D344+D348+D354+D359</f>
        <v>19593274</v>
      </c>
      <c r="E360" s="213">
        <f t="shared" si="13"/>
        <v>83.662321678302561</v>
      </c>
    </row>
    <row r="361" spans="1:5">
      <c r="A361" s="112"/>
      <c r="B361" s="562"/>
      <c r="C361" s="14"/>
      <c r="D361" s="81"/>
      <c r="E361" s="195"/>
    </row>
    <row r="362" spans="1:5">
      <c r="A362" s="564" t="s">
        <v>274</v>
      </c>
      <c r="B362" s="563">
        <f>B328+B333+B360</f>
        <v>101971100</v>
      </c>
      <c r="C362" s="8">
        <v>98980886</v>
      </c>
      <c r="D362" s="179">
        <f>D360+D328+D333</f>
        <v>93139593</v>
      </c>
      <c r="E362" s="213">
        <f>E39</f>
        <v>104.664</v>
      </c>
    </row>
    <row r="363" spans="1:5">
      <c r="A363" s="112"/>
      <c r="B363" s="118"/>
      <c r="C363" s="14"/>
      <c r="D363" s="81"/>
      <c r="E363" s="81"/>
    </row>
    <row r="364" spans="1:5" ht="22.5">
      <c r="A364" s="585" t="s">
        <v>378</v>
      </c>
      <c r="B364" s="555"/>
      <c r="C364" s="275"/>
      <c r="D364" s="296"/>
      <c r="E364" s="297"/>
    </row>
    <row r="365" spans="1:5">
      <c r="A365" s="564"/>
      <c r="B365" s="563"/>
      <c r="C365" s="14"/>
      <c r="D365" s="81"/>
      <c r="E365" s="81"/>
    </row>
    <row r="366" spans="1:5">
      <c r="A366" s="582" t="s">
        <v>379</v>
      </c>
      <c r="B366" s="563"/>
      <c r="C366" s="4">
        <v>930060</v>
      </c>
      <c r="D366" s="81">
        <f>665568-13568</f>
        <v>652000</v>
      </c>
      <c r="E366" s="195">
        <f t="shared" ref="E366:E383" si="14">D366/C366*100</f>
        <v>70.103004107261896</v>
      </c>
    </row>
    <row r="367" spans="1:5">
      <c r="A367" s="582" t="s">
        <v>327</v>
      </c>
      <c r="B367" s="563"/>
      <c r="C367" s="4">
        <v>10808</v>
      </c>
      <c r="D367" s="81">
        <v>13568</v>
      </c>
      <c r="E367" s="195">
        <f t="shared" si="14"/>
        <v>125.53663952627683</v>
      </c>
    </row>
    <row r="368" spans="1:5">
      <c r="A368" s="559" t="s">
        <v>272</v>
      </c>
      <c r="B368" s="572">
        <f>B255+B328</f>
        <v>71052000</v>
      </c>
      <c r="C368" s="8">
        <f>SUM(C366:C367)</f>
        <v>940868</v>
      </c>
      <c r="D368" s="179">
        <f>SUM(D366:D367)</f>
        <v>665568</v>
      </c>
      <c r="E368" s="213">
        <f t="shared" si="14"/>
        <v>70.73978496452213</v>
      </c>
    </row>
    <row r="369" spans="1:5">
      <c r="A369" s="559"/>
      <c r="B369" s="572"/>
      <c r="C369" s="8"/>
      <c r="D369" s="81"/>
      <c r="E369" s="195"/>
    </row>
    <row r="370" spans="1:5">
      <c r="A370" s="570" t="s">
        <v>275</v>
      </c>
      <c r="B370" s="572"/>
      <c r="C370" s="4">
        <v>238860</v>
      </c>
      <c r="D370" s="81">
        <v>171936</v>
      </c>
      <c r="E370" s="195">
        <f t="shared" si="14"/>
        <v>71.981914091936687</v>
      </c>
    </row>
    <row r="371" spans="1:5">
      <c r="A371" s="570" t="s">
        <v>305</v>
      </c>
      <c r="B371" s="572"/>
      <c r="C371" s="4"/>
      <c r="D371" s="81">
        <v>4360</v>
      </c>
      <c r="E371" s="195"/>
    </row>
    <row r="372" spans="1:5">
      <c r="A372" s="570" t="s">
        <v>304</v>
      </c>
      <c r="B372" s="572"/>
      <c r="C372" s="4">
        <v>6780</v>
      </c>
      <c r="D372" s="81">
        <v>2422</v>
      </c>
      <c r="E372" s="195">
        <f t="shared" si="14"/>
        <v>35.722713864306783</v>
      </c>
    </row>
    <row r="373" spans="1:5">
      <c r="A373" s="559" t="s">
        <v>271</v>
      </c>
      <c r="B373" s="562">
        <f>B261+B333</f>
        <v>19830000</v>
      </c>
      <c r="C373" s="8">
        <f>SUM(C370:C372)</f>
        <v>245640</v>
      </c>
      <c r="D373" s="179">
        <f>SUM(D370:D372)</f>
        <v>178718</v>
      </c>
      <c r="E373" s="213">
        <f t="shared" si="14"/>
        <v>72.756065787331053</v>
      </c>
    </row>
    <row r="374" spans="1:5">
      <c r="A374" s="559"/>
      <c r="B374" s="562"/>
      <c r="C374" s="8"/>
      <c r="D374" s="81"/>
      <c r="E374" s="195"/>
    </row>
    <row r="375" spans="1:5">
      <c r="A375" s="570" t="s">
        <v>289</v>
      </c>
      <c r="B375" s="562"/>
      <c r="C375" s="4">
        <v>47025</v>
      </c>
      <c r="D375" s="81">
        <f>47024</f>
        <v>47024</v>
      </c>
      <c r="E375" s="195">
        <f t="shared" si="14"/>
        <v>99.997873471557682</v>
      </c>
    </row>
    <row r="376" spans="1:5">
      <c r="A376" s="112" t="s">
        <v>273</v>
      </c>
      <c r="B376" s="562">
        <f>B280+B304+B360</f>
        <v>45118000</v>
      </c>
      <c r="C376" s="8">
        <v>47025</v>
      </c>
      <c r="D376" s="179">
        <f>SUM(D375)</f>
        <v>47024</v>
      </c>
      <c r="E376" s="213">
        <f t="shared" si="14"/>
        <v>99.997873471557682</v>
      </c>
    </row>
    <row r="377" spans="1:5">
      <c r="A377" s="112"/>
      <c r="B377" s="562"/>
      <c r="C377" s="8"/>
      <c r="D377" s="81"/>
      <c r="E377" s="195"/>
    </row>
    <row r="378" spans="1:5">
      <c r="A378" s="586" t="s">
        <v>274</v>
      </c>
      <c r="B378" s="562"/>
      <c r="C378" s="8">
        <v>1233533</v>
      </c>
      <c r="D378" s="179">
        <f>D376+D373+D368</f>
        <v>891310</v>
      </c>
      <c r="E378" s="213">
        <f t="shared" si="14"/>
        <v>72.256680607652982</v>
      </c>
    </row>
    <row r="379" spans="1:5">
      <c r="A379" s="112"/>
      <c r="B379" s="562"/>
      <c r="C379" s="8"/>
      <c r="D379" s="81"/>
      <c r="E379" s="213"/>
    </row>
    <row r="380" spans="1:5">
      <c r="A380" s="112" t="s">
        <v>272</v>
      </c>
      <c r="B380" s="562"/>
      <c r="C380" s="8">
        <v>70109128</v>
      </c>
      <c r="D380" s="8">
        <f>D255+D328+D368</f>
        <v>69556198</v>
      </c>
      <c r="E380" s="213">
        <f t="shared" si="14"/>
        <v>99.211329514753061</v>
      </c>
    </row>
    <row r="381" spans="1:5">
      <c r="A381" s="112" t="s">
        <v>271</v>
      </c>
      <c r="B381" s="562"/>
      <c r="C381" s="8">
        <v>19547841</v>
      </c>
      <c r="D381" s="8">
        <f>D261+D333+D373</f>
        <v>19142846</v>
      </c>
      <c r="E381" s="213">
        <f t="shared" si="14"/>
        <v>97.928185521869139</v>
      </c>
    </row>
    <row r="382" spans="1:5">
      <c r="A382" s="112" t="s">
        <v>273</v>
      </c>
      <c r="B382" s="562"/>
      <c r="C382" s="8">
        <v>47373317</v>
      </c>
      <c r="D382" s="8">
        <f>D280+D304+D360+D376</f>
        <v>44875350</v>
      </c>
      <c r="E382" s="213">
        <f t="shared" si="14"/>
        <v>94.727059116422012</v>
      </c>
    </row>
    <row r="383" spans="1:5" ht="22.5">
      <c r="A383" s="266" t="s">
        <v>904</v>
      </c>
      <c r="B383" s="562">
        <f>SUM(B368:B376)</f>
        <v>136000000</v>
      </c>
      <c r="C383" s="8">
        <v>137030286</v>
      </c>
      <c r="D383" s="8">
        <f>D282+D306+D362+D378</f>
        <v>133574394</v>
      </c>
      <c r="E383" s="213">
        <f t="shared" si="14"/>
        <v>97.478008620663616</v>
      </c>
    </row>
    <row r="384" spans="1:5" s="611" customFormat="1">
      <c r="A384" s="266"/>
      <c r="B384" s="562"/>
      <c r="C384" s="8"/>
      <c r="D384" s="8"/>
      <c r="E384" s="195"/>
    </row>
    <row r="385" spans="1:5" s="611" customFormat="1">
      <c r="A385" s="266"/>
      <c r="B385" s="562"/>
      <c r="C385" s="8"/>
      <c r="D385" s="8"/>
      <c r="E385" s="195"/>
    </row>
    <row r="386" spans="1:5" s="611" customFormat="1">
      <c r="A386" s="266"/>
      <c r="B386" s="562"/>
      <c r="C386" s="8"/>
      <c r="D386" s="8"/>
      <c r="E386" s="195"/>
    </row>
    <row r="387" spans="1:5">
      <c r="A387" s="266"/>
      <c r="B387" s="562"/>
      <c r="C387" s="14"/>
      <c r="D387" s="81"/>
      <c r="E387" s="81"/>
    </row>
    <row r="388" spans="1:5">
      <c r="A388" s="662" t="s">
        <v>340</v>
      </c>
      <c r="B388" s="662"/>
      <c r="C388" s="662"/>
      <c r="D388" s="662"/>
      <c r="E388" s="662"/>
    </row>
    <row r="389" spans="1:5">
      <c r="A389" s="587"/>
      <c r="B389" s="567"/>
      <c r="C389" s="14"/>
      <c r="D389" s="81"/>
      <c r="E389" s="81"/>
    </row>
    <row r="390" spans="1:5">
      <c r="A390" s="657" t="s">
        <v>39</v>
      </c>
      <c r="B390" s="657"/>
      <c r="C390" s="657"/>
      <c r="D390" s="657"/>
      <c r="E390" s="657"/>
    </row>
    <row r="391" spans="1:5">
      <c r="A391" s="559"/>
      <c r="B391" s="561"/>
      <c r="C391" s="14"/>
      <c r="D391" s="81"/>
      <c r="E391" s="81"/>
    </row>
    <row r="392" spans="1:5">
      <c r="A392" s="651" t="s">
        <v>106</v>
      </c>
      <c r="B392" s="652"/>
      <c r="C392" s="275"/>
      <c r="D392" s="296"/>
      <c r="E392" s="297"/>
    </row>
    <row r="393" spans="1:5">
      <c r="A393" s="273"/>
      <c r="B393" s="116"/>
      <c r="C393" s="14"/>
      <c r="D393" s="81"/>
      <c r="E393" s="81"/>
    </row>
    <row r="394" spans="1:5">
      <c r="A394" s="273" t="s">
        <v>339</v>
      </c>
      <c r="B394" s="567">
        <v>6112000</v>
      </c>
      <c r="C394" s="4">
        <v>6164500</v>
      </c>
      <c r="D394" s="81">
        <v>6355122</v>
      </c>
      <c r="E394" s="195">
        <f t="shared" ref="E394:E435" si="15">D394/C394*100</f>
        <v>103.09225403520155</v>
      </c>
    </row>
    <row r="395" spans="1:5">
      <c r="A395" s="570" t="s">
        <v>307</v>
      </c>
      <c r="B395" s="567">
        <v>122000</v>
      </c>
      <c r="C395" s="4">
        <v>122000</v>
      </c>
      <c r="D395" s="81">
        <v>136500</v>
      </c>
      <c r="E395" s="195">
        <f t="shared" si="15"/>
        <v>111.88524590163935</v>
      </c>
    </row>
    <row r="396" spans="1:5">
      <c r="A396" s="570" t="s">
        <v>335</v>
      </c>
      <c r="B396" s="567">
        <v>86000</v>
      </c>
      <c r="C396" s="4">
        <v>86000</v>
      </c>
      <c r="D396" s="81">
        <v>18044</v>
      </c>
      <c r="E396" s="195">
        <f t="shared" si="15"/>
        <v>20.981395348837211</v>
      </c>
    </row>
    <row r="397" spans="1:5">
      <c r="A397" s="570" t="s">
        <v>375</v>
      </c>
      <c r="B397" s="567"/>
      <c r="C397" s="4">
        <v>53400</v>
      </c>
      <c r="D397" s="81">
        <v>147021</v>
      </c>
      <c r="E397" s="195">
        <f t="shared" si="15"/>
        <v>275.32022471910113</v>
      </c>
    </row>
    <row r="398" spans="1:5">
      <c r="A398" s="559" t="s">
        <v>272</v>
      </c>
      <c r="B398" s="560">
        <f>SUM(B394:B396)</f>
        <v>6320000</v>
      </c>
      <c r="C398" s="8">
        <f>SUM(C394:C397)</f>
        <v>6425900</v>
      </c>
      <c r="D398" s="179">
        <f>SUM(D394:D397)</f>
        <v>6656687</v>
      </c>
      <c r="E398" s="213">
        <f t="shared" si="15"/>
        <v>103.59151247296099</v>
      </c>
    </row>
    <row r="399" spans="1:5">
      <c r="A399" s="559"/>
      <c r="B399" s="560"/>
      <c r="C399" s="14"/>
      <c r="D399" s="81"/>
      <c r="E399" s="195"/>
    </row>
    <row r="400" spans="1:5">
      <c r="A400" s="273" t="s">
        <v>275</v>
      </c>
      <c r="B400" s="567">
        <v>1673000</v>
      </c>
      <c r="C400" s="4">
        <v>1701593</v>
      </c>
      <c r="D400" s="81">
        <v>1760456</v>
      </c>
      <c r="E400" s="195">
        <f t="shared" si="15"/>
        <v>103.45928785555654</v>
      </c>
    </row>
    <row r="401" spans="1:5">
      <c r="A401" s="273" t="s">
        <v>305</v>
      </c>
      <c r="B401" s="567">
        <v>39000</v>
      </c>
      <c r="C401" s="4">
        <v>39000</v>
      </c>
      <c r="D401" s="81">
        <v>43857</v>
      </c>
      <c r="E401" s="195">
        <f t="shared" si="15"/>
        <v>112.45384615384614</v>
      </c>
    </row>
    <row r="402" spans="1:5">
      <c r="A402" s="273" t="s">
        <v>312</v>
      </c>
      <c r="B402" s="567">
        <v>20000</v>
      </c>
      <c r="C402" s="4">
        <v>20000</v>
      </c>
      <c r="D402" s="81">
        <v>0</v>
      </c>
      <c r="E402" s="195">
        <f t="shared" si="15"/>
        <v>0</v>
      </c>
    </row>
    <row r="403" spans="1:5">
      <c r="A403" s="273" t="s">
        <v>304</v>
      </c>
      <c r="B403" s="567">
        <v>22000</v>
      </c>
      <c r="C403" s="4">
        <v>22000</v>
      </c>
      <c r="D403" s="81">
        <v>24365</v>
      </c>
      <c r="E403" s="195">
        <f t="shared" si="15"/>
        <v>110.75</v>
      </c>
    </row>
    <row r="404" spans="1:5">
      <c r="A404" s="559" t="s">
        <v>271</v>
      </c>
      <c r="B404" s="560">
        <f>SUM(B400:B403)</f>
        <v>1754000</v>
      </c>
      <c r="C404" s="8">
        <f>SUM(C400:C403)</f>
        <v>1782593</v>
      </c>
      <c r="D404" s="179">
        <f>SUM(D400:D403)</f>
        <v>1828678</v>
      </c>
      <c r="E404" s="213">
        <f t="shared" si="15"/>
        <v>102.58527886062608</v>
      </c>
    </row>
    <row r="405" spans="1:5">
      <c r="A405" s="559"/>
      <c r="B405" s="560"/>
      <c r="C405" s="14"/>
      <c r="D405" s="81"/>
      <c r="E405" s="195"/>
    </row>
    <row r="406" spans="1:5">
      <c r="A406" s="570" t="s">
        <v>311</v>
      </c>
      <c r="B406" s="571">
        <v>20000</v>
      </c>
      <c r="C406" s="4">
        <v>20000</v>
      </c>
      <c r="D406" s="81">
        <v>6388</v>
      </c>
      <c r="E406" s="195">
        <f t="shared" si="15"/>
        <v>31.94</v>
      </c>
    </row>
    <row r="407" spans="1:5">
      <c r="A407" s="102" t="s">
        <v>310</v>
      </c>
      <c r="B407" s="571">
        <v>5000</v>
      </c>
      <c r="C407" s="4">
        <v>5000</v>
      </c>
      <c r="D407" s="81">
        <v>0</v>
      </c>
      <c r="E407" s="195">
        <f t="shared" si="15"/>
        <v>0</v>
      </c>
    </row>
    <row r="408" spans="1:5">
      <c r="A408" s="102" t="s">
        <v>289</v>
      </c>
      <c r="B408" s="574">
        <v>50000</v>
      </c>
      <c r="C408" s="4">
        <v>50000</v>
      </c>
      <c r="D408" s="81">
        <v>0</v>
      </c>
      <c r="E408" s="195">
        <f t="shared" si="15"/>
        <v>0</v>
      </c>
    </row>
    <row r="409" spans="1:5">
      <c r="A409" s="113" t="s">
        <v>288</v>
      </c>
      <c r="B409" s="573">
        <f>SUM(B406:B408)</f>
        <v>75000</v>
      </c>
      <c r="C409" s="8">
        <f>SUM(C406:C408)</f>
        <v>75000</v>
      </c>
      <c r="D409" s="179">
        <f>SUM(D406:D408)</f>
        <v>6388</v>
      </c>
      <c r="E409" s="213">
        <f t="shared" si="15"/>
        <v>8.5173333333333332</v>
      </c>
    </row>
    <row r="410" spans="1:5">
      <c r="A410" s="102" t="s">
        <v>301</v>
      </c>
      <c r="B410" s="561">
        <v>120000</v>
      </c>
      <c r="C410" s="4">
        <v>120000</v>
      </c>
      <c r="D410" s="81">
        <v>68115</v>
      </c>
      <c r="E410" s="195">
        <f t="shared" si="15"/>
        <v>56.762500000000003</v>
      </c>
    </row>
    <row r="411" spans="1:5">
      <c r="A411" s="102" t="s">
        <v>330</v>
      </c>
      <c r="B411" s="561">
        <v>5000</v>
      </c>
      <c r="C411" s="4">
        <v>5000</v>
      </c>
      <c r="D411" s="81">
        <v>0</v>
      </c>
      <c r="E411" s="195">
        <f t="shared" si="15"/>
        <v>0</v>
      </c>
    </row>
    <row r="412" spans="1:5">
      <c r="A412" s="102" t="s">
        <v>300</v>
      </c>
      <c r="B412" s="561">
        <v>16000</v>
      </c>
      <c r="C412" s="4">
        <v>16000</v>
      </c>
      <c r="D412" s="81">
        <v>23622</v>
      </c>
      <c r="E412" s="195">
        <f t="shared" si="15"/>
        <v>147.63749999999999</v>
      </c>
    </row>
    <row r="413" spans="1:5">
      <c r="A413" s="102" t="s">
        <v>299</v>
      </c>
      <c r="B413" s="561">
        <v>70000</v>
      </c>
      <c r="C413" s="4">
        <v>70000</v>
      </c>
      <c r="D413" s="81">
        <v>60741</v>
      </c>
      <c r="E413" s="195">
        <f t="shared" si="15"/>
        <v>86.772857142857134</v>
      </c>
    </row>
    <row r="414" spans="1:5">
      <c r="A414" s="113" t="s">
        <v>298</v>
      </c>
      <c r="B414" s="573">
        <f>SUM(B410:B413)</f>
        <v>211000</v>
      </c>
      <c r="C414" s="8">
        <f>SUM(C410:C413)</f>
        <v>211000</v>
      </c>
      <c r="D414" s="179">
        <f>SUM(D410:D413)</f>
        <v>152478</v>
      </c>
      <c r="E414" s="213">
        <f t="shared" si="15"/>
        <v>72.264454976303313</v>
      </c>
    </row>
    <row r="415" spans="1:5">
      <c r="A415" s="91" t="s">
        <v>287</v>
      </c>
      <c r="B415" s="561">
        <v>244000</v>
      </c>
      <c r="C415" s="4">
        <v>244000</v>
      </c>
      <c r="D415" s="81">
        <v>243720</v>
      </c>
      <c r="E415" s="195">
        <f t="shared" si="15"/>
        <v>99.885245901639337</v>
      </c>
    </row>
    <row r="416" spans="1:5">
      <c r="A416" s="102" t="s">
        <v>297</v>
      </c>
      <c r="B416" s="574">
        <v>80000</v>
      </c>
      <c r="C416" s="4">
        <v>80000</v>
      </c>
      <c r="D416" s="81">
        <v>152859</v>
      </c>
      <c r="E416" s="195">
        <f t="shared" si="15"/>
        <v>191.07374999999999</v>
      </c>
    </row>
    <row r="417" spans="1:5">
      <c r="A417" s="108" t="s">
        <v>286</v>
      </c>
      <c r="B417" s="573">
        <f>SUM(B415:B416)</f>
        <v>324000</v>
      </c>
      <c r="C417" s="8">
        <f>SUM(C415:C416)</f>
        <v>324000</v>
      </c>
      <c r="D417" s="179">
        <f>SUM(D415:D416)</f>
        <v>396579</v>
      </c>
      <c r="E417" s="213">
        <f t="shared" si="15"/>
        <v>122.40092592592593</v>
      </c>
    </row>
    <row r="418" spans="1:5">
      <c r="A418" s="91" t="s">
        <v>316</v>
      </c>
      <c r="B418" s="574">
        <v>180000</v>
      </c>
      <c r="C418" s="4">
        <v>180000</v>
      </c>
      <c r="D418" s="81">
        <v>204487</v>
      </c>
      <c r="E418" s="195">
        <f t="shared" si="15"/>
        <v>113.60388888888889</v>
      </c>
    </row>
    <row r="419" spans="1:5">
      <c r="A419" s="102" t="s">
        <v>296</v>
      </c>
      <c r="B419" s="574">
        <v>182000</v>
      </c>
      <c r="C419" s="4">
        <v>182000</v>
      </c>
      <c r="D419" s="81">
        <v>141225</v>
      </c>
      <c r="E419" s="195">
        <f t="shared" si="15"/>
        <v>77.596153846153854</v>
      </c>
    </row>
    <row r="420" spans="1:5">
      <c r="A420" s="102" t="s">
        <v>285</v>
      </c>
      <c r="B420" s="574">
        <v>110000</v>
      </c>
      <c r="C420" s="4">
        <v>110000</v>
      </c>
      <c r="D420" s="81">
        <v>109760</v>
      </c>
      <c r="E420" s="195">
        <f t="shared" si="15"/>
        <v>99.781818181818181</v>
      </c>
    </row>
    <row r="421" spans="1:5">
      <c r="A421" s="102" t="s">
        <v>284</v>
      </c>
      <c r="B421" s="574">
        <v>40000</v>
      </c>
      <c r="C421" s="4">
        <v>40000</v>
      </c>
      <c r="D421" s="81">
        <v>10232</v>
      </c>
      <c r="E421" s="195">
        <f t="shared" si="15"/>
        <v>25.580000000000002</v>
      </c>
    </row>
    <row r="422" spans="1:5">
      <c r="A422" s="108" t="s">
        <v>283</v>
      </c>
      <c r="B422" s="573">
        <f>SUM(B418:B421)</f>
        <v>512000</v>
      </c>
      <c r="C422" s="8">
        <f>SUM(C418:C421)</f>
        <v>512000</v>
      </c>
      <c r="D422" s="179">
        <f>SUM(D418:D421)</f>
        <v>465704</v>
      </c>
      <c r="E422" s="213">
        <f t="shared" si="15"/>
        <v>90.957812500000003</v>
      </c>
    </row>
    <row r="423" spans="1:5" hidden="1">
      <c r="A423" s="102" t="s">
        <v>338</v>
      </c>
      <c r="B423" s="574"/>
      <c r="C423" s="14"/>
      <c r="D423" s="81"/>
      <c r="E423" s="195"/>
    </row>
    <row r="424" spans="1:5">
      <c r="A424" s="102" t="s">
        <v>295</v>
      </c>
      <c r="B424" s="574">
        <v>80000</v>
      </c>
      <c r="C424" s="4">
        <v>80000</v>
      </c>
      <c r="D424" s="81">
        <v>27200</v>
      </c>
      <c r="E424" s="195">
        <f t="shared" si="15"/>
        <v>34</v>
      </c>
    </row>
    <row r="425" spans="1:5">
      <c r="A425" s="102" t="s">
        <v>337</v>
      </c>
      <c r="B425" s="574">
        <v>2500000</v>
      </c>
      <c r="C425" s="4">
        <v>2500000</v>
      </c>
      <c r="D425" s="81">
        <v>2231113</v>
      </c>
      <c r="E425" s="195">
        <f t="shared" si="15"/>
        <v>89.244520000000009</v>
      </c>
    </row>
    <row r="426" spans="1:5" ht="22.5">
      <c r="A426" s="102" t="s">
        <v>293</v>
      </c>
      <c r="B426" s="574">
        <v>350000</v>
      </c>
      <c r="C426" s="4">
        <v>350000</v>
      </c>
      <c r="D426" s="81">
        <v>484272</v>
      </c>
      <c r="E426" s="195">
        <f t="shared" si="15"/>
        <v>138.36342857142859</v>
      </c>
    </row>
    <row r="427" spans="1:5">
      <c r="A427" s="108" t="s">
        <v>281</v>
      </c>
      <c r="B427" s="573">
        <f>SUM(B423:B426)</f>
        <v>2930000</v>
      </c>
      <c r="C427" s="8">
        <f>SUM(C424:C426)</f>
        <v>2930000</v>
      </c>
      <c r="D427" s="179">
        <f>SUM(D424:D426)</f>
        <v>2742585</v>
      </c>
      <c r="E427" s="213">
        <f t="shared" si="15"/>
        <v>93.603583617747447</v>
      </c>
    </row>
    <row r="428" spans="1:5">
      <c r="A428" s="108"/>
      <c r="B428" s="573"/>
      <c r="C428" s="14"/>
      <c r="D428" s="81"/>
      <c r="E428" s="195"/>
    </row>
    <row r="429" spans="1:5">
      <c r="A429" s="102" t="s">
        <v>280</v>
      </c>
      <c r="B429" s="574">
        <f>(B406+B407+B408+B410+B411+B412+B413+B415+B416+B419+B420+B421+B424+B426+B423+B425)*0.27+B418*0.05</f>
        <v>1054440</v>
      </c>
      <c r="C429" s="4">
        <v>1054440</v>
      </c>
      <c r="D429" s="81">
        <f>602398+255025</f>
        <v>857423</v>
      </c>
      <c r="E429" s="195">
        <f t="shared" si="15"/>
        <v>81.315484996775538</v>
      </c>
    </row>
    <row r="430" spans="1:5">
      <c r="A430" s="102" t="s">
        <v>431</v>
      </c>
      <c r="B430" s="574"/>
      <c r="C430" s="4"/>
      <c r="D430" s="81">
        <f>14411+25</f>
        <v>14436</v>
      </c>
      <c r="E430" s="195"/>
    </row>
    <row r="431" spans="1:5" ht="22.5">
      <c r="A431" s="113" t="s">
        <v>279</v>
      </c>
      <c r="B431" s="573">
        <f>SUM(B429:B429)</f>
        <v>1054440</v>
      </c>
      <c r="C431" s="8">
        <v>1054440</v>
      </c>
      <c r="D431" s="179">
        <f>SUM(D429:D430)</f>
        <v>871859</v>
      </c>
      <c r="E431" s="213">
        <f t="shared" si="15"/>
        <v>82.68455293805242</v>
      </c>
    </row>
    <row r="432" spans="1:5">
      <c r="A432" s="113"/>
      <c r="B432" s="561"/>
      <c r="C432" s="14"/>
      <c r="D432" s="81"/>
      <c r="E432" s="195"/>
    </row>
    <row r="433" spans="1:5">
      <c r="A433" s="112" t="s">
        <v>278</v>
      </c>
      <c r="B433" s="573">
        <f>B409+B414+B417+B422+B427+B431</f>
        <v>5106440</v>
      </c>
      <c r="C433" s="8">
        <v>5106440</v>
      </c>
      <c r="D433" s="179">
        <f>D409+D414+D417+D422+D427+D431</f>
        <v>4635593</v>
      </c>
      <c r="E433" s="213">
        <f t="shared" si="15"/>
        <v>90.779349213933784</v>
      </c>
    </row>
    <row r="434" spans="1:5">
      <c r="A434" s="112"/>
      <c r="B434" s="562"/>
      <c r="C434" s="14"/>
      <c r="D434" s="81"/>
      <c r="E434" s="195"/>
    </row>
    <row r="435" spans="1:5">
      <c r="A435" s="564" t="s">
        <v>274</v>
      </c>
      <c r="B435" s="562">
        <f>B398+B404+B433</f>
        <v>13180440</v>
      </c>
      <c r="C435" s="8">
        <v>13314933</v>
      </c>
      <c r="D435" s="179">
        <f>D398+D404+D433</f>
        <v>13120958</v>
      </c>
      <c r="E435" s="213">
        <f t="shared" si="15"/>
        <v>98.543177047905544</v>
      </c>
    </row>
    <row r="436" spans="1:5">
      <c r="A436" s="564"/>
      <c r="B436" s="560"/>
      <c r="C436" s="14"/>
      <c r="D436" s="81"/>
      <c r="E436" s="81"/>
    </row>
    <row r="437" spans="1:5">
      <c r="A437" s="651" t="s">
        <v>336</v>
      </c>
      <c r="B437" s="652"/>
      <c r="C437" s="275"/>
      <c r="D437" s="296"/>
      <c r="E437" s="297"/>
    </row>
    <row r="438" spans="1:5">
      <c r="A438" s="273"/>
      <c r="B438" s="588"/>
      <c r="C438" s="14"/>
      <c r="D438" s="81"/>
      <c r="E438" s="81"/>
    </row>
    <row r="439" spans="1:5">
      <c r="A439" s="273" t="s">
        <v>326</v>
      </c>
      <c r="B439" s="589">
        <v>2153000</v>
      </c>
      <c r="C439" s="4">
        <v>2213900</v>
      </c>
      <c r="D439" s="81">
        <v>2304530</v>
      </c>
      <c r="E439" s="195">
        <f t="shared" ref="E439:E457" si="16">D439/C439*100</f>
        <v>104.09368083472606</v>
      </c>
    </row>
    <row r="440" spans="1:5">
      <c r="A440" s="570" t="s">
        <v>307</v>
      </c>
      <c r="B440" s="589">
        <v>43000</v>
      </c>
      <c r="C440" s="4">
        <v>43000</v>
      </c>
      <c r="D440" s="81">
        <v>36500</v>
      </c>
      <c r="E440" s="195">
        <f t="shared" si="16"/>
        <v>84.883720930232556</v>
      </c>
    </row>
    <row r="441" spans="1:5">
      <c r="A441" s="570" t="s">
        <v>335</v>
      </c>
      <c r="B441" s="589">
        <v>18000</v>
      </c>
      <c r="C441" s="4">
        <v>18000</v>
      </c>
      <c r="D441" s="81">
        <v>9022</v>
      </c>
      <c r="E441" s="195">
        <f t="shared" si="16"/>
        <v>50.12222222222222</v>
      </c>
    </row>
    <row r="442" spans="1:5">
      <c r="A442" s="570" t="s">
        <v>375</v>
      </c>
      <c r="B442" s="589"/>
      <c r="C442" s="4">
        <v>61200</v>
      </c>
      <c r="D442" s="81">
        <v>122100</v>
      </c>
      <c r="E442" s="195">
        <f t="shared" si="16"/>
        <v>199.50980392156862</v>
      </c>
    </row>
    <row r="443" spans="1:5">
      <c r="A443" s="559" t="s">
        <v>272</v>
      </c>
      <c r="B443" s="590">
        <f>SUM(B439:B441)</f>
        <v>2214000</v>
      </c>
      <c r="C443" s="8">
        <f>SUM(C439:C442)</f>
        <v>2336100</v>
      </c>
      <c r="D443" s="179">
        <f>SUM(D439:D442)</f>
        <v>2472152</v>
      </c>
      <c r="E443" s="213">
        <f t="shared" si="16"/>
        <v>105.82389452506314</v>
      </c>
    </row>
    <row r="444" spans="1:5">
      <c r="A444" s="559"/>
      <c r="B444" s="590"/>
      <c r="C444" s="14"/>
      <c r="D444" s="81"/>
      <c r="E444" s="195"/>
    </row>
    <row r="445" spans="1:5">
      <c r="A445" s="273" t="s">
        <v>275</v>
      </c>
      <c r="B445" s="589">
        <v>586000</v>
      </c>
      <c r="C445" s="4">
        <v>618967</v>
      </c>
      <c r="D445" s="81">
        <v>657626</v>
      </c>
      <c r="E445" s="195">
        <f t="shared" si="16"/>
        <v>106.2457287706776</v>
      </c>
    </row>
    <row r="446" spans="1:5">
      <c r="A446" s="273" t="s">
        <v>305</v>
      </c>
      <c r="B446" s="589">
        <v>14000</v>
      </c>
      <c r="C446" s="4">
        <v>14000</v>
      </c>
      <c r="D446" s="81">
        <v>11727</v>
      </c>
      <c r="E446" s="195">
        <f t="shared" si="16"/>
        <v>83.76428571428572</v>
      </c>
    </row>
    <row r="447" spans="1:5">
      <c r="A447" s="273" t="s">
        <v>312</v>
      </c>
      <c r="B447" s="589">
        <v>10000</v>
      </c>
      <c r="C447" s="4">
        <v>10000</v>
      </c>
      <c r="D447" s="81">
        <v>0</v>
      </c>
      <c r="E447" s="195">
        <f t="shared" si="16"/>
        <v>0</v>
      </c>
    </row>
    <row r="448" spans="1:5">
      <c r="A448" s="273" t="s">
        <v>304</v>
      </c>
      <c r="B448" s="589">
        <v>8000</v>
      </c>
      <c r="C448" s="4">
        <v>8000</v>
      </c>
      <c r="D448" s="81">
        <v>6515</v>
      </c>
      <c r="E448" s="195">
        <f t="shared" si="16"/>
        <v>81.4375</v>
      </c>
    </row>
    <row r="449" spans="1:5">
      <c r="A449" s="559" t="s">
        <v>271</v>
      </c>
      <c r="B449" s="590">
        <f>SUM(B445:B448)</f>
        <v>618000</v>
      </c>
      <c r="C449" s="8">
        <f>SUM(C445:C448)</f>
        <v>650967</v>
      </c>
      <c r="D449" s="179">
        <f>SUM(D445:D448)</f>
        <v>675868</v>
      </c>
      <c r="E449" s="213">
        <f t="shared" si="16"/>
        <v>103.82523230824296</v>
      </c>
    </row>
    <row r="450" spans="1:5">
      <c r="A450" s="559"/>
      <c r="B450" s="591"/>
      <c r="C450" s="14"/>
      <c r="D450" s="81"/>
      <c r="E450" s="195"/>
    </row>
    <row r="451" spans="1:5">
      <c r="A451" s="102" t="s">
        <v>300</v>
      </c>
      <c r="B451" s="589">
        <v>8000</v>
      </c>
      <c r="C451" s="4">
        <v>8000</v>
      </c>
      <c r="D451" s="81">
        <v>0</v>
      </c>
      <c r="E451" s="195">
        <f t="shared" si="16"/>
        <v>0</v>
      </c>
    </row>
    <row r="452" spans="1:5">
      <c r="A452" s="113" t="s">
        <v>298</v>
      </c>
      <c r="B452" s="591">
        <f>B451</f>
        <v>8000</v>
      </c>
      <c r="C452" s="8">
        <v>8000</v>
      </c>
      <c r="D452" s="179">
        <v>0</v>
      </c>
      <c r="E452" s="213">
        <f t="shared" si="16"/>
        <v>0</v>
      </c>
    </row>
    <row r="453" spans="1:5">
      <c r="A453" s="102" t="s">
        <v>280</v>
      </c>
      <c r="B453" s="589">
        <f>B451*0.27</f>
        <v>2160</v>
      </c>
      <c r="C453" s="4">
        <v>2160</v>
      </c>
      <c r="D453" s="81">
        <v>0</v>
      </c>
      <c r="E453" s="195">
        <f t="shared" si="16"/>
        <v>0</v>
      </c>
    </row>
    <row r="454" spans="1:5" ht="22.5">
      <c r="A454" s="113" t="s">
        <v>279</v>
      </c>
      <c r="B454" s="591">
        <f>B453</f>
        <v>2160</v>
      </c>
      <c r="C454" s="8">
        <v>2160</v>
      </c>
      <c r="D454" s="179">
        <v>0</v>
      </c>
      <c r="E454" s="213">
        <f t="shared" si="16"/>
        <v>0</v>
      </c>
    </row>
    <row r="455" spans="1:5">
      <c r="A455" s="112" t="s">
        <v>278</v>
      </c>
      <c r="B455" s="591">
        <f>B452+B454</f>
        <v>10160</v>
      </c>
      <c r="C455" s="8">
        <v>10160</v>
      </c>
      <c r="D455" s="179">
        <v>0</v>
      </c>
      <c r="E455" s="213">
        <f t="shared" si="16"/>
        <v>0</v>
      </c>
    </row>
    <row r="456" spans="1:5">
      <c r="A456" s="564"/>
      <c r="B456" s="560"/>
      <c r="C456" s="14"/>
      <c r="D456" s="81"/>
      <c r="E456" s="195"/>
    </row>
    <row r="457" spans="1:5">
      <c r="A457" s="564" t="s">
        <v>274</v>
      </c>
      <c r="B457" s="560">
        <f>B443+B449+B455</f>
        <v>2842160</v>
      </c>
      <c r="C457" s="8">
        <v>2997227</v>
      </c>
      <c r="D457" s="179">
        <f>D443+D449</f>
        <v>3148020</v>
      </c>
      <c r="E457" s="213">
        <f t="shared" si="16"/>
        <v>105.03108373172935</v>
      </c>
    </row>
    <row r="458" spans="1:5">
      <c r="A458" s="564"/>
      <c r="B458" s="560"/>
      <c r="C458" s="14"/>
      <c r="D458" s="81"/>
      <c r="E458" s="81"/>
    </row>
    <row r="459" spans="1:5">
      <c r="A459" s="651" t="s">
        <v>380</v>
      </c>
      <c r="B459" s="652"/>
      <c r="C459" s="275"/>
      <c r="D459" s="296"/>
      <c r="E459" s="297"/>
    </row>
    <row r="460" spans="1:5">
      <c r="A460" s="273"/>
      <c r="B460" s="567"/>
      <c r="C460" s="14"/>
      <c r="D460" s="81"/>
      <c r="E460" s="81"/>
    </row>
    <row r="461" spans="1:5">
      <c r="A461" s="273" t="s">
        <v>334</v>
      </c>
      <c r="B461" s="567">
        <v>11706000</v>
      </c>
      <c r="C461" s="4">
        <v>11972801</v>
      </c>
      <c r="D461" s="81">
        <v>12056338</v>
      </c>
      <c r="E461" s="195">
        <f t="shared" ref="E461:E500" si="17">D461/C461*100</f>
        <v>100.69772311424869</v>
      </c>
    </row>
    <row r="462" spans="1:5">
      <c r="A462" s="570" t="s">
        <v>307</v>
      </c>
      <c r="B462" s="567">
        <v>237000</v>
      </c>
      <c r="C462" s="4">
        <v>237000</v>
      </c>
      <c r="D462" s="81">
        <v>253500</v>
      </c>
      <c r="E462" s="195">
        <f t="shared" si="17"/>
        <v>106.96202531645569</v>
      </c>
    </row>
    <row r="463" spans="1:5">
      <c r="A463" s="570" t="s">
        <v>322</v>
      </c>
      <c r="B463" s="571">
        <v>138000</v>
      </c>
      <c r="C463" s="4">
        <v>138000</v>
      </c>
      <c r="D463" s="81">
        <v>63154</v>
      </c>
      <c r="E463" s="195">
        <f t="shared" si="17"/>
        <v>45.763768115942028</v>
      </c>
    </row>
    <row r="464" spans="1:5">
      <c r="A464" s="570" t="s">
        <v>333</v>
      </c>
      <c r="B464" s="571">
        <v>480000</v>
      </c>
      <c r="C464" s="4">
        <v>480000</v>
      </c>
      <c r="D464" s="81">
        <v>0</v>
      </c>
      <c r="E464" s="195">
        <f t="shared" si="17"/>
        <v>0</v>
      </c>
    </row>
    <row r="465" spans="1:5">
      <c r="A465" s="570" t="s">
        <v>327</v>
      </c>
      <c r="B465" s="571">
        <v>10000</v>
      </c>
      <c r="C465" s="4">
        <v>10000</v>
      </c>
      <c r="D465" s="81">
        <v>353000</v>
      </c>
      <c r="E465" s="195">
        <f t="shared" si="17"/>
        <v>3529.9999999999995</v>
      </c>
    </row>
    <row r="466" spans="1:5">
      <c r="A466" s="570" t="s">
        <v>375</v>
      </c>
      <c r="B466" s="571"/>
      <c r="C466" s="4">
        <v>139500</v>
      </c>
      <c r="D466" s="81">
        <v>290100</v>
      </c>
      <c r="E466" s="195">
        <f t="shared" si="17"/>
        <v>207.95698924731184</v>
      </c>
    </row>
    <row r="467" spans="1:5">
      <c r="A467" s="559" t="s">
        <v>272</v>
      </c>
      <c r="B467" s="592">
        <f>SUM(B461:B465)</f>
        <v>12571000</v>
      </c>
      <c r="C467" s="8">
        <f>SUM(C461:C466)</f>
        <v>12977301</v>
      </c>
      <c r="D467" s="179">
        <f>SUM(D461:D466)</f>
        <v>13016092</v>
      </c>
      <c r="E467" s="213">
        <f t="shared" si="17"/>
        <v>100.2989142349399</v>
      </c>
    </row>
    <row r="468" spans="1:5">
      <c r="A468" s="559"/>
      <c r="B468" s="567"/>
      <c r="C468" s="14"/>
      <c r="D468" s="81"/>
      <c r="E468" s="195"/>
    </row>
    <row r="469" spans="1:5">
      <c r="A469" s="273" t="s">
        <v>275</v>
      </c>
      <c r="B469" s="571">
        <v>3198000</v>
      </c>
      <c r="C469" s="4">
        <v>3307710</v>
      </c>
      <c r="D469" s="81">
        <v>3350585</v>
      </c>
      <c r="E469" s="195">
        <f t="shared" si="17"/>
        <v>101.29621399699491</v>
      </c>
    </row>
    <row r="470" spans="1:5">
      <c r="A470" s="273" t="s">
        <v>305</v>
      </c>
      <c r="B470" s="571">
        <v>79000</v>
      </c>
      <c r="C470" s="4">
        <v>79000</v>
      </c>
      <c r="D470" s="81">
        <v>81447</v>
      </c>
      <c r="E470" s="195">
        <f t="shared" si="17"/>
        <v>103.09746835443039</v>
      </c>
    </row>
    <row r="471" spans="1:5">
      <c r="A471" s="273" t="s">
        <v>312</v>
      </c>
      <c r="B471" s="571">
        <v>20000</v>
      </c>
      <c r="C471" s="4">
        <v>20000</v>
      </c>
      <c r="D471" s="81">
        <v>0</v>
      </c>
      <c r="E471" s="195">
        <f t="shared" si="17"/>
        <v>0</v>
      </c>
    </row>
    <row r="472" spans="1:5">
      <c r="A472" s="273" t="s">
        <v>304</v>
      </c>
      <c r="B472" s="571">
        <v>44000</v>
      </c>
      <c r="C472" s="4">
        <v>44000</v>
      </c>
      <c r="D472" s="81">
        <v>45249</v>
      </c>
      <c r="E472" s="195">
        <f t="shared" si="17"/>
        <v>102.83863636363637</v>
      </c>
    </row>
    <row r="473" spans="1:5">
      <c r="A473" s="559" t="s">
        <v>271</v>
      </c>
      <c r="B473" s="560">
        <f>SUM(B469:B472)</f>
        <v>3341000</v>
      </c>
      <c r="C473" s="8">
        <f>SUM(C469:C472)</f>
        <v>3450710</v>
      </c>
      <c r="D473" s="179">
        <f>SUM(D469:D472)</f>
        <v>3477281</v>
      </c>
      <c r="E473" s="213">
        <f t="shared" si="17"/>
        <v>100.77001544609661</v>
      </c>
    </row>
    <row r="474" spans="1:5">
      <c r="A474" s="559"/>
      <c r="B474" s="560"/>
      <c r="C474" s="14"/>
      <c r="D474" s="81"/>
      <c r="E474" s="195"/>
    </row>
    <row r="475" spans="1:5">
      <c r="A475" s="570" t="s">
        <v>311</v>
      </c>
      <c r="B475" s="571">
        <v>10000</v>
      </c>
      <c r="C475" s="4">
        <v>10000</v>
      </c>
      <c r="D475" s="81">
        <v>7047</v>
      </c>
      <c r="E475" s="195">
        <f t="shared" si="17"/>
        <v>70.47</v>
      </c>
    </row>
    <row r="476" spans="1:5">
      <c r="A476" s="102" t="s">
        <v>302</v>
      </c>
      <c r="B476" s="571">
        <v>40000</v>
      </c>
      <c r="C476" s="4">
        <v>40000</v>
      </c>
      <c r="D476" s="81">
        <v>36457</v>
      </c>
      <c r="E476" s="195">
        <f t="shared" si="17"/>
        <v>91.142499999999998</v>
      </c>
    </row>
    <row r="477" spans="1:5">
      <c r="A477" s="102" t="s">
        <v>289</v>
      </c>
      <c r="B477" s="561">
        <v>40000</v>
      </c>
      <c r="C477" s="4">
        <v>40000</v>
      </c>
      <c r="D477" s="81">
        <v>0</v>
      </c>
      <c r="E477" s="195">
        <f t="shared" si="17"/>
        <v>0</v>
      </c>
    </row>
    <row r="478" spans="1:5">
      <c r="A478" s="113" t="s">
        <v>288</v>
      </c>
      <c r="B478" s="573">
        <f>SUM(B475:B477)</f>
        <v>90000</v>
      </c>
      <c r="C478" s="8">
        <f>SUM(C475:C477)</f>
        <v>90000</v>
      </c>
      <c r="D478" s="179">
        <f>SUM(D475:D477)</f>
        <v>43504</v>
      </c>
      <c r="E478" s="213">
        <f t="shared" si="17"/>
        <v>48.337777777777781</v>
      </c>
    </row>
    <row r="479" spans="1:5">
      <c r="A479" s="102" t="s">
        <v>301</v>
      </c>
      <c r="B479" s="561">
        <v>40000</v>
      </c>
      <c r="C479" s="4">
        <v>40000</v>
      </c>
      <c r="D479" s="81">
        <v>52101</v>
      </c>
      <c r="E479" s="195">
        <f t="shared" si="17"/>
        <v>130.2525</v>
      </c>
    </row>
    <row r="480" spans="1:5">
      <c r="A480" s="102" t="s">
        <v>330</v>
      </c>
      <c r="B480" s="574">
        <v>10000</v>
      </c>
      <c r="C480" s="4">
        <v>10000</v>
      </c>
      <c r="D480" s="81">
        <v>5357</v>
      </c>
      <c r="E480" s="195">
        <f t="shared" si="17"/>
        <v>53.569999999999993</v>
      </c>
    </row>
    <row r="481" spans="1:5">
      <c r="A481" s="102" t="s">
        <v>300</v>
      </c>
      <c r="B481" s="561">
        <v>56000</v>
      </c>
      <c r="C481" s="4">
        <v>56000</v>
      </c>
      <c r="D481" s="81">
        <v>47244</v>
      </c>
      <c r="E481" s="195">
        <f t="shared" si="17"/>
        <v>84.364285714285714</v>
      </c>
    </row>
    <row r="482" spans="1:5">
      <c r="A482" s="102" t="s">
        <v>299</v>
      </c>
      <c r="B482" s="561">
        <v>100000</v>
      </c>
      <c r="C482" s="4">
        <v>100000</v>
      </c>
      <c r="D482" s="81">
        <v>203400</v>
      </c>
      <c r="E482" s="195">
        <f t="shared" si="17"/>
        <v>203.39999999999998</v>
      </c>
    </row>
    <row r="483" spans="1:5">
      <c r="A483" s="113" t="s">
        <v>298</v>
      </c>
      <c r="B483" s="573">
        <f>SUM(B479:B482)</f>
        <v>206000</v>
      </c>
      <c r="C483" s="8">
        <f>SUM(C479:C482)</f>
        <v>206000</v>
      </c>
      <c r="D483" s="179">
        <f>SUM(D479:D482)</f>
        <v>308102</v>
      </c>
      <c r="E483" s="213">
        <f t="shared" si="17"/>
        <v>149.56407766990293</v>
      </c>
    </row>
    <row r="484" spans="1:5">
      <c r="A484" s="91" t="s">
        <v>287</v>
      </c>
      <c r="B484" s="561">
        <v>95000</v>
      </c>
      <c r="C484" s="4">
        <v>95000</v>
      </c>
      <c r="D484" s="81">
        <v>108000</v>
      </c>
      <c r="E484" s="195">
        <f t="shared" si="17"/>
        <v>113.68421052631578</v>
      </c>
    </row>
    <row r="485" spans="1:5">
      <c r="A485" s="102" t="s">
        <v>297</v>
      </c>
      <c r="B485" s="561">
        <v>60000</v>
      </c>
      <c r="C485" s="4">
        <v>60000</v>
      </c>
      <c r="D485" s="81">
        <v>16511</v>
      </c>
      <c r="E485" s="195">
        <f t="shared" si="17"/>
        <v>27.518333333333334</v>
      </c>
    </row>
    <row r="486" spans="1:5">
      <c r="A486" s="108" t="s">
        <v>286</v>
      </c>
      <c r="B486" s="573">
        <f>SUM(B484:B485)</f>
        <v>155000</v>
      </c>
      <c r="C486" s="8">
        <f>SUM(C484:C485)</f>
        <v>155000</v>
      </c>
      <c r="D486" s="179">
        <f>SUM(D484:D485)</f>
        <v>124511</v>
      </c>
      <c r="E486" s="213">
        <f t="shared" si="17"/>
        <v>80.329677419354837</v>
      </c>
    </row>
    <row r="487" spans="1:5">
      <c r="A487" s="102" t="s">
        <v>296</v>
      </c>
      <c r="B487" s="574">
        <v>560000</v>
      </c>
      <c r="C487" s="4">
        <v>560000</v>
      </c>
      <c r="D487" s="81">
        <v>639406</v>
      </c>
      <c r="E487" s="195">
        <f t="shared" si="17"/>
        <v>114.17964285714287</v>
      </c>
    </row>
    <row r="488" spans="1:5">
      <c r="A488" s="102" t="s">
        <v>285</v>
      </c>
      <c r="B488" s="574">
        <v>90000</v>
      </c>
      <c r="C488" s="4">
        <v>90000</v>
      </c>
      <c r="D488" s="81">
        <v>102553</v>
      </c>
      <c r="E488" s="195">
        <f t="shared" si="17"/>
        <v>113.94777777777779</v>
      </c>
    </row>
    <row r="489" spans="1:5">
      <c r="A489" s="102" t="s">
        <v>284</v>
      </c>
      <c r="B489" s="574">
        <v>170000</v>
      </c>
      <c r="C489" s="4">
        <v>170000</v>
      </c>
      <c r="D489" s="81">
        <v>101805</v>
      </c>
      <c r="E489" s="195">
        <f t="shared" si="17"/>
        <v>59.885294117647057</v>
      </c>
    </row>
    <row r="490" spans="1:5">
      <c r="A490" s="108" t="s">
        <v>283</v>
      </c>
      <c r="B490" s="573">
        <f>SUM(B487:B489)</f>
        <v>820000</v>
      </c>
      <c r="C490" s="8">
        <f>SUM(C487:C489)</f>
        <v>820000</v>
      </c>
      <c r="D490" s="179">
        <f>SUM(D487:D489)</f>
        <v>843764</v>
      </c>
      <c r="E490" s="213">
        <f t="shared" si="17"/>
        <v>102.89804878048781</v>
      </c>
    </row>
    <row r="491" spans="1:5">
      <c r="A491" s="102" t="s">
        <v>295</v>
      </c>
      <c r="B491" s="574">
        <v>130000</v>
      </c>
      <c r="C491" s="4">
        <v>130000</v>
      </c>
      <c r="D491" s="81">
        <v>148348</v>
      </c>
      <c r="E491" s="195">
        <f t="shared" si="17"/>
        <v>114.11384615384614</v>
      </c>
    </row>
    <row r="492" spans="1:5">
      <c r="A492" s="102" t="s">
        <v>309</v>
      </c>
      <c r="B492" s="574">
        <v>60000</v>
      </c>
      <c r="C492" s="4">
        <v>60000</v>
      </c>
      <c r="D492" s="81">
        <v>5748</v>
      </c>
      <c r="E492" s="195">
        <f t="shared" si="17"/>
        <v>9.58</v>
      </c>
    </row>
    <row r="493" spans="1:5" ht="22.5">
      <c r="A493" s="102" t="s">
        <v>293</v>
      </c>
      <c r="B493" s="561">
        <v>100000</v>
      </c>
      <c r="C493" s="4">
        <v>100000</v>
      </c>
      <c r="D493" s="81">
        <v>68834</v>
      </c>
      <c r="E493" s="195">
        <f t="shared" si="17"/>
        <v>68.833999999999989</v>
      </c>
    </row>
    <row r="494" spans="1:5">
      <c r="A494" s="108" t="s">
        <v>281</v>
      </c>
      <c r="B494" s="573">
        <f>SUM(B491:B493)</f>
        <v>290000</v>
      </c>
      <c r="C494" s="8">
        <f>SUM(C491:C493)</f>
        <v>290000</v>
      </c>
      <c r="D494" s="179">
        <f>SUM(D491:D493)</f>
        <v>222930</v>
      </c>
      <c r="E494" s="213">
        <f t="shared" si="17"/>
        <v>76.872413793103448</v>
      </c>
    </row>
    <row r="495" spans="1:5">
      <c r="A495" s="91" t="s">
        <v>437</v>
      </c>
      <c r="B495" s="573"/>
      <c r="C495" s="8"/>
      <c r="D495" s="81">
        <v>5540</v>
      </c>
      <c r="E495" s="195"/>
    </row>
    <row r="496" spans="1:5">
      <c r="A496" s="102" t="s">
        <v>280</v>
      </c>
      <c r="B496" s="574">
        <f>(B475+B476+B479+B480+B481+B482+B484+B485+B487+B488+B489+B491+B493+B477+B492)*0.27</f>
        <v>421470</v>
      </c>
      <c r="C496" s="4">
        <v>421470</v>
      </c>
      <c r="D496" s="81">
        <v>391912</v>
      </c>
      <c r="E496" s="195">
        <f t="shared" si="17"/>
        <v>92.986926708899801</v>
      </c>
    </row>
    <row r="497" spans="1:5" ht="14.25" customHeight="1">
      <c r="A497" s="113" t="s">
        <v>279</v>
      </c>
      <c r="B497" s="573">
        <f>SUM(B496:B496)</f>
        <v>421470</v>
      </c>
      <c r="C497" s="8">
        <v>421470</v>
      </c>
      <c r="D497" s="179">
        <f>SUM(D495:D496)</f>
        <v>397452</v>
      </c>
      <c r="E497" s="213">
        <f t="shared" si="17"/>
        <v>94.301373763257175</v>
      </c>
    </row>
    <row r="498" spans="1:5">
      <c r="A498" s="112" t="s">
        <v>278</v>
      </c>
      <c r="B498" s="573">
        <f>B478+B483+B486+B490+B494+B497</f>
        <v>1982470</v>
      </c>
      <c r="C498" s="8">
        <v>1982470</v>
      </c>
      <c r="D498" s="179">
        <f>D478+D483+D486+D490+D494+D497</f>
        <v>1940263</v>
      </c>
      <c r="E498" s="213">
        <f t="shared" si="17"/>
        <v>97.870989220517828</v>
      </c>
    </row>
    <row r="499" spans="1:5">
      <c r="A499" s="112"/>
      <c r="B499" s="574"/>
      <c r="C499" s="14"/>
      <c r="D499" s="81"/>
      <c r="E499" s="195"/>
    </row>
    <row r="500" spans="1:5">
      <c r="A500" s="564" t="s">
        <v>274</v>
      </c>
      <c r="B500" s="573">
        <f>B467+B473+B498</f>
        <v>17894470</v>
      </c>
      <c r="C500" s="8">
        <v>18410481</v>
      </c>
      <c r="D500" s="179">
        <f>D467+D473+D498</f>
        <v>18433636</v>
      </c>
      <c r="E500" s="213">
        <f t="shared" si="17"/>
        <v>100.12577074982451</v>
      </c>
    </row>
    <row r="501" spans="1:5">
      <c r="A501" s="564"/>
      <c r="B501" s="573"/>
      <c r="C501" s="14"/>
      <c r="D501" s="81"/>
      <c r="E501" s="81"/>
    </row>
    <row r="502" spans="1:5">
      <c r="A502" s="651" t="s">
        <v>332</v>
      </c>
      <c r="B502" s="652"/>
      <c r="C502" s="275"/>
      <c r="D502" s="296"/>
      <c r="E502" s="297"/>
    </row>
    <row r="503" spans="1:5">
      <c r="A503" s="273"/>
      <c r="B503" s="567"/>
      <c r="C503" s="14"/>
      <c r="D503" s="81"/>
      <c r="E503" s="81"/>
    </row>
    <row r="504" spans="1:5">
      <c r="A504" s="273" t="s">
        <v>901</v>
      </c>
      <c r="B504" s="567">
        <v>19445000</v>
      </c>
      <c r="C504" s="4">
        <v>19495953</v>
      </c>
      <c r="D504" s="81">
        <v>18599405</v>
      </c>
      <c r="E504" s="195">
        <f t="shared" ref="E504:E541" si="18">D504/C504*100</f>
        <v>95.401363554784936</v>
      </c>
    </row>
    <row r="505" spans="1:5">
      <c r="A505" s="570" t="s">
        <v>307</v>
      </c>
      <c r="B505" s="567">
        <v>401000</v>
      </c>
      <c r="C505" s="4">
        <v>401000</v>
      </c>
      <c r="D505" s="81">
        <v>408000</v>
      </c>
      <c r="E505" s="195">
        <f t="shared" si="18"/>
        <v>101.74563591022444</v>
      </c>
    </row>
    <row r="506" spans="1:5">
      <c r="A506" s="570" t="s">
        <v>322</v>
      </c>
      <c r="B506" s="567">
        <v>198000</v>
      </c>
      <c r="C506" s="4">
        <v>198000</v>
      </c>
      <c r="D506" s="81">
        <v>96987</v>
      </c>
      <c r="E506" s="195">
        <f t="shared" si="18"/>
        <v>48.983333333333334</v>
      </c>
    </row>
    <row r="507" spans="1:5" ht="22.5">
      <c r="A507" s="570" t="s">
        <v>314</v>
      </c>
      <c r="B507" s="567">
        <v>20000</v>
      </c>
      <c r="C507" s="4">
        <v>163100</v>
      </c>
      <c r="D507" s="81">
        <v>372750</v>
      </c>
      <c r="E507" s="195">
        <f t="shared" si="18"/>
        <v>228.54077253218884</v>
      </c>
    </row>
    <row r="508" spans="1:5">
      <c r="A508" s="570" t="s">
        <v>327</v>
      </c>
      <c r="B508" s="567">
        <v>6000</v>
      </c>
      <c r="C508" s="4">
        <v>6000</v>
      </c>
      <c r="D508" s="81">
        <v>2172</v>
      </c>
      <c r="E508" s="195">
        <f t="shared" si="18"/>
        <v>36.199999999999996</v>
      </c>
    </row>
    <row r="509" spans="1:5">
      <c r="A509" s="273" t="s">
        <v>438</v>
      </c>
      <c r="B509" s="567"/>
      <c r="C509" s="4"/>
      <c r="D509" s="81">
        <v>8046</v>
      </c>
      <c r="E509" s="195"/>
    </row>
    <row r="510" spans="1:5">
      <c r="A510" s="559" t="s">
        <v>272</v>
      </c>
      <c r="B510" s="560">
        <f>SUM(B504:B508)</f>
        <v>20070000</v>
      </c>
      <c r="C510" s="8">
        <f>SUM(C504:C508)</f>
        <v>20264053</v>
      </c>
      <c r="D510" s="179">
        <f>SUM(D504:D509)</f>
        <v>19487360</v>
      </c>
      <c r="E510" s="213">
        <f t="shared" si="18"/>
        <v>96.167138923294374</v>
      </c>
    </row>
    <row r="511" spans="1:5">
      <c r="A511" s="559"/>
      <c r="B511" s="560"/>
      <c r="C511" s="14"/>
      <c r="D511" s="81"/>
      <c r="E511" s="195"/>
    </row>
    <row r="512" spans="1:5">
      <c r="A512" s="273" t="s">
        <v>275</v>
      </c>
      <c r="B512" s="567">
        <v>5309000</v>
      </c>
      <c r="C512" s="4">
        <v>5361394</v>
      </c>
      <c r="D512" s="81">
        <v>5148674</v>
      </c>
      <c r="E512" s="195">
        <f t="shared" si="18"/>
        <v>96.032375162131345</v>
      </c>
    </row>
    <row r="513" spans="1:5">
      <c r="A513" s="273" t="s">
        <v>305</v>
      </c>
      <c r="B513" s="567">
        <v>131000</v>
      </c>
      <c r="C513" s="4">
        <v>131000</v>
      </c>
      <c r="D513" s="81">
        <v>134370</v>
      </c>
      <c r="E513" s="195">
        <f t="shared" si="18"/>
        <v>102.57251908396947</v>
      </c>
    </row>
    <row r="514" spans="1:5">
      <c r="A514" s="273" t="s">
        <v>331</v>
      </c>
      <c r="B514" s="567">
        <v>20000</v>
      </c>
      <c r="C514" s="4">
        <v>20000</v>
      </c>
      <c r="D514" s="81">
        <v>145823</v>
      </c>
      <c r="E514" s="195">
        <f t="shared" si="18"/>
        <v>729.11500000000001</v>
      </c>
    </row>
    <row r="515" spans="1:5">
      <c r="A515" s="273" t="s">
        <v>304</v>
      </c>
      <c r="B515" s="567">
        <v>73000</v>
      </c>
      <c r="C515" s="4">
        <v>73000</v>
      </c>
      <c r="D515" s="81">
        <v>74651</v>
      </c>
      <c r="E515" s="195">
        <f t="shared" si="18"/>
        <v>102.26164383561644</v>
      </c>
    </row>
    <row r="516" spans="1:5">
      <c r="A516" s="559" t="s">
        <v>271</v>
      </c>
      <c r="B516" s="560">
        <f>SUM(B512:B515)</f>
        <v>5533000</v>
      </c>
      <c r="C516" s="8">
        <f>SUM(C512:C515)</f>
        <v>5585394</v>
      </c>
      <c r="D516" s="179">
        <f>SUM(D512:D515)</f>
        <v>5503518</v>
      </c>
      <c r="E516" s="213">
        <f t="shared" si="18"/>
        <v>98.534105203679459</v>
      </c>
    </row>
    <row r="517" spans="1:5">
      <c r="A517" s="559"/>
      <c r="B517" s="560"/>
      <c r="C517" s="14"/>
      <c r="D517" s="81"/>
      <c r="E517" s="195"/>
    </row>
    <row r="518" spans="1:5">
      <c r="A518" s="570" t="s">
        <v>311</v>
      </c>
      <c r="B518" s="571">
        <v>10000</v>
      </c>
      <c r="C518" s="4">
        <v>10000</v>
      </c>
      <c r="D518" s="81">
        <v>2577</v>
      </c>
      <c r="E518" s="195">
        <f t="shared" si="18"/>
        <v>25.77</v>
      </c>
    </row>
    <row r="519" spans="1:5">
      <c r="A519" s="102" t="s">
        <v>289</v>
      </c>
      <c r="B519" s="574">
        <v>75000</v>
      </c>
      <c r="C519" s="4">
        <v>75000</v>
      </c>
      <c r="D519" s="81">
        <v>0</v>
      </c>
      <c r="E519" s="195">
        <f t="shared" si="18"/>
        <v>0</v>
      </c>
    </row>
    <row r="520" spans="1:5">
      <c r="A520" s="113" t="s">
        <v>288</v>
      </c>
      <c r="B520" s="573">
        <f>SUM(B518:B519)</f>
        <v>85000</v>
      </c>
      <c r="C520" s="8">
        <f>SUM(C518:C519)</f>
        <v>85000</v>
      </c>
      <c r="D520" s="179">
        <f>SUM(D518:D519)</f>
        <v>2577</v>
      </c>
      <c r="E520" s="213">
        <f t="shared" si="18"/>
        <v>3.0317647058823529</v>
      </c>
    </row>
    <row r="521" spans="1:5">
      <c r="A521" s="102" t="s">
        <v>301</v>
      </c>
      <c r="B521" s="561">
        <v>60000</v>
      </c>
      <c r="C521" s="4">
        <v>60000</v>
      </c>
      <c r="D521" s="81">
        <v>60769</v>
      </c>
      <c r="E521" s="195">
        <f t="shared" si="18"/>
        <v>101.28166666666667</v>
      </c>
    </row>
    <row r="522" spans="1:5">
      <c r="A522" s="102" t="s">
        <v>330</v>
      </c>
      <c r="B522" s="574">
        <v>15000</v>
      </c>
      <c r="C522" s="4">
        <v>15000</v>
      </c>
      <c r="D522" s="81">
        <v>28732</v>
      </c>
      <c r="E522" s="195">
        <f t="shared" si="18"/>
        <v>191.54666666666665</v>
      </c>
    </row>
    <row r="523" spans="1:5">
      <c r="A523" s="102" t="s">
        <v>300</v>
      </c>
      <c r="B523" s="574">
        <v>88000</v>
      </c>
      <c r="C523" s="4">
        <v>88000</v>
      </c>
      <c r="D523" s="81">
        <v>78740</v>
      </c>
      <c r="E523" s="195">
        <f t="shared" si="18"/>
        <v>89.477272727272734</v>
      </c>
    </row>
    <row r="524" spans="1:5">
      <c r="A524" s="102" t="s">
        <v>299</v>
      </c>
      <c r="B524" s="561">
        <v>90000</v>
      </c>
      <c r="C524" s="4">
        <v>90000</v>
      </c>
      <c r="D524" s="81">
        <v>197554</v>
      </c>
      <c r="E524" s="195">
        <f t="shared" si="18"/>
        <v>219.50444444444446</v>
      </c>
    </row>
    <row r="525" spans="1:5">
      <c r="A525" s="113" t="s">
        <v>298</v>
      </c>
      <c r="B525" s="573">
        <f>SUM(B521:B524)</f>
        <v>253000</v>
      </c>
      <c r="C525" s="8">
        <f>SUM(C521:C524)</f>
        <v>253000</v>
      </c>
      <c r="D525" s="179">
        <f>SUM(D521:D524)</f>
        <v>365795</v>
      </c>
      <c r="E525" s="213">
        <f t="shared" si="18"/>
        <v>144.58300395256919</v>
      </c>
    </row>
    <row r="526" spans="1:5">
      <c r="A526" s="91" t="s">
        <v>287</v>
      </c>
      <c r="B526" s="561">
        <v>50000</v>
      </c>
      <c r="C526" s="4">
        <v>50000</v>
      </c>
      <c r="D526" s="81">
        <v>43500</v>
      </c>
      <c r="E526" s="195">
        <f t="shared" si="18"/>
        <v>87</v>
      </c>
    </row>
    <row r="527" spans="1:5">
      <c r="A527" s="102" t="s">
        <v>297</v>
      </c>
      <c r="B527" s="561">
        <v>95000</v>
      </c>
      <c r="C527" s="4">
        <v>95000</v>
      </c>
      <c r="D527" s="81">
        <v>73136</v>
      </c>
      <c r="E527" s="195">
        <f t="shared" si="18"/>
        <v>76.985263157894735</v>
      </c>
    </row>
    <row r="528" spans="1:5">
      <c r="A528" s="108" t="s">
        <v>286</v>
      </c>
      <c r="B528" s="573">
        <f>SUM(B526:B527)</f>
        <v>145000</v>
      </c>
      <c r="C528" s="8">
        <f>SUM(C526:C527)</f>
        <v>145000</v>
      </c>
      <c r="D528" s="179">
        <f>SUM(D526:D527)</f>
        <v>116636</v>
      </c>
      <c r="E528" s="213">
        <f t="shared" si="18"/>
        <v>80.438620689655167</v>
      </c>
    </row>
    <row r="529" spans="1:5">
      <c r="A529" s="102" t="s">
        <v>296</v>
      </c>
      <c r="B529" s="574">
        <v>340000</v>
      </c>
      <c r="C529" s="4">
        <v>340000</v>
      </c>
      <c r="D529" s="81">
        <v>142646</v>
      </c>
      <c r="E529" s="195">
        <f t="shared" si="18"/>
        <v>41.95470588235294</v>
      </c>
    </row>
    <row r="530" spans="1:5">
      <c r="A530" s="102" t="s">
        <v>285</v>
      </c>
      <c r="B530" s="574">
        <v>120000</v>
      </c>
      <c r="C530" s="4">
        <v>120000</v>
      </c>
      <c r="D530" s="81">
        <v>63888</v>
      </c>
      <c r="E530" s="195">
        <f t="shared" si="18"/>
        <v>53.239999999999995</v>
      </c>
    </row>
    <row r="531" spans="1:5">
      <c r="A531" s="102" t="s">
        <v>284</v>
      </c>
      <c r="B531" s="574">
        <v>120000</v>
      </c>
      <c r="C531" s="4">
        <v>120000</v>
      </c>
      <c r="D531" s="81">
        <v>69305</v>
      </c>
      <c r="E531" s="195">
        <f t="shared" si="18"/>
        <v>57.754166666666663</v>
      </c>
    </row>
    <row r="532" spans="1:5">
      <c r="A532" s="108" t="s">
        <v>283</v>
      </c>
      <c r="B532" s="573">
        <f>SUM(B529:B531)</f>
        <v>580000</v>
      </c>
      <c r="C532" s="8">
        <f>SUM(C529:C531)</f>
        <v>580000</v>
      </c>
      <c r="D532" s="179">
        <f>SUM(D529:D531)</f>
        <v>275839</v>
      </c>
      <c r="E532" s="213">
        <f t="shared" si="18"/>
        <v>47.558448275862069</v>
      </c>
    </row>
    <row r="533" spans="1:5">
      <c r="A533" s="102" t="s">
        <v>295</v>
      </c>
      <c r="B533" s="574">
        <v>120000</v>
      </c>
      <c r="C533" s="4">
        <v>120000</v>
      </c>
      <c r="D533" s="81">
        <v>83984</v>
      </c>
      <c r="E533" s="195">
        <f t="shared" si="18"/>
        <v>69.986666666666665</v>
      </c>
    </row>
    <row r="534" spans="1:5" ht="22.5">
      <c r="A534" s="102" t="s">
        <v>293</v>
      </c>
      <c r="B534" s="561">
        <v>60000</v>
      </c>
      <c r="C534" s="4">
        <v>60000</v>
      </c>
      <c r="D534" s="81">
        <v>27296</v>
      </c>
      <c r="E534" s="195">
        <f t="shared" si="18"/>
        <v>45.493333333333332</v>
      </c>
    </row>
    <row r="535" spans="1:5">
      <c r="A535" s="108" t="s">
        <v>281</v>
      </c>
      <c r="B535" s="573">
        <f>SUM(B533:B534)</f>
        <v>180000</v>
      </c>
      <c r="C535" s="8">
        <f>SUM(C533:C534)</f>
        <v>180000</v>
      </c>
      <c r="D535" s="179">
        <f>SUM(D533:D534)</f>
        <v>111280</v>
      </c>
      <c r="E535" s="213">
        <f t="shared" si="18"/>
        <v>61.822222222222223</v>
      </c>
    </row>
    <row r="536" spans="1:5">
      <c r="A536" s="102" t="s">
        <v>280</v>
      </c>
      <c r="B536" s="574">
        <f>(B518+B519+B522+B523+B526+B527+B529+B530+B531+B533+B521+B524+B534)*0.27</f>
        <v>335610</v>
      </c>
      <c r="C536" s="4">
        <v>335610</v>
      </c>
      <c r="D536" s="81">
        <v>229396</v>
      </c>
      <c r="E536" s="195">
        <f t="shared" si="18"/>
        <v>68.351956139566767</v>
      </c>
    </row>
    <row r="537" spans="1:5" ht="14.25" customHeight="1">
      <c r="A537" s="113" t="s">
        <v>279</v>
      </c>
      <c r="B537" s="573">
        <f>SUM(B536:B536)</f>
        <v>335610</v>
      </c>
      <c r="C537" s="8">
        <f>SUM(C536)</f>
        <v>335610</v>
      </c>
      <c r="D537" s="179">
        <f>SUM(D536)</f>
        <v>229396</v>
      </c>
      <c r="E537" s="213">
        <f t="shared" si="18"/>
        <v>68.351956139566767</v>
      </c>
    </row>
    <row r="538" spans="1:5">
      <c r="A538" s="113"/>
      <c r="B538" s="561"/>
      <c r="C538" s="14"/>
      <c r="D538" s="81"/>
      <c r="E538" s="195"/>
    </row>
    <row r="539" spans="1:5">
      <c r="A539" s="112" t="s">
        <v>278</v>
      </c>
      <c r="B539" s="573">
        <f>B520+B525+B528+B532+B535+B537</f>
        <v>1578610</v>
      </c>
      <c r="C539" s="8">
        <f>SUM(B539)</f>
        <v>1578610</v>
      </c>
      <c r="D539" s="179">
        <f>D520+D525+D528+D532+D535+D537</f>
        <v>1101523</v>
      </c>
      <c r="E539" s="213">
        <f t="shared" si="18"/>
        <v>69.778032572959759</v>
      </c>
    </row>
    <row r="540" spans="1:5">
      <c r="A540" s="112"/>
      <c r="B540" s="562"/>
      <c r="C540" s="14"/>
      <c r="D540" s="81"/>
      <c r="E540" s="195"/>
    </row>
    <row r="541" spans="1:5">
      <c r="A541" s="564" t="s">
        <v>274</v>
      </c>
      <c r="B541" s="560">
        <f>B510+B516+B539</f>
        <v>27181610</v>
      </c>
      <c r="C541" s="8">
        <v>27428057</v>
      </c>
      <c r="D541" s="179">
        <f>D510+D516+D539</f>
        <v>26092401</v>
      </c>
      <c r="E541" s="213">
        <f t="shared" si="18"/>
        <v>95.130329501648632</v>
      </c>
    </row>
    <row r="542" spans="1:5">
      <c r="A542" s="564"/>
      <c r="B542" s="562"/>
      <c r="C542" s="14"/>
      <c r="D542" s="81"/>
      <c r="E542" s="81"/>
    </row>
    <row r="543" spans="1:5">
      <c r="A543" s="659" t="s">
        <v>329</v>
      </c>
      <c r="B543" s="660"/>
      <c r="C543" s="275"/>
      <c r="D543" s="296"/>
      <c r="E543" s="297"/>
    </row>
    <row r="544" spans="1:5">
      <c r="A544" s="569"/>
      <c r="B544" s="560"/>
      <c r="C544" s="14"/>
      <c r="D544" s="81"/>
      <c r="E544" s="81"/>
    </row>
    <row r="545" spans="1:5">
      <c r="A545" s="273" t="s">
        <v>328</v>
      </c>
      <c r="B545" s="567">
        <v>5592000</v>
      </c>
      <c r="C545" s="4">
        <v>5726602</v>
      </c>
      <c r="D545" s="81">
        <v>5916104</v>
      </c>
      <c r="E545" s="195">
        <f t="shared" ref="E545:E583" si="19">D545/C545*100</f>
        <v>103.30915261790501</v>
      </c>
    </row>
    <row r="546" spans="1:5">
      <c r="A546" s="570" t="s">
        <v>307</v>
      </c>
      <c r="B546" s="567">
        <v>76000</v>
      </c>
      <c r="C546" s="4">
        <v>76000</v>
      </c>
      <c r="D546" s="81">
        <v>263000</v>
      </c>
      <c r="E546" s="195">
        <f t="shared" si="19"/>
        <v>346.0526315789474</v>
      </c>
    </row>
    <row r="547" spans="1:5">
      <c r="A547" s="570" t="s">
        <v>322</v>
      </c>
      <c r="B547" s="567">
        <v>84000</v>
      </c>
      <c r="C547" s="4">
        <v>114000</v>
      </c>
      <c r="D547" s="81">
        <f>2936+21803</f>
        <v>24739</v>
      </c>
      <c r="E547" s="195">
        <f t="shared" si="19"/>
        <v>21.700877192982457</v>
      </c>
    </row>
    <row r="548" spans="1:5">
      <c r="A548" s="570" t="s">
        <v>327</v>
      </c>
      <c r="B548" s="567">
        <v>6000</v>
      </c>
      <c r="C548" s="4">
        <v>6000</v>
      </c>
      <c r="D548" s="81">
        <v>0</v>
      </c>
      <c r="E548" s="195">
        <f t="shared" si="19"/>
        <v>0</v>
      </c>
    </row>
    <row r="549" spans="1:5">
      <c r="A549" s="570" t="s">
        <v>375</v>
      </c>
      <c r="B549" s="567"/>
      <c r="C549" s="4">
        <v>91400</v>
      </c>
      <c r="D549" s="81">
        <v>219900</v>
      </c>
      <c r="E549" s="195">
        <f t="shared" si="19"/>
        <v>240.59080962800877</v>
      </c>
    </row>
    <row r="550" spans="1:5">
      <c r="A550" s="570" t="s">
        <v>438</v>
      </c>
      <c r="B550" s="567"/>
      <c r="C550" s="4"/>
      <c r="D550" s="81">
        <v>76000</v>
      </c>
      <c r="E550" s="195"/>
    </row>
    <row r="551" spans="1:5">
      <c r="A551" s="559" t="s">
        <v>272</v>
      </c>
      <c r="B551" s="560">
        <f>SUM(B545:B548)</f>
        <v>5758000</v>
      </c>
      <c r="C551" s="8">
        <f>SUM(C545:C549)</f>
        <v>6014002</v>
      </c>
      <c r="D551" s="179">
        <f>SUM(D545:D550)</f>
        <v>6499743</v>
      </c>
      <c r="E551" s="213">
        <f t="shared" si="19"/>
        <v>108.07683469343708</v>
      </c>
    </row>
    <row r="552" spans="1:5">
      <c r="A552" s="559"/>
      <c r="B552" s="560"/>
      <c r="C552" s="14"/>
      <c r="D552" s="81"/>
      <c r="E552" s="195"/>
    </row>
    <row r="553" spans="1:5">
      <c r="A553" s="273" t="s">
        <v>275</v>
      </c>
      <c r="B553" s="567">
        <v>1533000</v>
      </c>
      <c r="C553" s="4">
        <v>1594020</v>
      </c>
      <c r="D553" s="81">
        <v>1662607</v>
      </c>
      <c r="E553" s="195">
        <f t="shared" si="19"/>
        <v>104.30276909950942</v>
      </c>
    </row>
    <row r="554" spans="1:5">
      <c r="A554" s="273" t="s">
        <v>305</v>
      </c>
      <c r="B554" s="567">
        <v>26000</v>
      </c>
      <c r="C554" s="4">
        <v>26000</v>
      </c>
      <c r="D554" s="81">
        <v>0</v>
      </c>
      <c r="E554" s="195">
        <f t="shared" si="19"/>
        <v>0</v>
      </c>
    </row>
    <row r="555" spans="1:5">
      <c r="A555" s="273" t="s">
        <v>312</v>
      </c>
      <c r="B555" s="567">
        <v>10000</v>
      </c>
      <c r="C555" s="4">
        <v>10000</v>
      </c>
      <c r="D555" s="81">
        <v>0</v>
      </c>
      <c r="E555" s="195">
        <f t="shared" si="19"/>
        <v>0</v>
      </c>
    </row>
    <row r="556" spans="1:5">
      <c r="A556" s="273" t="s">
        <v>304</v>
      </c>
      <c r="B556" s="567">
        <v>15000</v>
      </c>
      <c r="C556" s="4">
        <v>15000</v>
      </c>
      <c r="D556" s="81">
        <v>46945</v>
      </c>
      <c r="E556" s="195">
        <f t="shared" si="19"/>
        <v>312.96666666666664</v>
      </c>
    </row>
    <row r="557" spans="1:5">
      <c r="A557" s="559" t="s">
        <v>271</v>
      </c>
      <c r="B557" s="560">
        <f>SUM(B553:B556)</f>
        <v>1584000</v>
      </c>
      <c r="C557" s="8">
        <f>SUM(C553:C556)</f>
        <v>1645020</v>
      </c>
      <c r="D557" s="179">
        <f>SUM(D553:D556)</f>
        <v>1709552</v>
      </c>
      <c r="E557" s="213">
        <f t="shared" si="19"/>
        <v>103.92287023865971</v>
      </c>
    </row>
    <row r="558" spans="1:5">
      <c r="A558" s="559"/>
      <c r="B558" s="560"/>
      <c r="C558" s="14"/>
      <c r="D558" s="81"/>
      <c r="E558" s="195"/>
    </row>
    <row r="559" spans="1:5">
      <c r="A559" s="102" t="s">
        <v>289</v>
      </c>
      <c r="B559" s="561">
        <v>20000</v>
      </c>
      <c r="C559" s="4">
        <v>20000</v>
      </c>
      <c r="D559" s="81">
        <v>0</v>
      </c>
      <c r="E559" s="195">
        <f t="shared" si="19"/>
        <v>0</v>
      </c>
    </row>
    <row r="560" spans="1:5">
      <c r="A560" s="113" t="s">
        <v>288</v>
      </c>
      <c r="B560" s="573">
        <f>SUM(B559:B559)</f>
        <v>20000</v>
      </c>
      <c r="C560" s="8">
        <f>SUM(C559)</f>
        <v>20000</v>
      </c>
      <c r="D560" s="179">
        <f>+D565+D568+D573+D576+D578+D580</f>
        <v>1218800</v>
      </c>
      <c r="E560" s="213">
        <f t="shared" si="19"/>
        <v>6094</v>
      </c>
    </row>
    <row r="561" spans="1:5">
      <c r="A561" s="102" t="s">
        <v>301</v>
      </c>
      <c r="B561" s="574">
        <v>120000</v>
      </c>
      <c r="C561" s="4">
        <v>120000</v>
      </c>
      <c r="D561" s="81">
        <v>132804</v>
      </c>
      <c r="E561" s="195">
        <f t="shared" si="19"/>
        <v>110.67</v>
      </c>
    </row>
    <row r="562" spans="1:5">
      <c r="A562" s="102" t="s">
        <v>439</v>
      </c>
      <c r="B562" s="574"/>
      <c r="C562" s="4"/>
      <c r="D562" s="81">
        <v>3153</v>
      </c>
      <c r="E562" s="195"/>
    </row>
    <row r="563" spans="1:5">
      <c r="A563" s="102" t="s">
        <v>300</v>
      </c>
      <c r="B563" s="574">
        <v>24000</v>
      </c>
      <c r="C563" s="4">
        <v>24000</v>
      </c>
      <c r="D563" s="81">
        <v>23622</v>
      </c>
      <c r="E563" s="195">
        <f t="shared" si="19"/>
        <v>98.424999999999997</v>
      </c>
    </row>
    <row r="564" spans="1:5">
      <c r="A564" s="102" t="s">
        <v>299</v>
      </c>
      <c r="B564" s="561">
        <v>50000</v>
      </c>
      <c r="C564" s="4">
        <v>50000</v>
      </c>
      <c r="D564" s="81">
        <v>69202</v>
      </c>
      <c r="E564" s="195">
        <f t="shared" si="19"/>
        <v>138.404</v>
      </c>
    </row>
    <row r="565" spans="1:5">
      <c r="A565" s="113" t="s">
        <v>298</v>
      </c>
      <c r="B565" s="573">
        <f>SUM(B561:B564)</f>
        <v>194000</v>
      </c>
      <c r="C565" s="8">
        <f>SUM(C561:C564)</f>
        <v>194000</v>
      </c>
      <c r="D565" s="179">
        <f>SUM(D561:D564)</f>
        <v>228781</v>
      </c>
      <c r="E565" s="213">
        <f t="shared" si="19"/>
        <v>117.9283505154639</v>
      </c>
    </row>
    <row r="566" spans="1:5">
      <c r="A566" s="91" t="s">
        <v>287</v>
      </c>
      <c r="B566" s="561">
        <v>210000</v>
      </c>
      <c r="C566" s="4">
        <v>210000</v>
      </c>
      <c r="D566" s="81">
        <v>210168</v>
      </c>
      <c r="E566" s="195">
        <f t="shared" si="19"/>
        <v>100.07999999999998</v>
      </c>
    </row>
    <row r="567" spans="1:5">
      <c r="A567" s="102" t="s">
        <v>297</v>
      </c>
      <c r="B567" s="561">
        <v>100000</v>
      </c>
      <c r="C567" s="4">
        <v>100000</v>
      </c>
      <c r="D567" s="81">
        <v>83299</v>
      </c>
      <c r="E567" s="195">
        <f t="shared" si="19"/>
        <v>83.299000000000007</v>
      </c>
    </row>
    <row r="568" spans="1:5">
      <c r="A568" s="108" t="s">
        <v>286</v>
      </c>
      <c r="B568" s="573">
        <f>SUM(B566:B567)</f>
        <v>310000</v>
      </c>
      <c r="C568" s="8">
        <f>SUM(C566:C567)</f>
        <v>310000</v>
      </c>
      <c r="D568" s="179">
        <f>SUM(D566:D567)</f>
        <v>293467</v>
      </c>
      <c r="E568" s="213">
        <f t="shared" si="19"/>
        <v>94.666774193548392</v>
      </c>
    </row>
    <row r="569" spans="1:5">
      <c r="A569" s="91" t="s">
        <v>316</v>
      </c>
      <c r="B569" s="574">
        <v>90000</v>
      </c>
      <c r="C569" s="4">
        <v>90000</v>
      </c>
      <c r="D569" s="81">
        <v>17082</v>
      </c>
      <c r="E569" s="195">
        <f t="shared" si="19"/>
        <v>18.98</v>
      </c>
    </row>
    <row r="570" spans="1:5">
      <c r="A570" s="102" t="s">
        <v>296</v>
      </c>
      <c r="B570" s="574">
        <v>180000</v>
      </c>
      <c r="C570" s="4">
        <v>180000</v>
      </c>
      <c r="D570" s="81">
        <v>116931</v>
      </c>
      <c r="E570" s="195">
        <f t="shared" si="19"/>
        <v>64.961666666666659</v>
      </c>
    </row>
    <row r="571" spans="1:5">
      <c r="A571" s="102" t="s">
        <v>285</v>
      </c>
      <c r="B571" s="574">
        <v>55000</v>
      </c>
      <c r="C571" s="4">
        <v>55000</v>
      </c>
      <c r="D571" s="81">
        <v>54885</v>
      </c>
      <c r="E571" s="195">
        <f t="shared" si="19"/>
        <v>99.790909090909082</v>
      </c>
    </row>
    <row r="572" spans="1:5">
      <c r="A572" s="102" t="s">
        <v>284</v>
      </c>
      <c r="B572" s="574">
        <v>40000</v>
      </c>
      <c r="C572" s="4">
        <v>40000</v>
      </c>
      <c r="D572" s="81">
        <v>10231</v>
      </c>
      <c r="E572" s="195">
        <f t="shared" si="19"/>
        <v>25.577499999999997</v>
      </c>
    </row>
    <row r="573" spans="1:5">
      <c r="A573" s="108" t="s">
        <v>283</v>
      </c>
      <c r="B573" s="573">
        <f>SUM(B569:B572)</f>
        <v>365000</v>
      </c>
      <c r="C573" s="8">
        <f>SUM(C569:C572)</f>
        <v>365000</v>
      </c>
      <c r="D573" s="179">
        <f>SUM(D569:D572)</f>
        <v>199129</v>
      </c>
      <c r="E573" s="213">
        <f t="shared" si="19"/>
        <v>54.555890410958909</v>
      </c>
    </row>
    <row r="574" spans="1:5">
      <c r="A574" s="102" t="s">
        <v>295</v>
      </c>
      <c r="B574" s="574">
        <v>100000</v>
      </c>
      <c r="C574" s="4">
        <v>100000</v>
      </c>
      <c r="D574" s="81">
        <v>83484</v>
      </c>
      <c r="E574" s="195">
        <f t="shared" si="19"/>
        <v>83.484000000000009</v>
      </c>
    </row>
    <row r="575" spans="1:5" ht="22.5">
      <c r="A575" s="102" t="s">
        <v>293</v>
      </c>
      <c r="B575" s="574">
        <v>80000</v>
      </c>
      <c r="C575" s="4">
        <v>80000</v>
      </c>
      <c r="D575" s="81">
        <v>185555</v>
      </c>
      <c r="E575" s="195">
        <f t="shared" si="19"/>
        <v>231.94374999999999</v>
      </c>
    </row>
    <row r="576" spans="1:5">
      <c r="A576" s="108" t="s">
        <v>281</v>
      </c>
      <c r="B576" s="573">
        <f>SUM(B574:B575)</f>
        <v>180000</v>
      </c>
      <c r="C576" s="8">
        <f>SUM(C574:C575)</f>
        <v>180000</v>
      </c>
      <c r="D576" s="179">
        <f>SUM(D574:D575)</f>
        <v>269039</v>
      </c>
      <c r="E576" s="213">
        <f t="shared" si="19"/>
        <v>149.46611111111113</v>
      </c>
    </row>
    <row r="577" spans="1:5">
      <c r="A577" s="102" t="s">
        <v>292</v>
      </c>
      <c r="B577" s="561">
        <v>30000</v>
      </c>
      <c r="C577" s="14">
        <v>0</v>
      </c>
      <c r="D577" s="81">
        <v>15650</v>
      </c>
      <c r="E577" s="195"/>
    </row>
    <row r="578" spans="1:5" ht="22.5">
      <c r="A578" s="108" t="s">
        <v>291</v>
      </c>
      <c r="B578" s="573">
        <f>SUM(B577:B577)</f>
        <v>30000</v>
      </c>
      <c r="C578" s="268">
        <f>SUM(C577)</f>
        <v>0</v>
      </c>
      <c r="D578" s="179">
        <f>SUM(D577)</f>
        <v>15650</v>
      </c>
      <c r="E578" s="195"/>
    </row>
    <row r="579" spans="1:5">
      <c r="A579" s="102" t="s">
        <v>280</v>
      </c>
      <c r="B579" s="574">
        <f>(B559+B563+B566+B567+B570+B571+B572+B574+B577+B575+B564+B561)*0.27+B569*0.05</f>
        <v>276930</v>
      </c>
      <c r="C579" s="4">
        <v>276930</v>
      </c>
      <c r="D579" s="81">
        <v>212734</v>
      </c>
      <c r="E579" s="195">
        <f t="shared" si="19"/>
        <v>76.818690643845017</v>
      </c>
    </row>
    <row r="580" spans="1:5" ht="22.5">
      <c r="A580" s="113" t="s">
        <v>279</v>
      </c>
      <c r="B580" s="573">
        <f>SUM(B579:B579)</f>
        <v>276930</v>
      </c>
      <c r="C580" s="8">
        <f>SUM(C579)</f>
        <v>276930</v>
      </c>
      <c r="D580" s="179">
        <f>SUM(D579)</f>
        <v>212734</v>
      </c>
      <c r="E580" s="213">
        <f t="shared" si="19"/>
        <v>76.818690643845017</v>
      </c>
    </row>
    <row r="581" spans="1:5">
      <c r="A581" s="112" t="s">
        <v>278</v>
      </c>
      <c r="B581" s="573">
        <f>B560+B565+B568+B573+B576+B578+B580</f>
        <v>1375930</v>
      </c>
      <c r="C581" s="8">
        <v>1345930</v>
      </c>
      <c r="D581" s="179">
        <f>D560</f>
        <v>1218800</v>
      </c>
      <c r="E581" s="213">
        <f t="shared" si="19"/>
        <v>90.55448648889616</v>
      </c>
    </row>
    <row r="582" spans="1:5">
      <c r="A582" s="112"/>
      <c r="B582" s="560"/>
      <c r="C582" s="14"/>
      <c r="D582" s="81"/>
      <c r="E582" s="213"/>
    </row>
    <row r="583" spans="1:5">
      <c r="A583" s="564" t="s">
        <v>274</v>
      </c>
      <c r="B583" s="560">
        <f>B551+B557+B581</f>
        <v>8717930</v>
      </c>
      <c r="C583" s="8">
        <v>9004952</v>
      </c>
      <c r="D583" s="179">
        <f>D551+D557+D581</f>
        <v>9428095</v>
      </c>
      <c r="E583" s="213">
        <f t="shared" si="19"/>
        <v>104.69900339279987</v>
      </c>
    </row>
    <row r="584" spans="1:5">
      <c r="A584" s="564"/>
      <c r="B584" s="560"/>
      <c r="C584" s="14"/>
      <c r="D584" s="81"/>
      <c r="E584" s="81"/>
    </row>
    <row r="585" spans="1:5">
      <c r="A585" s="651" t="s">
        <v>107</v>
      </c>
      <c r="B585" s="652"/>
      <c r="C585" s="275"/>
      <c r="D585" s="296"/>
      <c r="E585" s="297"/>
    </row>
    <row r="586" spans="1:5">
      <c r="A586" s="569"/>
      <c r="B586" s="569"/>
      <c r="C586" s="14"/>
      <c r="D586" s="81"/>
      <c r="E586" s="81"/>
    </row>
    <row r="587" spans="1:5">
      <c r="A587" s="273" t="s">
        <v>326</v>
      </c>
      <c r="B587" s="571">
        <v>1862000</v>
      </c>
      <c r="C587" s="4">
        <v>1905192</v>
      </c>
      <c r="D587" s="81">
        <v>1862063</v>
      </c>
      <c r="E587" s="195">
        <f t="shared" ref="E587:E605" si="20">D587/C587*100</f>
        <v>97.736238657311176</v>
      </c>
    </row>
    <row r="588" spans="1:5">
      <c r="A588" s="570" t="s">
        <v>307</v>
      </c>
      <c r="B588" s="571">
        <v>32000</v>
      </c>
      <c r="C588" s="4">
        <v>32000</v>
      </c>
      <c r="D588" s="81">
        <v>40000</v>
      </c>
      <c r="E588" s="195">
        <f t="shared" si="20"/>
        <v>125</v>
      </c>
    </row>
    <row r="589" spans="1:5">
      <c r="A589" s="570" t="s">
        <v>322</v>
      </c>
      <c r="B589" s="571">
        <v>18000</v>
      </c>
      <c r="C589" s="4">
        <v>18000</v>
      </c>
      <c r="D589" s="81">
        <v>9022</v>
      </c>
      <c r="E589" s="195">
        <f t="shared" si="20"/>
        <v>50.12222222222222</v>
      </c>
    </row>
    <row r="590" spans="1:5">
      <c r="A590" s="570" t="s">
        <v>375</v>
      </c>
      <c r="B590" s="571"/>
      <c r="C590" s="4">
        <v>43700</v>
      </c>
      <c r="D590" s="81">
        <v>86900</v>
      </c>
      <c r="E590" s="195">
        <f t="shared" si="20"/>
        <v>198.85583524027459</v>
      </c>
    </row>
    <row r="591" spans="1:5">
      <c r="A591" s="559" t="s">
        <v>272</v>
      </c>
      <c r="B591" s="572">
        <f>SUM(B587:B589)</f>
        <v>1912000</v>
      </c>
      <c r="C591" s="8">
        <f>SUM(C587:C590)</f>
        <v>1998892</v>
      </c>
      <c r="D591" s="179">
        <f>SUM(D587:D590)</f>
        <v>1997985</v>
      </c>
      <c r="E591" s="213">
        <f t="shared" si="20"/>
        <v>99.954624862173645</v>
      </c>
    </row>
    <row r="592" spans="1:5">
      <c r="A592" s="273" t="s">
        <v>275</v>
      </c>
      <c r="B592" s="571">
        <v>508000</v>
      </c>
      <c r="C592" s="4">
        <v>531462</v>
      </c>
      <c r="D592" s="81">
        <v>528657</v>
      </c>
      <c r="E592" s="195">
        <f t="shared" si="20"/>
        <v>99.472210619009445</v>
      </c>
    </row>
    <row r="593" spans="1:5">
      <c r="A593" s="273" t="s">
        <v>305</v>
      </c>
      <c r="B593" s="571">
        <v>10000</v>
      </c>
      <c r="C593" s="4">
        <v>10000</v>
      </c>
      <c r="D593" s="81">
        <v>12852</v>
      </c>
      <c r="E593" s="195">
        <f t="shared" si="20"/>
        <v>128.51999999999998</v>
      </c>
    </row>
    <row r="594" spans="1:5">
      <c r="A594" s="273" t="s">
        <v>304</v>
      </c>
      <c r="B594" s="571">
        <v>6000</v>
      </c>
      <c r="C594" s="4">
        <v>6000</v>
      </c>
      <c r="D594" s="81">
        <v>7140</v>
      </c>
      <c r="E594" s="195">
        <f t="shared" si="20"/>
        <v>119</v>
      </c>
    </row>
    <row r="595" spans="1:5">
      <c r="A595" s="559" t="s">
        <v>271</v>
      </c>
      <c r="B595" s="572">
        <f>SUM(B592:B594)</f>
        <v>524000</v>
      </c>
      <c r="C595" s="8">
        <f>SUM(C592:C594)</f>
        <v>547462</v>
      </c>
      <c r="D595" s="179">
        <f>SUM(D592:D594)</f>
        <v>548649</v>
      </c>
      <c r="E595" s="213">
        <f t="shared" si="20"/>
        <v>100.21681870157198</v>
      </c>
    </row>
    <row r="596" spans="1:5">
      <c r="A596" s="559"/>
      <c r="B596" s="572"/>
      <c r="C596" s="14"/>
      <c r="D596" s="81"/>
      <c r="E596" s="195"/>
    </row>
    <row r="597" spans="1:5">
      <c r="A597" s="91" t="s">
        <v>318</v>
      </c>
      <c r="B597" s="561">
        <v>13441000</v>
      </c>
      <c r="C597" s="4">
        <v>13441000</v>
      </c>
      <c r="D597" s="81">
        <v>12831157</v>
      </c>
      <c r="E597" s="195">
        <f t="shared" si="20"/>
        <v>95.462815266721222</v>
      </c>
    </row>
    <row r="598" spans="1:5">
      <c r="A598" s="91" t="s">
        <v>301</v>
      </c>
      <c r="B598" s="561"/>
      <c r="C598" s="4"/>
      <c r="D598" s="81">
        <v>24172</v>
      </c>
      <c r="E598" s="195"/>
    </row>
    <row r="599" spans="1:5">
      <c r="A599" s="102" t="s">
        <v>300</v>
      </c>
      <c r="B599" s="561">
        <v>8000</v>
      </c>
      <c r="C599" s="4">
        <v>8000</v>
      </c>
      <c r="D599" s="81">
        <v>15748</v>
      </c>
      <c r="E599" s="195">
        <f t="shared" si="20"/>
        <v>196.85</v>
      </c>
    </row>
    <row r="600" spans="1:5">
      <c r="A600" s="102" t="s">
        <v>429</v>
      </c>
      <c r="B600" s="561"/>
      <c r="C600" s="4"/>
      <c r="D600" s="81">
        <v>12185</v>
      </c>
      <c r="E600" s="195"/>
    </row>
    <row r="601" spans="1:5">
      <c r="A601" s="102" t="s">
        <v>280</v>
      </c>
      <c r="B601" s="561">
        <f>(B597+B599)*0.27</f>
        <v>3631230.0000000005</v>
      </c>
      <c r="C601" s="4">
        <v>3631230</v>
      </c>
      <c r="D601" s="81">
        <f>3464412+14070+1700</f>
        <v>3480182</v>
      </c>
      <c r="E601" s="195">
        <f t="shared" si="20"/>
        <v>95.840307554189636</v>
      </c>
    </row>
    <row r="602" spans="1:5">
      <c r="A602" s="108" t="s">
        <v>281</v>
      </c>
      <c r="B602" s="562">
        <f>B597+B599+B601</f>
        <v>17080230</v>
      </c>
      <c r="C602" s="8">
        <f>SUM(C597:C601)</f>
        <v>17080230</v>
      </c>
      <c r="D602" s="179">
        <f>SUM(D597:D601)</f>
        <v>16363444</v>
      </c>
      <c r="E602" s="213">
        <f t="shared" si="20"/>
        <v>95.803417167099042</v>
      </c>
    </row>
    <row r="603" spans="1:5">
      <c r="A603" s="112" t="s">
        <v>278</v>
      </c>
      <c r="B603" s="562">
        <f>B602</f>
        <v>17080230</v>
      </c>
      <c r="C603" s="8">
        <f>SUM(C602)</f>
        <v>17080230</v>
      </c>
      <c r="D603" s="179">
        <f>D602</f>
        <v>16363444</v>
      </c>
      <c r="E603" s="213">
        <f t="shared" si="20"/>
        <v>95.803417167099042</v>
      </c>
    </row>
    <row r="604" spans="1:5">
      <c r="A604" s="112"/>
      <c r="B604" s="562"/>
      <c r="C604" s="14"/>
      <c r="D604" s="81"/>
      <c r="E604" s="195"/>
    </row>
    <row r="605" spans="1:5">
      <c r="A605" s="564" t="s">
        <v>274</v>
      </c>
      <c r="B605" s="560">
        <f>B591+B595+B602</f>
        <v>19516230</v>
      </c>
      <c r="C605" s="8">
        <v>19626584</v>
      </c>
      <c r="D605" s="179">
        <f>D591+D595+D602</f>
        <v>18910078</v>
      </c>
      <c r="E605" s="213">
        <f t="shared" si="20"/>
        <v>96.349308672359896</v>
      </c>
    </row>
    <row r="606" spans="1:5">
      <c r="A606" s="564"/>
      <c r="B606" s="560"/>
      <c r="C606" s="14"/>
      <c r="D606" s="81"/>
      <c r="E606" s="81"/>
    </row>
    <row r="607" spans="1:5">
      <c r="A607" s="653" t="s">
        <v>129</v>
      </c>
      <c r="B607" s="653"/>
      <c r="C607" s="653"/>
      <c r="D607" s="653"/>
      <c r="E607" s="653"/>
    </row>
    <row r="608" spans="1:5">
      <c r="A608" s="564"/>
      <c r="B608" s="560"/>
      <c r="C608" s="14"/>
      <c r="D608" s="81"/>
      <c r="E608" s="81"/>
    </row>
    <row r="609" spans="1:5">
      <c r="A609" s="651" t="s">
        <v>325</v>
      </c>
      <c r="B609" s="652"/>
      <c r="C609" s="275"/>
      <c r="D609" s="296"/>
      <c r="E609" s="297"/>
    </row>
    <row r="610" spans="1:5">
      <c r="A610" s="273" t="s">
        <v>324</v>
      </c>
      <c r="B610" s="567">
        <v>18336000</v>
      </c>
      <c r="C610" s="4">
        <v>18223588</v>
      </c>
      <c r="D610" s="81">
        <v>17597315</v>
      </c>
      <c r="E610" s="195">
        <f t="shared" ref="E610:E647" si="21">D610/C610*100</f>
        <v>96.563393553453921</v>
      </c>
    </row>
    <row r="611" spans="1:5">
      <c r="A611" s="570" t="s">
        <v>307</v>
      </c>
      <c r="B611" s="567">
        <v>275000</v>
      </c>
      <c r="C611" s="4">
        <v>275000</v>
      </c>
      <c r="D611" s="81">
        <v>242500</v>
      </c>
      <c r="E611" s="195">
        <f t="shared" si="21"/>
        <v>88.181818181818187</v>
      </c>
    </row>
    <row r="612" spans="1:5">
      <c r="A612" s="570" t="s">
        <v>323</v>
      </c>
      <c r="B612" s="567">
        <v>645000</v>
      </c>
      <c r="C612" s="4">
        <v>645000</v>
      </c>
      <c r="D612" s="81">
        <v>1200000</v>
      </c>
      <c r="E612" s="195">
        <f t="shared" si="21"/>
        <v>186.04651162790697</v>
      </c>
    </row>
    <row r="613" spans="1:5">
      <c r="A613" s="570" t="s">
        <v>322</v>
      </c>
      <c r="B613" s="571">
        <v>144000</v>
      </c>
      <c r="C613" s="4">
        <v>144000</v>
      </c>
      <c r="D613" s="81">
        <f>3245+72177</f>
        <v>75422</v>
      </c>
      <c r="E613" s="195">
        <f t="shared" si="21"/>
        <v>52.37638888888889</v>
      </c>
    </row>
    <row r="614" spans="1:5">
      <c r="A614" s="570" t="s">
        <v>375</v>
      </c>
      <c r="B614" s="571"/>
      <c r="C614" s="4">
        <v>410300</v>
      </c>
      <c r="D614" s="81">
        <v>944739</v>
      </c>
      <c r="E614" s="195">
        <f t="shared" si="21"/>
        <v>230.2556665854253</v>
      </c>
    </row>
    <row r="615" spans="1:5">
      <c r="A615" s="559" t="s">
        <v>272</v>
      </c>
      <c r="B615" s="572">
        <f>SUM(B610:B613)</f>
        <v>19400000</v>
      </c>
      <c r="C615" s="8">
        <f>SUM(C610:C614)</f>
        <v>19697888</v>
      </c>
      <c r="D615" s="179">
        <f>SUM(D610:D614)</f>
        <v>20059976</v>
      </c>
      <c r="E615" s="213">
        <f t="shared" si="21"/>
        <v>101.83820722302816</v>
      </c>
    </row>
    <row r="616" spans="1:5">
      <c r="A616" s="559"/>
      <c r="B616" s="560"/>
      <c r="C616" s="14"/>
      <c r="D616" s="81"/>
      <c r="E616" s="195"/>
    </row>
    <row r="617" spans="1:5">
      <c r="A617" s="273" t="s">
        <v>275</v>
      </c>
      <c r="B617" s="571">
        <v>5164000</v>
      </c>
      <c r="C617" s="4">
        <v>5244430</v>
      </c>
      <c r="D617" s="81">
        <v>5349852</v>
      </c>
      <c r="E617" s="195">
        <f t="shared" si="21"/>
        <v>102.01017079072463</v>
      </c>
    </row>
    <row r="618" spans="1:5">
      <c r="A618" s="273" t="s">
        <v>305</v>
      </c>
      <c r="B618" s="571">
        <v>88000</v>
      </c>
      <c r="C618" s="4">
        <v>88000</v>
      </c>
      <c r="D618" s="81">
        <v>77914</v>
      </c>
      <c r="E618" s="195">
        <f t="shared" si="21"/>
        <v>88.538636363636357</v>
      </c>
    </row>
    <row r="619" spans="1:5">
      <c r="A619" s="273" t="s">
        <v>312</v>
      </c>
      <c r="B619" s="571">
        <v>30000</v>
      </c>
      <c r="C619" s="4">
        <v>30000</v>
      </c>
      <c r="D619" s="81">
        <v>4894</v>
      </c>
      <c r="E619" s="195">
        <f t="shared" si="21"/>
        <v>16.313333333333333</v>
      </c>
    </row>
    <row r="620" spans="1:5">
      <c r="A620" s="273" t="s">
        <v>304</v>
      </c>
      <c r="B620" s="571">
        <v>49000</v>
      </c>
      <c r="C620" s="4">
        <v>49000</v>
      </c>
      <c r="D620" s="81">
        <v>43286</v>
      </c>
      <c r="E620" s="195">
        <f t="shared" si="21"/>
        <v>88.338775510204087</v>
      </c>
    </row>
    <row r="621" spans="1:5">
      <c r="A621" s="559" t="s">
        <v>271</v>
      </c>
      <c r="B621" s="560">
        <f>SUM(B617:B620)</f>
        <v>5331000</v>
      </c>
      <c r="C621" s="8">
        <f>SUM(C617:C620)</f>
        <v>5411430</v>
      </c>
      <c r="D621" s="179">
        <f>SUM(D617:D620)</f>
        <v>5475946</v>
      </c>
      <c r="E621" s="213">
        <f t="shared" si="21"/>
        <v>101.19221721430381</v>
      </c>
    </row>
    <row r="622" spans="1:5">
      <c r="A622" s="559"/>
      <c r="B622" s="560"/>
      <c r="C622" s="14"/>
      <c r="D622" s="81"/>
      <c r="E622" s="195"/>
    </row>
    <row r="623" spans="1:5">
      <c r="A623" s="570" t="s">
        <v>311</v>
      </c>
      <c r="B623" s="571">
        <v>10000</v>
      </c>
      <c r="C623" s="4">
        <v>10000</v>
      </c>
      <c r="D623" s="81">
        <v>3481</v>
      </c>
      <c r="E623" s="195">
        <f t="shared" si="21"/>
        <v>34.81</v>
      </c>
    </row>
    <row r="624" spans="1:5">
      <c r="A624" s="102" t="s">
        <v>310</v>
      </c>
      <c r="B624" s="571">
        <v>15000</v>
      </c>
      <c r="C624" s="4">
        <v>15000</v>
      </c>
      <c r="D624" s="81">
        <v>10585</v>
      </c>
      <c r="E624" s="195">
        <f t="shared" si="21"/>
        <v>70.566666666666663</v>
      </c>
    </row>
    <row r="625" spans="1:5">
      <c r="A625" s="102" t="s">
        <v>302</v>
      </c>
      <c r="B625" s="571">
        <v>20000</v>
      </c>
      <c r="C625" s="4">
        <v>20000</v>
      </c>
      <c r="D625" s="81">
        <v>0</v>
      </c>
      <c r="E625" s="195">
        <f t="shared" si="21"/>
        <v>0</v>
      </c>
    </row>
    <row r="626" spans="1:5">
      <c r="A626" s="102" t="s">
        <v>289</v>
      </c>
      <c r="B626" s="574">
        <v>20000</v>
      </c>
      <c r="C626" s="4">
        <v>20000</v>
      </c>
      <c r="D626" s="81">
        <v>4976</v>
      </c>
      <c r="E626" s="195">
        <f t="shared" si="21"/>
        <v>24.88</v>
      </c>
    </row>
    <row r="627" spans="1:5">
      <c r="A627" s="113" t="s">
        <v>288</v>
      </c>
      <c r="B627" s="573">
        <f>SUM(B623:B626)</f>
        <v>65000</v>
      </c>
      <c r="C627" s="8">
        <f>SUM(C623:C626)</f>
        <v>65000</v>
      </c>
      <c r="D627" s="179">
        <f>SUM(D623:D626)</f>
        <v>19042</v>
      </c>
      <c r="E627" s="213">
        <f t="shared" si="21"/>
        <v>29.295384615384616</v>
      </c>
    </row>
    <row r="628" spans="1:5">
      <c r="A628" s="102" t="s">
        <v>301</v>
      </c>
      <c r="B628" s="561">
        <v>20000</v>
      </c>
      <c r="C628" s="4">
        <v>20000</v>
      </c>
      <c r="D628" s="81">
        <v>45584</v>
      </c>
      <c r="E628" s="195">
        <f t="shared" si="21"/>
        <v>227.92</v>
      </c>
    </row>
    <row r="629" spans="1:5">
      <c r="A629" s="102" t="s">
        <v>300</v>
      </c>
      <c r="B629" s="561">
        <v>64000</v>
      </c>
      <c r="C629" s="4">
        <v>64000</v>
      </c>
      <c r="D629" s="81">
        <v>55118</v>
      </c>
      <c r="E629" s="195">
        <f t="shared" si="21"/>
        <v>86.121875000000003</v>
      </c>
    </row>
    <row r="630" spans="1:5">
      <c r="A630" s="102" t="s">
        <v>299</v>
      </c>
      <c r="B630" s="561">
        <v>150000</v>
      </c>
      <c r="C630" s="4">
        <v>150000</v>
      </c>
      <c r="D630" s="81">
        <v>235327</v>
      </c>
      <c r="E630" s="195">
        <f t="shared" si="21"/>
        <v>156.88466666666667</v>
      </c>
    </row>
    <row r="631" spans="1:5">
      <c r="A631" s="113" t="s">
        <v>298</v>
      </c>
      <c r="B631" s="573">
        <f>SUM(B628:B630)</f>
        <v>234000</v>
      </c>
      <c r="C631" s="8">
        <f>SUM(C628:C630)</f>
        <v>234000</v>
      </c>
      <c r="D631" s="179">
        <f>SUM(D628:D630)</f>
        <v>336029</v>
      </c>
      <c r="E631" s="213">
        <f t="shared" si="21"/>
        <v>143.60213675213674</v>
      </c>
    </row>
    <row r="632" spans="1:5">
      <c r="A632" s="91" t="s">
        <v>287</v>
      </c>
      <c r="B632" s="561">
        <v>36000</v>
      </c>
      <c r="C632" s="4">
        <v>36000</v>
      </c>
      <c r="D632" s="81">
        <v>30240</v>
      </c>
      <c r="E632" s="195">
        <f t="shared" si="21"/>
        <v>84</v>
      </c>
    </row>
    <row r="633" spans="1:5">
      <c r="A633" s="102" t="s">
        <v>297</v>
      </c>
      <c r="B633" s="561">
        <v>80000</v>
      </c>
      <c r="C633" s="4">
        <v>80000</v>
      </c>
      <c r="D633" s="81">
        <v>72108</v>
      </c>
      <c r="E633" s="195">
        <f t="shared" si="21"/>
        <v>90.135000000000005</v>
      </c>
    </row>
    <row r="634" spans="1:5">
      <c r="A634" s="108" t="s">
        <v>286</v>
      </c>
      <c r="B634" s="573">
        <f>SUM(B632:B633)</f>
        <v>116000</v>
      </c>
      <c r="C634" s="8">
        <f>SUM(C632:C633)</f>
        <v>116000</v>
      </c>
      <c r="D634" s="179">
        <f>SUM(D632:D633)</f>
        <v>102348</v>
      </c>
      <c r="E634" s="213">
        <f t="shared" si="21"/>
        <v>88.231034482758616</v>
      </c>
    </row>
    <row r="635" spans="1:5">
      <c r="A635" s="102" t="s">
        <v>296</v>
      </c>
      <c r="B635" s="574">
        <v>500000</v>
      </c>
      <c r="C635" s="4">
        <v>500000</v>
      </c>
      <c r="D635" s="81">
        <v>254166</v>
      </c>
      <c r="E635" s="195">
        <f t="shared" si="21"/>
        <v>50.833199999999998</v>
      </c>
    </row>
    <row r="636" spans="1:5">
      <c r="A636" s="102" t="s">
        <v>285</v>
      </c>
      <c r="B636" s="574">
        <v>310000</v>
      </c>
      <c r="C636" s="4">
        <v>310000</v>
      </c>
      <c r="D636" s="81">
        <v>299977</v>
      </c>
      <c r="E636" s="195">
        <f t="shared" si="21"/>
        <v>96.766774193548386</v>
      </c>
    </row>
    <row r="637" spans="1:5">
      <c r="A637" s="102" t="s">
        <v>284</v>
      </c>
      <c r="B637" s="574">
        <v>220000</v>
      </c>
      <c r="C637" s="4">
        <v>220000</v>
      </c>
      <c r="D637" s="81">
        <v>144304</v>
      </c>
      <c r="E637" s="195">
        <f t="shared" si="21"/>
        <v>65.592727272727274</v>
      </c>
    </row>
    <row r="638" spans="1:5">
      <c r="A638" s="108" t="s">
        <v>283</v>
      </c>
      <c r="B638" s="573">
        <f>SUM(B635:B637)</f>
        <v>1030000</v>
      </c>
      <c r="C638" s="8">
        <f>SUM(C635:C637)</f>
        <v>1030000</v>
      </c>
      <c r="D638" s="179">
        <f>SUM(D635:D637)</f>
        <v>698447</v>
      </c>
      <c r="E638" s="213">
        <f t="shared" si="21"/>
        <v>67.810388349514568</v>
      </c>
    </row>
    <row r="639" spans="1:5">
      <c r="A639" s="102" t="s">
        <v>295</v>
      </c>
      <c r="B639" s="574">
        <v>70000</v>
      </c>
      <c r="C639" s="4">
        <v>70000</v>
      </c>
      <c r="D639" s="81">
        <v>47093</v>
      </c>
      <c r="E639" s="195">
        <f t="shared" si="21"/>
        <v>67.275714285714287</v>
      </c>
    </row>
    <row r="640" spans="1:5">
      <c r="A640" s="102" t="s">
        <v>309</v>
      </c>
      <c r="B640" s="574">
        <v>60000</v>
      </c>
      <c r="C640" s="4">
        <v>60000</v>
      </c>
      <c r="D640" s="81">
        <v>60000</v>
      </c>
      <c r="E640" s="195">
        <f t="shared" si="21"/>
        <v>100</v>
      </c>
    </row>
    <row r="641" spans="1:5">
      <c r="A641" s="102" t="s">
        <v>321</v>
      </c>
      <c r="B641" s="561">
        <v>100000</v>
      </c>
      <c r="C641" s="4">
        <v>100000</v>
      </c>
      <c r="D641" s="81">
        <v>73175</v>
      </c>
      <c r="E641" s="195">
        <f t="shared" si="21"/>
        <v>73.174999999999997</v>
      </c>
    </row>
    <row r="642" spans="1:5">
      <c r="A642" s="108" t="s">
        <v>281</v>
      </c>
      <c r="B642" s="573">
        <f>SUM(B639:B641)</f>
        <v>230000</v>
      </c>
      <c r="C642" s="8">
        <f>SUM(C639:C641)</f>
        <v>230000</v>
      </c>
      <c r="D642" s="179">
        <f>SUM(D639:D641)</f>
        <v>180268</v>
      </c>
      <c r="E642" s="213">
        <f t="shared" si="21"/>
        <v>78.377391304347825</v>
      </c>
    </row>
    <row r="643" spans="1:5">
      <c r="A643" s="102" t="s">
        <v>280</v>
      </c>
      <c r="B643" s="574">
        <f>(B624+B623+B626+B628+B629+B632+B633+B635+B636+B637+B639+B640+B641+B630)*0.27</f>
        <v>446850.00000000006</v>
      </c>
      <c r="C643" s="4">
        <v>446850</v>
      </c>
      <c r="D643" s="81">
        <v>332656</v>
      </c>
      <c r="E643" s="195">
        <f t="shared" si="21"/>
        <v>74.444668233187869</v>
      </c>
    </row>
    <row r="644" spans="1:5" ht="15" customHeight="1">
      <c r="A644" s="113" t="s">
        <v>279</v>
      </c>
      <c r="B644" s="573">
        <f>SUM(B643:B643)</f>
        <v>446850.00000000006</v>
      </c>
      <c r="C644" s="8">
        <f>SUM(C643)</f>
        <v>446850</v>
      </c>
      <c r="D644" s="179">
        <f>SUM(D643)</f>
        <v>332656</v>
      </c>
      <c r="E644" s="213">
        <f t="shared" si="21"/>
        <v>74.444668233187869</v>
      </c>
    </row>
    <row r="645" spans="1:5">
      <c r="A645" s="112" t="s">
        <v>278</v>
      </c>
      <c r="B645" s="573">
        <f>B627+B631+B634+B638+B642+B644</f>
        <v>2121850</v>
      </c>
      <c r="C645" s="8">
        <f>SUM(B645)</f>
        <v>2121850</v>
      </c>
      <c r="D645" s="179">
        <f>D627+D631+D634+D638+D642+D644</f>
        <v>1668790</v>
      </c>
      <c r="E645" s="213">
        <f t="shared" si="21"/>
        <v>78.647878030963554</v>
      </c>
    </row>
    <row r="646" spans="1:5">
      <c r="A646" s="112"/>
      <c r="B646" s="562"/>
      <c r="C646" s="14"/>
      <c r="D646" s="81"/>
      <c r="E646" s="195"/>
    </row>
    <row r="647" spans="1:5">
      <c r="A647" s="564" t="s">
        <v>274</v>
      </c>
      <c r="B647" s="562">
        <f>B615+B621+B645</f>
        <v>26852850</v>
      </c>
      <c r="C647" s="8">
        <v>27231168</v>
      </c>
      <c r="D647" s="179">
        <f>D615+D621+D645</f>
        <v>27204712</v>
      </c>
      <c r="E647" s="213">
        <f t="shared" si="21"/>
        <v>99.902846620460792</v>
      </c>
    </row>
    <row r="648" spans="1:5">
      <c r="A648" s="564"/>
      <c r="B648" s="562"/>
      <c r="C648" s="14"/>
      <c r="D648" s="81"/>
      <c r="E648" s="81"/>
    </row>
    <row r="649" spans="1:5">
      <c r="A649" s="564"/>
      <c r="B649" s="562"/>
      <c r="C649" s="14"/>
      <c r="D649" s="81"/>
      <c r="E649" s="81"/>
    </row>
    <row r="650" spans="1:5">
      <c r="A650" s="651" t="s">
        <v>919</v>
      </c>
      <c r="B650" s="652"/>
      <c r="C650" s="275"/>
      <c r="D650" s="296"/>
      <c r="E650" s="297"/>
    </row>
    <row r="651" spans="1:5">
      <c r="A651" s="564"/>
      <c r="B651" s="562"/>
      <c r="C651" s="14"/>
      <c r="D651" s="81"/>
      <c r="E651" s="81"/>
    </row>
    <row r="652" spans="1:5">
      <c r="A652" s="91" t="s">
        <v>318</v>
      </c>
      <c r="B652" s="561">
        <v>2739000</v>
      </c>
      <c r="C652" s="4">
        <v>2739000</v>
      </c>
      <c r="D652" s="81">
        <v>2585196</v>
      </c>
      <c r="E652" s="195">
        <f t="shared" ref="E652:E659" si="22">D652/C652*100</f>
        <v>94.384665936473169</v>
      </c>
    </row>
    <row r="653" spans="1:5">
      <c r="A653" s="108" t="s">
        <v>281</v>
      </c>
      <c r="B653" s="573">
        <f>SUM(B649:B652)</f>
        <v>2739000</v>
      </c>
      <c r="C653" s="8">
        <f>SUM(C652)</f>
        <v>2739000</v>
      </c>
      <c r="D653" s="179">
        <f>SUM(D652)</f>
        <v>2585196</v>
      </c>
      <c r="E653" s="213">
        <f t="shared" si="22"/>
        <v>94.384665936473169</v>
      </c>
    </row>
    <row r="654" spans="1:5">
      <c r="A654" s="102" t="s">
        <v>280</v>
      </c>
      <c r="B654" s="574">
        <f>(B652)*0.27</f>
        <v>739530</v>
      </c>
      <c r="C654" s="4">
        <v>739530</v>
      </c>
      <c r="D654" s="81">
        <f>389940+308062</f>
        <v>698002</v>
      </c>
      <c r="E654" s="195">
        <f t="shared" si="22"/>
        <v>94.384541533135916</v>
      </c>
    </row>
    <row r="655" spans="1:5" ht="22.5">
      <c r="A655" s="113" t="s">
        <v>279</v>
      </c>
      <c r="B655" s="573">
        <f>SUM(B654:B654)</f>
        <v>739530</v>
      </c>
      <c r="C655" s="8">
        <f>SUM(C654)</f>
        <v>739530</v>
      </c>
      <c r="D655" s="179">
        <f>SUM(D654)</f>
        <v>698002</v>
      </c>
      <c r="E655" s="213">
        <f t="shared" si="22"/>
        <v>94.384541533135916</v>
      </c>
    </row>
    <row r="656" spans="1:5">
      <c r="A656" s="113"/>
      <c r="B656" s="561"/>
      <c r="C656" s="14"/>
      <c r="D656" s="81"/>
      <c r="E656" s="195"/>
    </row>
    <row r="657" spans="1:5">
      <c r="A657" s="112" t="s">
        <v>278</v>
      </c>
      <c r="B657" s="573">
        <f>B655+B653</f>
        <v>3478530</v>
      </c>
      <c r="C657" s="8">
        <f>SUM(B657)</f>
        <v>3478530</v>
      </c>
      <c r="D657" s="179">
        <f>D653+D655</f>
        <v>3283198</v>
      </c>
      <c r="E657" s="213">
        <f t="shared" si="22"/>
        <v>94.384639488519568</v>
      </c>
    </row>
    <row r="658" spans="1:5">
      <c r="A658" s="112"/>
      <c r="B658" s="562"/>
      <c r="C658" s="14"/>
      <c r="D658" s="179"/>
      <c r="E658" s="213"/>
    </row>
    <row r="659" spans="1:5">
      <c r="A659" s="564" t="s">
        <v>274</v>
      </c>
      <c r="B659" s="562">
        <f>B657</f>
        <v>3478530</v>
      </c>
      <c r="C659" s="8">
        <f>SUM(B659)</f>
        <v>3478530</v>
      </c>
      <c r="D659" s="179">
        <f>D657</f>
        <v>3283198</v>
      </c>
      <c r="E659" s="213">
        <f t="shared" si="22"/>
        <v>94.384639488519568</v>
      </c>
    </row>
    <row r="660" spans="1:5">
      <c r="A660" s="564"/>
      <c r="B660" s="562"/>
      <c r="C660" s="14"/>
      <c r="D660" s="81"/>
      <c r="E660" s="81"/>
    </row>
    <row r="661" spans="1:5">
      <c r="A661" s="655" t="s">
        <v>320</v>
      </c>
      <c r="B661" s="654"/>
      <c r="C661" s="275"/>
      <c r="D661" s="296"/>
      <c r="E661" s="297"/>
    </row>
    <row r="662" spans="1:5">
      <c r="A662" s="264"/>
      <c r="B662" s="116"/>
      <c r="C662" s="14"/>
      <c r="D662" s="81"/>
      <c r="E662" s="81"/>
    </row>
    <row r="663" spans="1:5">
      <c r="A663" s="273" t="s">
        <v>902</v>
      </c>
      <c r="B663" s="574">
        <v>2137000</v>
      </c>
      <c r="C663" s="4">
        <v>10687413</v>
      </c>
      <c r="D663" s="81">
        <f>8349285</f>
        <v>8349285</v>
      </c>
      <c r="E663" s="195">
        <f t="shared" ref="E663:E681" si="23">D663/C663*100</f>
        <v>78.12260085766313</v>
      </c>
    </row>
    <row r="664" spans="1:5">
      <c r="A664" s="273" t="s">
        <v>415</v>
      </c>
      <c r="B664" s="574"/>
      <c r="C664" s="4"/>
      <c r="D664" s="81">
        <v>190483</v>
      </c>
      <c r="E664" s="195"/>
    </row>
    <row r="665" spans="1:5">
      <c r="A665" s="559" t="s">
        <v>272</v>
      </c>
      <c r="B665" s="573">
        <f>SUM(B663)</f>
        <v>2137000</v>
      </c>
      <c r="C665" s="8">
        <f>SUM(C663)</f>
        <v>10687413</v>
      </c>
      <c r="D665" s="179">
        <f>SUM(D663:D664)</f>
        <v>8539768</v>
      </c>
      <c r="E665" s="213">
        <f t="shared" si="23"/>
        <v>79.904912442328197</v>
      </c>
    </row>
    <row r="666" spans="1:5">
      <c r="A666" s="559"/>
      <c r="B666" s="573"/>
      <c r="C666" s="14"/>
      <c r="D666" s="81"/>
      <c r="E666" s="195"/>
    </row>
    <row r="667" spans="1:5">
      <c r="A667" s="273" t="s">
        <v>275</v>
      </c>
      <c r="B667" s="574">
        <v>289000</v>
      </c>
      <c r="C667" s="4">
        <v>1745750</v>
      </c>
      <c r="D667" s="81">
        <v>1175028</v>
      </c>
      <c r="E667" s="195">
        <f t="shared" si="23"/>
        <v>67.307919232421597</v>
      </c>
    </row>
    <row r="668" spans="1:5">
      <c r="A668" s="273" t="s">
        <v>305</v>
      </c>
      <c r="B668" s="574"/>
      <c r="C668" s="4"/>
      <c r="D668" s="81">
        <v>84501</v>
      </c>
      <c r="E668" s="195"/>
    </row>
    <row r="669" spans="1:5">
      <c r="A669" s="273" t="s">
        <v>312</v>
      </c>
      <c r="B669" s="574"/>
      <c r="C669" s="4"/>
      <c r="D669" s="81">
        <v>59248</v>
      </c>
      <c r="E669" s="213"/>
    </row>
    <row r="670" spans="1:5">
      <c r="A670" s="559" t="s">
        <v>271</v>
      </c>
      <c r="B670" s="573">
        <f>SUM(B667:B667)</f>
        <v>289000</v>
      </c>
      <c r="C670" s="8">
        <f>SUM(C667)</f>
        <v>1745750</v>
      </c>
      <c r="D670" s="179">
        <f>SUM(D667:D669)</f>
        <v>1318777</v>
      </c>
      <c r="E670" s="213">
        <f t="shared" si="23"/>
        <v>75.542145209795223</v>
      </c>
    </row>
    <row r="671" spans="1:5">
      <c r="A671" s="559"/>
      <c r="B671" s="573"/>
      <c r="C671" s="14"/>
      <c r="D671" s="81"/>
      <c r="E671" s="195"/>
    </row>
    <row r="672" spans="1:5">
      <c r="A672" s="570" t="s">
        <v>289</v>
      </c>
      <c r="B672" s="573"/>
      <c r="C672" s="4">
        <v>14813</v>
      </c>
      <c r="D672" s="81">
        <v>39738</v>
      </c>
      <c r="E672" s="195">
        <f t="shared" si="23"/>
        <v>268.26436238439209</v>
      </c>
    </row>
    <row r="673" spans="1:7">
      <c r="A673" s="559" t="s">
        <v>273</v>
      </c>
      <c r="B673" s="573"/>
      <c r="C673" s="8">
        <f>SUM(C672)</f>
        <v>14813</v>
      </c>
      <c r="D673" s="179">
        <f>SUM(D672)</f>
        <v>39738</v>
      </c>
      <c r="E673" s="213">
        <f t="shared" si="23"/>
        <v>268.26436238439209</v>
      </c>
    </row>
    <row r="674" spans="1:7">
      <c r="A674" s="559"/>
      <c r="B674" s="573"/>
      <c r="C674" s="14"/>
      <c r="D674" s="81"/>
      <c r="E674" s="195"/>
    </row>
    <row r="675" spans="1:7">
      <c r="A675" s="559"/>
      <c r="B675" s="573"/>
      <c r="C675" s="14"/>
      <c r="D675" s="81"/>
      <c r="E675" s="195"/>
    </row>
    <row r="676" spans="1:7">
      <c r="A676" s="564" t="s">
        <v>274</v>
      </c>
      <c r="B676" s="562">
        <f>B665+B670</f>
        <v>2426000</v>
      </c>
      <c r="C676" s="8">
        <v>12447976</v>
      </c>
      <c r="D676" s="179">
        <f>D665+D670+D673</f>
        <v>9898283</v>
      </c>
      <c r="E676" s="213">
        <f t="shared" si="23"/>
        <v>79.517208259398956</v>
      </c>
    </row>
    <row r="677" spans="1:7">
      <c r="A677" s="564"/>
      <c r="B677" s="562"/>
      <c r="C677" s="14"/>
      <c r="D677" s="81"/>
      <c r="E677" s="213"/>
    </row>
    <row r="678" spans="1:7">
      <c r="A678" s="559" t="s">
        <v>272</v>
      </c>
      <c r="B678" s="560">
        <f>B398+B443+B467+B510+B551+B591+B615+B665</f>
        <v>70382000</v>
      </c>
      <c r="C678" s="8">
        <v>80401549</v>
      </c>
      <c r="D678" s="263">
        <f>D398+D443+D467+D510+D551+D591+D615+D665</f>
        <v>78729763</v>
      </c>
      <c r="E678" s="213">
        <f t="shared" si="23"/>
        <v>97.92070423916833</v>
      </c>
      <c r="F678">
        <v>78729763</v>
      </c>
      <c r="G678" s="27">
        <f>D678-F678</f>
        <v>0</v>
      </c>
    </row>
    <row r="679" spans="1:7">
      <c r="A679" s="559" t="s">
        <v>271</v>
      </c>
      <c r="B679" s="560">
        <f>B404+B449+B473+B516+B557+B595+B621+B670</f>
        <v>18974000</v>
      </c>
      <c r="C679" s="8">
        <v>20819326</v>
      </c>
      <c r="D679" s="263">
        <f>D404+D449+D473+D516+D557+D595+D621+D670</f>
        <v>20538269</v>
      </c>
      <c r="E679" s="213">
        <f t="shared" si="23"/>
        <v>98.650018737398128</v>
      </c>
      <c r="F679">
        <v>20538269</v>
      </c>
      <c r="G679" s="27">
        <f t="shared" ref="G679:G680" si="24">D679-F679</f>
        <v>0</v>
      </c>
    </row>
    <row r="680" spans="1:7">
      <c r="A680" s="112" t="s">
        <v>273</v>
      </c>
      <c r="B680" s="560">
        <f>B433+B455+B498+B539+B581+B603+B645+B657</f>
        <v>32734220</v>
      </c>
      <c r="C680" s="8">
        <v>32719033</v>
      </c>
      <c r="D680" s="263">
        <f>D433+D455+D498+D539+D581+D603+D645+D657+D673</f>
        <v>30251349</v>
      </c>
      <c r="E680" s="213">
        <f t="shared" si="23"/>
        <v>92.457955588112881</v>
      </c>
      <c r="F680">
        <v>30251349</v>
      </c>
      <c r="G680" s="27">
        <f t="shared" si="24"/>
        <v>0</v>
      </c>
    </row>
    <row r="681" spans="1:7" ht="22.5">
      <c r="A681" s="112" t="s">
        <v>903</v>
      </c>
      <c r="B681" s="560">
        <f>SUM(B678:B680)</f>
        <v>122090220</v>
      </c>
      <c r="C681" s="8">
        <f>SUM(C678:C680)</f>
        <v>133939908</v>
      </c>
      <c r="D681" s="263">
        <f>SUM(D678:D680)</f>
        <v>129519381</v>
      </c>
      <c r="E681" s="213">
        <f t="shared" si="23"/>
        <v>96.699619205352889</v>
      </c>
    </row>
    <row r="682" spans="1:7">
      <c r="A682" s="112"/>
      <c r="B682" s="560"/>
      <c r="C682" s="14"/>
      <c r="D682" s="81"/>
      <c r="E682" s="81"/>
    </row>
    <row r="683" spans="1:7">
      <c r="A683" s="559"/>
      <c r="B683" s="118"/>
      <c r="C683" s="14"/>
      <c r="D683" s="81"/>
      <c r="E683" s="81"/>
    </row>
    <row r="684" spans="1:7">
      <c r="A684" s="559"/>
      <c r="B684" s="118"/>
      <c r="C684" s="14"/>
      <c r="D684" s="81"/>
      <c r="E684" s="81"/>
    </row>
    <row r="685" spans="1:7">
      <c r="A685" s="668" t="s">
        <v>319</v>
      </c>
      <c r="B685" s="668"/>
      <c r="C685" s="668"/>
      <c r="D685" s="668"/>
      <c r="E685" s="668"/>
    </row>
    <row r="686" spans="1:7">
      <c r="A686" s="593"/>
      <c r="B686" s="593"/>
      <c r="C686" s="14"/>
      <c r="D686" s="81"/>
      <c r="E686" s="81"/>
    </row>
    <row r="687" spans="1:7">
      <c r="A687" s="667" t="s">
        <v>39</v>
      </c>
      <c r="B687" s="667"/>
      <c r="C687" s="667"/>
      <c r="D687" s="667"/>
      <c r="E687" s="667"/>
    </row>
    <row r="688" spans="1:7">
      <c r="A688" s="166"/>
      <c r="B688" s="176"/>
      <c r="D688" s="81"/>
      <c r="E688" s="81"/>
    </row>
    <row r="689" spans="1:5">
      <c r="A689" s="166"/>
      <c r="B689" s="176"/>
      <c r="D689" s="81"/>
      <c r="E689" s="81"/>
    </row>
    <row r="690" spans="1:5">
      <c r="A690" s="663" t="s">
        <v>147</v>
      </c>
      <c r="B690" s="664"/>
      <c r="C690" s="269"/>
      <c r="D690" s="296"/>
      <c r="E690" s="297"/>
    </row>
    <row r="691" spans="1:5">
      <c r="A691" s="166"/>
      <c r="B691" s="176"/>
      <c r="D691" s="81"/>
      <c r="E691" s="81"/>
    </row>
    <row r="692" spans="1:5">
      <c r="A692" s="91" t="s">
        <v>318</v>
      </c>
      <c r="B692" s="561">
        <f>44307000+4064000-502000+184860-157400</f>
        <v>47896460</v>
      </c>
      <c r="C692" s="4">
        <v>42339724</v>
      </c>
      <c r="D692" s="81">
        <v>36032774</v>
      </c>
      <c r="E692" s="195">
        <f t="shared" ref="E692:E697" si="25">D692/C692*100</f>
        <v>85.10394163174044</v>
      </c>
    </row>
    <row r="693" spans="1:5">
      <c r="A693" s="102" t="s">
        <v>280</v>
      </c>
      <c r="B693" s="561">
        <f>0.27*B692-102</f>
        <v>12931942.200000001</v>
      </c>
      <c r="C693" s="4">
        <v>11437623</v>
      </c>
      <c r="D693" s="81">
        <v>9728855</v>
      </c>
      <c r="E693" s="195">
        <f t="shared" si="25"/>
        <v>85.060112577587148</v>
      </c>
    </row>
    <row r="694" spans="1:5">
      <c r="A694" s="108" t="s">
        <v>281</v>
      </c>
      <c r="B694" s="562">
        <f>SUM(B692:B693)</f>
        <v>60828402.200000003</v>
      </c>
      <c r="C694" s="8">
        <f>SUM(C692:C693)</f>
        <v>53777347</v>
      </c>
      <c r="D694" s="179">
        <f>SUM(D692:D693)</f>
        <v>45761629</v>
      </c>
      <c r="E694" s="213">
        <f t="shared" si="25"/>
        <v>85.094619859176021</v>
      </c>
    </row>
    <row r="695" spans="1:5">
      <c r="A695" s="568"/>
      <c r="B695" s="562"/>
      <c r="C695" s="14"/>
      <c r="D695" s="81"/>
      <c r="E695" s="195"/>
    </row>
    <row r="696" spans="1:5">
      <c r="A696" s="112" t="s">
        <v>278</v>
      </c>
      <c r="B696" s="562">
        <f>B694</f>
        <v>60828402.200000003</v>
      </c>
      <c r="C696" s="8">
        <f>SUM(C694:C695)</f>
        <v>53777347</v>
      </c>
      <c r="D696" s="179">
        <f>D694</f>
        <v>45761629</v>
      </c>
      <c r="E696" s="213">
        <f t="shared" si="25"/>
        <v>85.094619859176021</v>
      </c>
    </row>
    <row r="697" spans="1:5">
      <c r="A697" s="564" t="s">
        <v>274</v>
      </c>
      <c r="B697" s="562">
        <f>B696</f>
        <v>60828402.200000003</v>
      </c>
      <c r="C697" s="8">
        <f>SUM(C696)</f>
        <v>53777347</v>
      </c>
      <c r="D697" s="179">
        <f>D696</f>
        <v>45761629</v>
      </c>
      <c r="E697" s="213">
        <f t="shared" si="25"/>
        <v>85.094619859176021</v>
      </c>
    </row>
    <row r="698" spans="1:5">
      <c r="A698" s="112"/>
      <c r="B698" s="562"/>
      <c r="C698" s="14"/>
      <c r="D698" s="179"/>
      <c r="E698" s="81"/>
    </row>
    <row r="699" spans="1:5">
      <c r="A699" s="166"/>
      <c r="B699" s="594"/>
      <c r="C699" s="14"/>
      <c r="D699" s="81"/>
      <c r="E699" s="81"/>
    </row>
    <row r="700" spans="1:5" s="611" customFormat="1">
      <c r="A700" s="166"/>
      <c r="B700" s="594"/>
      <c r="C700" s="14"/>
      <c r="D700" s="81"/>
      <c r="E700" s="81"/>
    </row>
    <row r="701" spans="1:5" s="611" customFormat="1">
      <c r="A701" s="166"/>
      <c r="B701" s="594"/>
      <c r="C701" s="14"/>
      <c r="D701" s="81"/>
      <c r="E701" s="81"/>
    </row>
    <row r="702" spans="1:5" s="611" customFormat="1">
      <c r="A702" s="166"/>
      <c r="B702" s="594"/>
      <c r="C702" s="14"/>
      <c r="D702" s="81"/>
      <c r="E702" s="81"/>
    </row>
    <row r="703" spans="1:5">
      <c r="A703" s="663" t="s">
        <v>108</v>
      </c>
      <c r="B703" s="664"/>
      <c r="C703" s="275"/>
      <c r="D703" s="296"/>
      <c r="E703" s="297"/>
    </row>
    <row r="704" spans="1:5">
      <c r="A704" s="166"/>
      <c r="B704" s="594"/>
      <c r="C704" s="14"/>
      <c r="D704" s="81"/>
      <c r="E704" s="81"/>
    </row>
    <row r="705" spans="1:5">
      <c r="A705" s="273" t="s">
        <v>317</v>
      </c>
      <c r="B705" s="594">
        <v>11055000</v>
      </c>
      <c r="C705" s="4">
        <v>11163600</v>
      </c>
      <c r="D705" s="81">
        <v>10968448</v>
      </c>
      <c r="E705" s="195">
        <f t="shared" ref="E705:E737" si="26">D705/C705*100</f>
        <v>98.251890071303166</v>
      </c>
    </row>
    <row r="706" spans="1:5">
      <c r="A706" s="570" t="s">
        <v>307</v>
      </c>
      <c r="B706" s="594">
        <v>209000</v>
      </c>
      <c r="C706" s="4">
        <v>209000</v>
      </c>
      <c r="D706" s="81">
        <f>207519+15000</f>
        <v>222519</v>
      </c>
      <c r="E706" s="195">
        <f t="shared" si="26"/>
        <v>106.46842105263158</v>
      </c>
    </row>
    <row r="707" spans="1:5">
      <c r="A707" s="570" t="s">
        <v>306</v>
      </c>
      <c r="B707" s="571">
        <v>126000</v>
      </c>
      <c r="C707" s="4">
        <v>126000</v>
      </c>
      <c r="D707" s="81">
        <v>63154</v>
      </c>
      <c r="E707" s="195">
        <f t="shared" si="26"/>
        <v>50.12222222222222</v>
      </c>
    </row>
    <row r="708" spans="1:5" ht="22.5">
      <c r="A708" s="570" t="s">
        <v>314</v>
      </c>
      <c r="B708" s="571">
        <v>20000</v>
      </c>
      <c r="C708" s="4">
        <v>131400</v>
      </c>
      <c r="D708" s="81">
        <v>258600</v>
      </c>
      <c r="E708" s="195">
        <f t="shared" si="26"/>
        <v>196.80365296803652</v>
      </c>
    </row>
    <row r="709" spans="1:5">
      <c r="A709" s="559" t="s">
        <v>272</v>
      </c>
      <c r="B709" s="595">
        <f>SUM(B705:B708)</f>
        <v>11410000</v>
      </c>
      <c r="C709" s="8">
        <f>SUM(C705:C708)</f>
        <v>11630000</v>
      </c>
      <c r="D709" s="179">
        <f>SUM(D705:D708)</f>
        <v>11512721</v>
      </c>
      <c r="E709" s="213">
        <f t="shared" si="26"/>
        <v>98.991582115219259</v>
      </c>
    </row>
    <row r="710" spans="1:5">
      <c r="A710" s="559"/>
      <c r="B710" s="595"/>
      <c r="C710" s="14"/>
      <c r="D710" s="81"/>
      <c r="E710" s="195"/>
    </row>
    <row r="711" spans="1:5">
      <c r="A711" s="273" t="s">
        <v>275</v>
      </c>
      <c r="B711" s="594">
        <v>3081000</v>
      </c>
      <c r="C711" s="4">
        <v>3140400</v>
      </c>
      <c r="D711" s="81">
        <v>3108810</v>
      </c>
      <c r="E711" s="195">
        <f t="shared" si="26"/>
        <v>98.994077187619411</v>
      </c>
    </row>
    <row r="712" spans="1:5">
      <c r="A712" s="273" t="s">
        <v>305</v>
      </c>
      <c r="B712" s="594"/>
      <c r="C712" s="4"/>
      <c r="D712" s="81">
        <v>4820</v>
      </c>
      <c r="E712" s="195"/>
    </row>
    <row r="713" spans="1:5">
      <c r="A713" s="273" t="s">
        <v>312</v>
      </c>
      <c r="B713" s="594">
        <v>10000</v>
      </c>
      <c r="C713" s="4">
        <v>10000</v>
      </c>
      <c r="D713" s="81">
        <v>0</v>
      </c>
      <c r="E713" s="195">
        <f t="shared" si="26"/>
        <v>0</v>
      </c>
    </row>
    <row r="714" spans="1:5">
      <c r="A714" s="273" t="s">
        <v>304</v>
      </c>
      <c r="B714" s="594"/>
      <c r="C714" s="4"/>
      <c r="D714" s="81">
        <v>2856</v>
      </c>
      <c r="E714" s="195"/>
    </row>
    <row r="715" spans="1:5">
      <c r="A715" s="559" t="s">
        <v>271</v>
      </c>
      <c r="B715" s="592">
        <f>SUM(B711:B713)</f>
        <v>3091000</v>
      </c>
      <c r="C715" s="8">
        <f>SUM(C711:C713)</f>
        <v>3150400</v>
      </c>
      <c r="D715" s="179">
        <f>SUM(D711:D714)</f>
        <v>3116486</v>
      </c>
      <c r="E715" s="213">
        <f t="shared" si="26"/>
        <v>98.923501777552062</v>
      </c>
    </row>
    <row r="716" spans="1:5">
      <c r="A716" s="559"/>
      <c r="B716" s="594"/>
      <c r="C716" s="14"/>
      <c r="D716" s="81"/>
      <c r="E716" s="195"/>
    </row>
    <row r="717" spans="1:5">
      <c r="A717" s="102" t="s">
        <v>301</v>
      </c>
      <c r="B717" s="561">
        <v>230000</v>
      </c>
      <c r="C717" s="4">
        <v>230000</v>
      </c>
      <c r="D717" s="81">
        <v>225680</v>
      </c>
      <c r="E717" s="195">
        <f t="shared" si="26"/>
        <v>98.121739130434776</v>
      </c>
    </row>
    <row r="718" spans="1:5">
      <c r="A718" s="102" t="s">
        <v>300</v>
      </c>
      <c r="B718" s="561">
        <v>168000</v>
      </c>
      <c r="C718" s="4">
        <v>168000</v>
      </c>
      <c r="D718" s="81">
        <v>139584</v>
      </c>
      <c r="E718" s="195">
        <f t="shared" si="26"/>
        <v>83.085714285714289</v>
      </c>
    </row>
    <row r="719" spans="1:5">
      <c r="A719" s="102" t="s">
        <v>299</v>
      </c>
      <c r="B719" s="561">
        <v>600000</v>
      </c>
      <c r="C719" s="4">
        <v>600000</v>
      </c>
      <c r="D719" s="81">
        <v>701605</v>
      </c>
      <c r="E719" s="195">
        <f t="shared" si="26"/>
        <v>116.93416666666667</v>
      </c>
    </row>
    <row r="720" spans="1:5">
      <c r="A720" s="113" t="s">
        <v>298</v>
      </c>
      <c r="B720" s="562">
        <f>SUM(B717:B719)</f>
        <v>998000</v>
      </c>
      <c r="C720" s="8">
        <f>SUM(C717:C719)</f>
        <v>998000</v>
      </c>
      <c r="D720" s="179">
        <f>SUM(D717:D719)</f>
        <v>1066869</v>
      </c>
      <c r="E720" s="213">
        <f t="shared" si="26"/>
        <v>106.90070140280561</v>
      </c>
    </row>
    <row r="721" spans="1:5">
      <c r="A721" s="91" t="s">
        <v>287</v>
      </c>
      <c r="B721" s="561">
        <v>120000</v>
      </c>
      <c r="C721" s="4">
        <v>120000</v>
      </c>
      <c r="D721" s="81">
        <v>118644</v>
      </c>
      <c r="E721" s="195">
        <f t="shared" si="26"/>
        <v>98.87</v>
      </c>
    </row>
    <row r="722" spans="1:5">
      <c r="A722" s="102" t="s">
        <v>297</v>
      </c>
      <c r="B722" s="561">
        <v>300000</v>
      </c>
      <c r="C722" s="4">
        <v>300000</v>
      </c>
      <c r="D722" s="81">
        <v>238909</v>
      </c>
      <c r="E722" s="195">
        <f t="shared" si="26"/>
        <v>79.636333333333326</v>
      </c>
    </row>
    <row r="723" spans="1:5">
      <c r="A723" s="108" t="s">
        <v>286</v>
      </c>
      <c r="B723" s="562">
        <f>SUM(B721:B722)</f>
        <v>420000</v>
      </c>
      <c r="C723" s="8">
        <f>SUM(C721:C722)</f>
        <v>420000</v>
      </c>
      <c r="D723" s="179">
        <f>SUM(D721:D722)</f>
        <v>357553</v>
      </c>
      <c r="E723" s="195">
        <f t="shared" si="26"/>
        <v>85.131666666666675</v>
      </c>
    </row>
    <row r="724" spans="1:5">
      <c r="A724" s="102" t="s">
        <v>296</v>
      </c>
      <c r="B724" s="574">
        <f>514000+107000</f>
        <v>621000</v>
      </c>
      <c r="C724" s="4">
        <v>621000</v>
      </c>
      <c r="D724" s="81">
        <v>824384</v>
      </c>
      <c r="E724" s="195">
        <f t="shared" si="26"/>
        <v>132.75104669887278</v>
      </c>
    </row>
    <row r="725" spans="1:5">
      <c r="A725" s="102" t="s">
        <v>316</v>
      </c>
      <c r="B725" s="574">
        <v>520000</v>
      </c>
      <c r="C725" s="4">
        <v>520000</v>
      </c>
      <c r="D725" s="81">
        <v>380753</v>
      </c>
      <c r="E725" s="195">
        <f t="shared" si="26"/>
        <v>73.22173076923076</v>
      </c>
    </row>
    <row r="726" spans="1:5">
      <c r="A726" s="102" t="s">
        <v>285</v>
      </c>
      <c r="B726" s="574">
        <v>560000</v>
      </c>
      <c r="C726" s="4">
        <v>560000</v>
      </c>
      <c r="D726" s="81">
        <v>950995</v>
      </c>
      <c r="E726" s="195">
        <f t="shared" si="26"/>
        <v>169.82053571428571</v>
      </c>
    </row>
    <row r="727" spans="1:5">
      <c r="A727" s="102" t="s">
        <v>284</v>
      </c>
      <c r="B727" s="561">
        <v>500000</v>
      </c>
      <c r="C727" s="4">
        <v>500000</v>
      </c>
      <c r="D727" s="81">
        <v>395492</v>
      </c>
      <c r="E727" s="195">
        <f t="shared" si="26"/>
        <v>79.098399999999998</v>
      </c>
    </row>
    <row r="728" spans="1:5">
      <c r="A728" s="108" t="s">
        <v>283</v>
      </c>
      <c r="B728" s="573">
        <f>SUM(B724:B727)</f>
        <v>2201000</v>
      </c>
      <c r="C728" s="8">
        <f>SUM(C724:C727)</f>
        <v>2201000</v>
      </c>
      <c r="D728" s="179">
        <f>SUM(D724:D727)</f>
        <v>2551624</v>
      </c>
      <c r="E728" s="213">
        <f t="shared" si="26"/>
        <v>115.93021353930031</v>
      </c>
    </row>
    <row r="729" spans="1:5">
      <c r="A729" s="102" t="s">
        <v>295</v>
      </c>
      <c r="B729" s="574">
        <v>200000</v>
      </c>
      <c r="C729" s="4">
        <v>160000</v>
      </c>
      <c r="D729" s="81">
        <v>60535</v>
      </c>
      <c r="E729" s="195">
        <f t="shared" si="26"/>
        <v>37.834374999999994</v>
      </c>
    </row>
    <row r="730" spans="1:5" ht="22.5">
      <c r="A730" s="102" t="s">
        <v>293</v>
      </c>
      <c r="B730" s="574">
        <v>350000</v>
      </c>
      <c r="C730" s="4">
        <v>350000</v>
      </c>
      <c r="D730" s="81">
        <v>581903</v>
      </c>
      <c r="E730" s="195">
        <f t="shared" si="26"/>
        <v>166.25799999999998</v>
      </c>
    </row>
    <row r="731" spans="1:5">
      <c r="A731" s="108" t="s">
        <v>281</v>
      </c>
      <c r="B731" s="573">
        <f>SUM(B729:B730)</f>
        <v>550000</v>
      </c>
      <c r="C731" s="8">
        <f>SUM(C729:C730)</f>
        <v>510000</v>
      </c>
      <c r="D731" s="179">
        <f>SUM(D729:D730)</f>
        <v>642438</v>
      </c>
      <c r="E731" s="213">
        <f t="shared" si="26"/>
        <v>125.96823529411765</v>
      </c>
    </row>
    <row r="732" spans="1:5">
      <c r="A732" s="102" t="s">
        <v>280</v>
      </c>
      <c r="B732" s="574">
        <f>(B717+B718+B719+B721+B722+B724+B726+B727+B730+B729)*0.27</f>
        <v>985230.00000000012</v>
      </c>
      <c r="C732" s="4">
        <v>985230</v>
      </c>
      <c r="D732" s="81">
        <f>1034115+12</f>
        <v>1034127</v>
      </c>
      <c r="E732" s="195">
        <f t="shared" si="26"/>
        <v>104.96300356261989</v>
      </c>
    </row>
    <row r="733" spans="1:5">
      <c r="A733" s="102" t="s">
        <v>427</v>
      </c>
      <c r="B733" s="574"/>
      <c r="C733" s="4"/>
      <c r="D733" s="81">
        <v>25000</v>
      </c>
      <c r="E733" s="195"/>
    </row>
    <row r="734" spans="1:5" ht="22.5">
      <c r="A734" s="113" t="s">
        <v>279</v>
      </c>
      <c r="B734" s="573">
        <f>SUM(B732:B732)</f>
        <v>985230.00000000012</v>
      </c>
      <c r="C734" s="8">
        <f>SUM(C732)</f>
        <v>985230</v>
      </c>
      <c r="D734" s="179">
        <f>SUM(D732:D733)</f>
        <v>1059127</v>
      </c>
      <c r="E734" s="213">
        <f t="shared" si="26"/>
        <v>107.50048212092609</v>
      </c>
    </row>
    <row r="735" spans="1:5">
      <c r="A735" s="112" t="s">
        <v>278</v>
      </c>
      <c r="B735" s="573">
        <f>+B720+B723+B728+B731+B734</f>
        <v>5154230</v>
      </c>
      <c r="C735" s="8">
        <v>5114230</v>
      </c>
      <c r="D735" s="179">
        <f>D720+D723+D728+D731+D734</f>
        <v>5677611</v>
      </c>
      <c r="E735" s="213">
        <f t="shared" si="26"/>
        <v>111.01594961509358</v>
      </c>
    </row>
    <row r="736" spans="1:5">
      <c r="A736" s="112"/>
      <c r="B736" s="594"/>
      <c r="C736" s="14"/>
      <c r="D736" s="81"/>
      <c r="E736" s="195"/>
    </row>
    <row r="737" spans="1:5">
      <c r="A737" s="564" t="s">
        <v>274</v>
      </c>
      <c r="B737" s="595">
        <f>B709+B715+B735</f>
        <v>19655230</v>
      </c>
      <c r="C737" s="8">
        <v>19894630</v>
      </c>
      <c r="D737" s="179">
        <f>D709+D715+D735</f>
        <v>20306818</v>
      </c>
      <c r="E737" s="213">
        <f t="shared" si="26"/>
        <v>102.07185557107621</v>
      </c>
    </row>
    <row r="738" spans="1:5">
      <c r="A738" s="564"/>
      <c r="B738" s="594"/>
      <c r="C738" s="14"/>
      <c r="D738" s="81"/>
      <c r="E738" s="81"/>
    </row>
    <row r="739" spans="1:5">
      <c r="A739" s="663" t="s">
        <v>315</v>
      </c>
      <c r="B739" s="664"/>
      <c r="C739" s="269"/>
      <c r="D739" s="296"/>
      <c r="E739" s="297"/>
    </row>
    <row r="740" spans="1:5">
      <c r="A740" s="166"/>
      <c r="B740" s="176"/>
      <c r="D740" s="81"/>
      <c r="E740" s="81"/>
    </row>
    <row r="741" spans="1:5">
      <c r="A741" s="273" t="s">
        <v>905</v>
      </c>
      <c r="B741" s="176">
        <v>42732000</v>
      </c>
      <c r="C741" s="4">
        <v>45442200</v>
      </c>
      <c r="D741" s="81">
        <v>44892939</v>
      </c>
      <c r="E741" s="195">
        <f t="shared" ref="E741:E767" si="27">D741/C741*100</f>
        <v>98.79129751640545</v>
      </c>
    </row>
    <row r="742" spans="1:5">
      <c r="A742" s="570" t="s">
        <v>307</v>
      </c>
      <c r="B742" s="176">
        <v>860000</v>
      </c>
      <c r="C742" s="4">
        <v>860000</v>
      </c>
      <c r="D742" s="81">
        <v>781960</v>
      </c>
      <c r="E742" s="195">
        <f t="shared" si="27"/>
        <v>90.925581395348843</v>
      </c>
    </row>
    <row r="743" spans="1:5">
      <c r="A743" s="570" t="s">
        <v>306</v>
      </c>
      <c r="B743" s="176">
        <v>303000</v>
      </c>
      <c r="C743" s="4">
        <v>303000</v>
      </c>
      <c r="D743" s="81">
        <v>130615</v>
      </c>
      <c r="E743" s="195">
        <f t="shared" si="27"/>
        <v>43.107260726072603</v>
      </c>
    </row>
    <row r="744" spans="1:5" ht="22.5">
      <c r="A744" s="570" t="s">
        <v>314</v>
      </c>
      <c r="B744" s="176">
        <v>50000</v>
      </c>
      <c r="C744" s="4">
        <v>58500</v>
      </c>
      <c r="D744" s="81">
        <v>280719</v>
      </c>
      <c r="E744" s="195">
        <f t="shared" si="27"/>
        <v>479.86153846153849</v>
      </c>
    </row>
    <row r="745" spans="1:5">
      <c r="A745" s="570" t="s">
        <v>313</v>
      </c>
      <c r="B745" s="176">
        <v>500000</v>
      </c>
      <c r="C745" s="4">
        <v>500000</v>
      </c>
      <c r="D745" s="81">
        <v>670000</v>
      </c>
      <c r="E745" s="195">
        <f t="shared" si="27"/>
        <v>134</v>
      </c>
    </row>
    <row r="746" spans="1:5">
      <c r="A746" s="559" t="s">
        <v>272</v>
      </c>
      <c r="B746" s="596">
        <f>SUM(B741:B745)</f>
        <v>44445000</v>
      </c>
      <c r="C746" s="8">
        <f>SUM(C741:C745)</f>
        <v>47163700</v>
      </c>
      <c r="D746" s="179">
        <f>SUM(D741:D745)</f>
        <v>46756233</v>
      </c>
      <c r="E746" s="213">
        <f t="shared" si="27"/>
        <v>99.136058027678061</v>
      </c>
    </row>
    <row r="747" spans="1:5">
      <c r="A747" s="559"/>
      <c r="B747" s="596"/>
      <c r="C747" s="14"/>
      <c r="D747" s="81"/>
      <c r="E747" s="195"/>
    </row>
    <row r="748" spans="1:5">
      <c r="A748" s="273" t="s">
        <v>275</v>
      </c>
      <c r="B748" s="176">
        <v>11982000</v>
      </c>
      <c r="C748" s="4">
        <v>12837049</v>
      </c>
      <c r="D748" s="81">
        <v>12602270</v>
      </c>
      <c r="E748" s="195">
        <f t="shared" si="27"/>
        <v>98.17108277766954</v>
      </c>
    </row>
    <row r="749" spans="1:5">
      <c r="A749" s="273" t="s">
        <v>305</v>
      </c>
      <c r="B749" s="176">
        <v>16000</v>
      </c>
      <c r="C749" s="4">
        <v>16000</v>
      </c>
      <c r="D749" s="81">
        <v>0</v>
      </c>
      <c r="E749" s="195">
        <f t="shared" si="27"/>
        <v>0</v>
      </c>
    </row>
    <row r="750" spans="1:5">
      <c r="A750" s="273" t="s">
        <v>312</v>
      </c>
      <c r="B750" s="176">
        <v>20000</v>
      </c>
      <c r="C750" s="4">
        <v>20000</v>
      </c>
      <c r="D750" s="81">
        <v>6369</v>
      </c>
      <c r="E750" s="195">
        <f t="shared" si="27"/>
        <v>31.845000000000002</v>
      </c>
    </row>
    <row r="751" spans="1:5">
      <c r="A751" s="273" t="s">
        <v>304</v>
      </c>
      <c r="B751" s="176">
        <v>9000</v>
      </c>
      <c r="C751" s="4">
        <v>9000</v>
      </c>
      <c r="D751" s="81">
        <v>0</v>
      </c>
      <c r="E751" s="195">
        <f t="shared" si="27"/>
        <v>0</v>
      </c>
    </row>
    <row r="752" spans="1:5">
      <c r="A752" s="559" t="s">
        <v>271</v>
      </c>
      <c r="B752" s="596">
        <f>SUM(B748:B751)</f>
        <v>12027000</v>
      </c>
      <c r="C752" s="8">
        <f>SUM(C748:C751)</f>
        <v>12882049</v>
      </c>
      <c r="D752" s="179">
        <f>SUM(D748:D751)</f>
        <v>12608639</v>
      </c>
      <c r="E752" s="213">
        <f t="shared" si="27"/>
        <v>97.877589194079292</v>
      </c>
    </row>
    <row r="753" spans="1:6">
      <c r="A753" s="113"/>
      <c r="B753" s="176"/>
      <c r="C753" s="14"/>
      <c r="D753" s="81"/>
      <c r="E753" s="195"/>
    </row>
    <row r="754" spans="1:6">
      <c r="A754" s="91" t="s">
        <v>311</v>
      </c>
      <c r="B754" s="571">
        <v>20000</v>
      </c>
      <c r="C754" s="4">
        <v>20000</v>
      </c>
      <c r="D754" s="81">
        <v>8783</v>
      </c>
      <c r="E754" s="195">
        <f t="shared" si="27"/>
        <v>43.914999999999999</v>
      </c>
    </row>
    <row r="755" spans="1:6">
      <c r="A755" s="102" t="s">
        <v>310</v>
      </c>
      <c r="B755" s="571">
        <v>60000</v>
      </c>
      <c r="C755" s="4">
        <v>60000</v>
      </c>
      <c r="D755" s="81">
        <v>7371</v>
      </c>
      <c r="E755" s="195">
        <f t="shared" si="27"/>
        <v>12.285</v>
      </c>
    </row>
    <row r="756" spans="1:6">
      <c r="A756" s="102" t="s">
        <v>302</v>
      </c>
      <c r="B756" s="571">
        <v>60000</v>
      </c>
      <c r="C756" s="4">
        <v>60000</v>
      </c>
      <c r="D756" s="81">
        <v>0</v>
      </c>
      <c r="E756" s="195">
        <f t="shared" si="27"/>
        <v>0</v>
      </c>
    </row>
    <row r="757" spans="1:6">
      <c r="A757" s="102" t="s">
        <v>289</v>
      </c>
      <c r="B757" s="574">
        <v>160000</v>
      </c>
      <c r="C757" s="4">
        <v>265000</v>
      </c>
      <c r="D757" s="81">
        <v>113134</v>
      </c>
      <c r="E757" s="195">
        <f t="shared" si="27"/>
        <v>42.692075471698118</v>
      </c>
    </row>
    <row r="758" spans="1:6">
      <c r="A758" s="113" t="s">
        <v>288</v>
      </c>
      <c r="B758" s="573">
        <f>SUM(B754:B757)</f>
        <v>300000</v>
      </c>
      <c r="C758" s="8">
        <f>SUM(C754:C757)</f>
        <v>405000</v>
      </c>
      <c r="D758" s="179">
        <f>SUM(D754:D757)</f>
        <v>129288</v>
      </c>
      <c r="E758" s="213">
        <f t="shared" si="27"/>
        <v>31.922962962962963</v>
      </c>
    </row>
    <row r="759" spans="1:6">
      <c r="A759" s="102" t="s">
        <v>309</v>
      </c>
      <c r="B759" s="561">
        <f>250000+100000</f>
        <v>350000</v>
      </c>
      <c r="C759" s="4">
        <v>350000</v>
      </c>
      <c r="D759" s="81">
        <v>170800</v>
      </c>
      <c r="E759" s="195">
        <f t="shared" si="27"/>
        <v>48.8</v>
      </c>
    </row>
    <row r="760" spans="1:6" ht="22.5">
      <c r="A760" s="102" t="s">
        <v>293</v>
      </c>
      <c r="B760" s="561">
        <v>150000</v>
      </c>
      <c r="C760" s="14">
        <v>0</v>
      </c>
      <c r="D760" s="81">
        <v>6800</v>
      </c>
      <c r="E760" s="195"/>
    </row>
    <row r="761" spans="1:6">
      <c r="A761" s="108" t="s">
        <v>281</v>
      </c>
      <c r="B761" s="573">
        <f>SUM(B759:B760)</f>
        <v>500000</v>
      </c>
      <c r="C761" s="8">
        <v>350000</v>
      </c>
      <c r="D761" s="179">
        <f>SUM(D759:D760)</f>
        <v>177600</v>
      </c>
      <c r="E761" s="213">
        <f t="shared" si="27"/>
        <v>50.742857142857147</v>
      </c>
    </row>
    <row r="762" spans="1:6">
      <c r="A762" s="102" t="s">
        <v>280</v>
      </c>
      <c r="B762" s="574">
        <f>(B754+B755+B756+B757+B759+B760)*0.27</f>
        <v>216000</v>
      </c>
      <c r="C762" s="4">
        <v>216000</v>
      </c>
      <c r="D762" s="81">
        <v>21033</v>
      </c>
      <c r="E762" s="195">
        <f t="shared" si="27"/>
        <v>9.7375000000000007</v>
      </c>
    </row>
    <row r="763" spans="1:6" ht="22.5">
      <c r="A763" s="113" t="s">
        <v>279</v>
      </c>
      <c r="B763" s="573">
        <f>SUM(B762:B762)</f>
        <v>216000</v>
      </c>
      <c r="C763" s="8">
        <f>SUM(C762)</f>
        <v>216000</v>
      </c>
      <c r="D763" s="179">
        <f>SUM(D762)</f>
        <v>21033</v>
      </c>
      <c r="E763" s="213">
        <f t="shared" si="27"/>
        <v>9.7375000000000007</v>
      </c>
    </row>
    <row r="764" spans="1:6">
      <c r="A764" s="113"/>
      <c r="B764" s="561"/>
      <c r="C764" s="14"/>
      <c r="D764" s="81"/>
      <c r="E764" s="195"/>
    </row>
    <row r="765" spans="1:6">
      <c r="A765" s="112" t="s">
        <v>278</v>
      </c>
      <c r="B765" s="573">
        <f>B758+B761+B763</f>
        <v>1016000</v>
      </c>
      <c r="C765" s="8">
        <v>971000</v>
      </c>
      <c r="D765" s="179">
        <f>D758+D761+D763</f>
        <v>327921</v>
      </c>
      <c r="E765" s="213">
        <f t="shared" si="27"/>
        <v>33.77147270854789</v>
      </c>
    </row>
    <row r="766" spans="1:6">
      <c r="A766" s="112"/>
      <c r="B766" s="176"/>
      <c r="C766" s="14"/>
      <c r="D766" s="81"/>
      <c r="E766" s="195"/>
    </row>
    <row r="767" spans="1:6">
      <c r="A767" s="564" t="s">
        <v>274</v>
      </c>
      <c r="B767" s="596">
        <f>B746+B752+B765</f>
        <v>57488000</v>
      </c>
      <c r="C767" s="8">
        <v>61016749</v>
      </c>
      <c r="D767" s="179">
        <f>D746+D752+D765</f>
        <v>59692793</v>
      </c>
      <c r="E767" s="213">
        <f t="shared" si="27"/>
        <v>97.830176104597115</v>
      </c>
      <c r="F767" s="27"/>
    </row>
    <row r="768" spans="1:6">
      <c r="A768" s="175"/>
      <c r="B768" s="176"/>
      <c r="C768" s="14"/>
      <c r="D768" s="81"/>
      <c r="E768" s="81"/>
    </row>
    <row r="769" spans="1:5">
      <c r="A769" s="166"/>
      <c r="B769" s="176"/>
      <c r="C769" s="14"/>
      <c r="D769" s="81"/>
      <c r="E769" s="81"/>
    </row>
    <row r="770" spans="1:5">
      <c r="A770" s="663" t="s">
        <v>277</v>
      </c>
      <c r="B770" s="664"/>
      <c r="C770" s="275"/>
      <c r="D770" s="296"/>
      <c r="E770" s="297"/>
    </row>
    <row r="771" spans="1:5">
      <c r="A771" s="597"/>
      <c r="B771" s="597"/>
      <c r="C771" s="14"/>
      <c r="D771" s="81"/>
      <c r="E771" s="81"/>
    </row>
    <row r="772" spans="1:5">
      <c r="A772" s="273" t="s">
        <v>308</v>
      </c>
      <c r="B772" s="176">
        <v>1845000</v>
      </c>
      <c r="C772" s="4">
        <v>1845000</v>
      </c>
      <c r="D772" s="81">
        <v>1976775</v>
      </c>
      <c r="E772" s="195">
        <f t="shared" ref="E772:E813" si="28">D772/C772*100</f>
        <v>107.14227642276424</v>
      </c>
    </row>
    <row r="773" spans="1:5">
      <c r="A773" s="570" t="s">
        <v>307</v>
      </c>
      <c r="B773" s="176">
        <v>44000</v>
      </c>
      <c r="C773" s="4">
        <v>44000</v>
      </c>
      <c r="D773" s="81">
        <v>45114</v>
      </c>
      <c r="E773" s="195">
        <f t="shared" si="28"/>
        <v>102.53181818181818</v>
      </c>
    </row>
    <row r="774" spans="1:5">
      <c r="A774" s="570" t="s">
        <v>306</v>
      </c>
      <c r="B774" s="176">
        <v>51000</v>
      </c>
      <c r="C774" s="4">
        <v>51000</v>
      </c>
      <c r="D774" s="81">
        <v>23307</v>
      </c>
      <c r="E774" s="195">
        <f t="shared" si="28"/>
        <v>45.7</v>
      </c>
    </row>
    <row r="775" spans="1:5">
      <c r="A775" s="570" t="s">
        <v>440</v>
      </c>
      <c r="B775" s="176"/>
      <c r="C775" s="4"/>
      <c r="D775" s="81">
        <v>25900</v>
      </c>
      <c r="E775" s="195"/>
    </row>
    <row r="776" spans="1:5">
      <c r="A776" s="559" t="s">
        <v>272</v>
      </c>
      <c r="B776" s="596">
        <f>SUM(B772:B774)</f>
        <v>1940000</v>
      </c>
      <c r="C776" s="8">
        <f>SUM(C772:C774)</f>
        <v>1940000</v>
      </c>
      <c r="D776" s="179">
        <f>SUM(D772:D775)</f>
        <v>2071096</v>
      </c>
      <c r="E776" s="213">
        <f t="shared" si="28"/>
        <v>106.75752577319588</v>
      </c>
    </row>
    <row r="777" spans="1:5">
      <c r="A777" s="559"/>
      <c r="B777" s="596"/>
      <c r="C777" s="14"/>
      <c r="D777" s="81"/>
      <c r="E777" s="195"/>
    </row>
    <row r="778" spans="1:5">
      <c r="A778" s="273" t="s">
        <v>275</v>
      </c>
      <c r="B778" s="176">
        <v>508000</v>
      </c>
      <c r="C778" s="4">
        <v>508000</v>
      </c>
      <c r="D778" s="81">
        <v>559196</v>
      </c>
      <c r="E778" s="195">
        <f t="shared" si="28"/>
        <v>110.0779527559055</v>
      </c>
    </row>
    <row r="779" spans="1:5">
      <c r="A779" s="273" t="s">
        <v>305</v>
      </c>
      <c r="B779" s="176">
        <v>19000</v>
      </c>
      <c r="C779" s="4">
        <v>19000</v>
      </c>
      <c r="D779" s="81">
        <v>0</v>
      </c>
      <c r="E779" s="195">
        <f t="shared" si="28"/>
        <v>0</v>
      </c>
    </row>
    <row r="780" spans="1:5">
      <c r="A780" s="273" t="s">
        <v>312</v>
      </c>
      <c r="B780" s="176"/>
      <c r="C780" s="4"/>
      <c r="D780" s="81">
        <v>88350</v>
      </c>
      <c r="E780" s="195"/>
    </row>
    <row r="781" spans="1:5">
      <c r="A781" s="273" t="s">
        <v>304</v>
      </c>
      <c r="B781" s="176">
        <v>11000</v>
      </c>
      <c r="C781" s="4">
        <v>11000</v>
      </c>
      <c r="D781" s="81">
        <v>0</v>
      </c>
      <c r="E781" s="195">
        <f t="shared" si="28"/>
        <v>0</v>
      </c>
    </row>
    <row r="782" spans="1:5">
      <c r="A782" s="559" t="s">
        <v>271</v>
      </c>
      <c r="B782" s="596">
        <f>SUM(B778:B781)</f>
        <v>538000</v>
      </c>
      <c r="C782" s="8">
        <f>SUM(C778:C781)</f>
        <v>538000</v>
      </c>
      <c r="D782" s="179">
        <f>SUM(D778:D781)</f>
        <v>647546</v>
      </c>
      <c r="E782" s="213">
        <f t="shared" si="28"/>
        <v>120.36171003717473</v>
      </c>
    </row>
    <row r="783" spans="1:5">
      <c r="A783" s="113"/>
      <c r="B783" s="176"/>
      <c r="C783" s="14"/>
      <c r="D783" s="81"/>
      <c r="E783" s="195"/>
    </row>
    <row r="784" spans="1:5">
      <c r="A784" s="102" t="s">
        <v>303</v>
      </c>
      <c r="B784" s="571">
        <v>580000</v>
      </c>
      <c r="C784" s="4">
        <v>847730</v>
      </c>
      <c r="D784" s="81">
        <v>849276</v>
      </c>
      <c r="E784" s="195">
        <f t="shared" si="28"/>
        <v>100.18236938647918</v>
      </c>
    </row>
    <row r="785" spans="1:5">
      <c r="A785" s="102" t="s">
        <v>302</v>
      </c>
      <c r="B785" s="571">
        <v>200000</v>
      </c>
      <c r="C785" s="4">
        <v>200000</v>
      </c>
      <c r="D785" s="81">
        <v>232980</v>
      </c>
      <c r="E785" s="195">
        <f t="shared" si="28"/>
        <v>116.49000000000001</v>
      </c>
    </row>
    <row r="786" spans="1:5">
      <c r="A786" s="102" t="s">
        <v>289</v>
      </c>
      <c r="B786" s="571">
        <v>50000</v>
      </c>
      <c r="C786" s="4">
        <v>50000</v>
      </c>
      <c r="D786" s="81">
        <v>0</v>
      </c>
      <c r="E786" s="195">
        <f t="shared" si="28"/>
        <v>0</v>
      </c>
    </row>
    <row r="787" spans="1:5">
      <c r="A787" s="113" t="s">
        <v>288</v>
      </c>
      <c r="B787" s="573">
        <f>SUM(B784:B786)</f>
        <v>830000</v>
      </c>
      <c r="C787" s="8">
        <f>SUM(C784:C786)</f>
        <v>1097730</v>
      </c>
      <c r="D787" s="179">
        <f>SUM(D784:D786)</f>
        <v>1082256</v>
      </c>
      <c r="E787" s="213">
        <f t="shared" si="28"/>
        <v>98.590363750649061</v>
      </c>
    </row>
    <row r="788" spans="1:5">
      <c r="A788" s="102" t="s">
        <v>301</v>
      </c>
      <c r="B788" s="574">
        <v>80000</v>
      </c>
      <c r="C788" s="4">
        <v>80000</v>
      </c>
      <c r="D788" s="81">
        <v>60088</v>
      </c>
      <c r="E788" s="195">
        <f t="shared" si="28"/>
        <v>75.11</v>
      </c>
    </row>
    <row r="789" spans="1:5">
      <c r="A789" s="102" t="s">
        <v>300</v>
      </c>
      <c r="B789" s="574">
        <v>16000</v>
      </c>
      <c r="C789" s="4">
        <v>16000</v>
      </c>
      <c r="D789" s="81">
        <v>0</v>
      </c>
      <c r="E789" s="195">
        <f t="shared" si="28"/>
        <v>0</v>
      </c>
    </row>
    <row r="790" spans="1:5">
      <c r="A790" s="102" t="s">
        <v>299</v>
      </c>
      <c r="B790" s="574">
        <v>50000</v>
      </c>
      <c r="C790" s="4">
        <v>50000</v>
      </c>
      <c r="D790" s="81">
        <v>669</v>
      </c>
      <c r="E790" s="195">
        <f t="shared" si="28"/>
        <v>1.3379999999999999</v>
      </c>
    </row>
    <row r="791" spans="1:5">
      <c r="A791" s="113" t="s">
        <v>298</v>
      </c>
      <c r="B791" s="573">
        <f>SUM(B788:B790)</f>
        <v>146000</v>
      </c>
      <c r="C791" s="8">
        <f>SUM(C788:C790)</f>
        <v>146000</v>
      </c>
      <c r="D791" s="179">
        <f>SUM(D788:D790)</f>
        <v>60757</v>
      </c>
      <c r="E791" s="213">
        <f t="shared" si="28"/>
        <v>41.614383561643834</v>
      </c>
    </row>
    <row r="792" spans="1:5">
      <c r="A792" s="102" t="s">
        <v>297</v>
      </c>
      <c r="B792" s="574">
        <v>80000</v>
      </c>
      <c r="C792" s="4">
        <v>80000</v>
      </c>
      <c r="D792" s="81">
        <v>52100</v>
      </c>
      <c r="E792" s="195">
        <f t="shared" si="28"/>
        <v>65.125</v>
      </c>
    </row>
    <row r="793" spans="1:5">
      <c r="A793" s="108" t="s">
        <v>286</v>
      </c>
      <c r="B793" s="573">
        <f>SUM(B792:B792)</f>
        <v>80000</v>
      </c>
      <c r="C793" s="8">
        <f>SUM(C792)</f>
        <v>80000</v>
      </c>
      <c r="D793" s="179">
        <f>SUM(D792)</f>
        <v>52100</v>
      </c>
      <c r="E793" s="213">
        <f t="shared" si="28"/>
        <v>65.125</v>
      </c>
    </row>
    <row r="794" spans="1:5">
      <c r="A794" s="102" t="s">
        <v>296</v>
      </c>
      <c r="B794" s="574">
        <v>250000</v>
      </c>
      <c r="C794" s="4">
        <v>250000</v>
      </c>
      <c r="D794" s="81">
        <v>329580</v>
      </c>
      <c r="E794" s="195">
        <f t="shared" si="28"/>
        <v>131.83199999999999</v>
      </c>
    </row>
    <row r="795" spans="1:5">
      <c r="A795" s="102" t="s">
        <v>285</v>
      </c>
      <c r="B795" s="574">
        <v>130000</v>
      </c>
      <c r="C795" s="4">
        <v>130000</v>
      </c>
      <c r="D795" s="81">
        <v>105063</v>
      </c>
      <c r="E795" s="195">
        <f t="shared" si="28"/>
        <v>80.817692307692312</v>
      </c>
    </row>
    <row r="796" spans="1:5">
      <c r="A796" s="102" t="s">
        <v>284</v>
      </c>
      <c r="B796" s="561">
        <v>40000</v>
      </c>
      <c r="C796" s="4">
        <v>40000</v>
      </c>
      <c r="D796" s="81">
        <v>9173</v>
      </c>
      <c r="E796" s="195">
        <f t="shared" si="28"/>
        <v>22.932500000000001</v>
      </c>
    </row>
    <row r="797" spans="1:5">
      <c r="A797" s="108" t="s">
        <v>283</v>
      </c>
      <c r="B797" s="573">
        <f>SUM(B794:B796)</f>
        <v>420000</v>
      </c>
      <c r="C797" s="8">
        <f>SUM(C794:C796)</f>
        <v>420000</v>
      </c>
      <c r="D797" s="179">
        <f>SUM(D794:D796)</f>
        <v>443816</v>
      </c>
      <c r="E797" s="213">
        <f t="shared" si="28"/>
        <v>105.67047619047618</v>
      </c>
    </row>
    <row r="798" spans="1:5">
      <c r="A798" s="102" t="s">
        <v>295</v>
      </c>
      <c r="B798" s="574">
        <v>50000</v>
      </c>
      <c r="C798" s="4">
        <v>50000</v>
      </c>
      <c r="D798" s="81">
        <v>0</v>
      </c>
      <c r="E798" s="195">
        <f t="shared" si="28"/>
        <v>0</v>
      </c>
    </row>
    <row r="799" spans="1:5" ht="22.5">
      <c r="A799" s="102" t="s">
        <v>294</v>
      </c>
      <c r="B799" s="574">
        <f>1386000+100000</f>
        <v>1486000</v>
      </c>
      <c r="C799" s="4">
        <v>1486000</v>
      </c>
      <c r="D799" s="81">
        <v>1147037</v>
      </c>
      <c r="E799" s="195">
        <f t="shared" si="28"/>
        <v>77.189569313593537</v>
      </c>
    </row>
    <row r="800" spans="1:5" ht="22.5">
      <c r="A800" s="102" t="s">
        <v>293</v>
      </c>
      <c r="B800" s="561">
        <v>120000</v>
      </c>
      <c r="C800" s="4">
        <v>120000</v>
      </c>
      <c r="D800" s="81">
        <v>21736</v>
      </c>
      <c r="E800" s="195">
        <f t="shared" si="28"/>
        <v>18.113333333333333</v>
      </c>
    </row>
    <row r="801" spans="1:5">
      <c r="A801" s="108" t="s">
        <v>281</v>
      </c>
      <c r="B801" s="573">
        <f>SUM(B798:B800)</f>
        <v>1656000</v>
      </c>
      <c r="C801" s="8">
        <f>SUM(C798:C800)</f>
        <v>1656000</v>
      </c>
      <c r="D801" s="179">
        <f>SUM(D798:D800)</f>
        <v>1168773</v>
      </c>
      <c r="E801" s="213">
        <f t="shared" si="28"/>
        <v>70.57807971014492</v>
      </c>
    </row>
    <row r="802" spans="1:5">
      <c r="A802" s="102" t="s">
        <v>292</v>
      </c>
      <c r="B802" s="561">
        <v>19000</v>
      </c>
      <c r="C802" s="4">
        <v>19000</v>
      </c>
      <c r="D802" s="81">
        <v>0</v>
      </c>
      <c r="E802" s="195">
        <f t="shared" si="28"/>
        <v>0</v>
      </c>
    </row>
    <row r="803" spans="1:5" ht="16.5" customHeight="1">
      <c r="A803" s="108" t="s">
        <v>291</v>
      </c>
      <c r="B803" s="573">
        <f>SUM(B802:B802)</f>
        <v>19000</v>
      </c>
      <c r="C803" s="8">
        <f>SUM(C802)</f>
        <v>19000</v>
      </c>
      <c r="D803" s="179">
        <f>SUM(D802)</f>
        <v>0</v>
      </c>
      <c r="E803" s="195">
        <f t="shared" si="28"/>
        <v>0</v>
      </c>
    </row>
    <row r="804" spans="1:5">
      <c r="A804" s="102" t="s">
        <v>280</v>
      </c>
      <c r="B804" s="574">
        <f>B784*0.05+(B785+B799)*0.05+(B788+B789+B790+B792+B794+B796+B798+B800+B795)*0.27+22000</f>
        <v>355620</v>
      </c>
      <c r="C804" s="4">
        <v>369006</v>
      </c>
      <c r="D804" s="81">
        <f>4890+333510+1815</f>
        <v>340215</v>
      </c>
      <c r="E804" s="195">
        <f t="shared" si="28"/>
        <v>92.19768784247411</v>
      </c>
    </row>
    <row r="805" spans="1:5" ht="15.75" customHeight="1">
      <c r="A805" s="113" t="s">
        <v>279</v>
      </c>
      <c r="B805" s="573">
        <f>SUM(B804:B804)</f>
        <v>355620</v>
      </c>
      <c r="C805" s="8">
        <f>SUM(C804)</f>
        <v>369006</v>
      </c>
      <c r="D805" s="179">
        <f>SUM(D804)</f>
        <v>340215</v>
      </c>
      <c r="E805" s="213">
        <f t="shared" si="28"/>
        <v>92.19768784247411</v>
      </c>
    </row>
    <row r="806" spans="1:5">
      <c r="A806" s="112" t="s">
        <v>278</v>
      </c>
      <c r="B806" s="573">
        <f>B787+B791+B793+B797+B801+B803+B805</f>
        <v>3506620</v>
      </c>
      <c r="C806" s="8">
        <v>3787736</v>
      </c>
      <c r="D806" s="179">
        <f>D787+D791+D793+D797+D801+D805</f>
        <v>3147917</v>
      </c>
      <c r="E806" s="213">
        <f t="shared" si="28"/>
        <v>83.108141644507427</v>
      </c>
    </row>
    <row r="807" spans="1:5">
      <c r="A807" s="112"/>
      <c r="B807" s="176"/>
      <c r="C807" s="14"/>
      <c r="D807" s="179"/>
      <c r="E807" s="195"/>
    </row>
    <row r="808" spans="1:5">
      <c r="A808" s="564" t="s">
        <v>274</v>
      </c>
      <c r="B808" s="596">
        <f>B776+B782+B806</f>
        <v>5984620</v>
      </c>
      <c r="C808" s="8">
        <v>6265736</v>
      </c>
      <c r="D808" s="179">
        <f>D776+D782+D806</f>
        <v>5866559</v>
      </c>
      <c r="E808" s="213">
        <f t="shared" si="28"/>
        <v>93.629208124951319</v>
      </c>
    </row>
    <row r="809" spans="1:5">
      <c r="A809" s="166"/>
      <c r="B809" s="176"/>
      <c r="C809" s="14"/>
      <c r="D809" s="81"/>
      <c r="E809" s="213"/>
    </row>
    <row r="810" spans="1:5">
      <c r="A810" s="559" t="s">
        <v>272</v>
      </c>
      <c r="B810" s="596">
        <f>B709+B746+B776</f>
        <v>57795000</v>
      </c>
      <c r="C810" s="8">
        <v>60733700</v>
      </c>
      <c r="D810" s="260">
        <f>D709+D746+D776</f>
        <v>60340050</v>
      </c>
      <c r="E810" s="213">
        <f t="shared" si="28"/>
        <v>99.351842551993371</v>
      </c>
    </row>
    <row r="811" spans="1:5">
      <c r="A811" s="559" t="s">
        <v>271</v>
      </c>
      <c r="B811" s="596">
        <f>B715+B752+B782</f>
        <v>15656000</v>
      </c>
      <c r="C811" s="8">
        <v>16570449</v>
      </c>
      <c r="D811" s="260">
        <f>D715+D752+D782</f>
        <v>16372671</v>
      </c>
      <c r="E811" s="213">
        <f t="shared" si="28"/>
        <v>98.806441515254051</v>
      </c>
    </row>
    <row r="812" spans="1:5">
      <c r="A812" s="112" t="s">
        <v>273</v>
      </c>
      <c r="B812" s="596">
        <f>B696+B735+B765+B806</f>
        <v>70505252.200000003</v>
      </c>
      <c r="C812" s="8">
        <v>63650313</v>
      </c>
      <c r="D812" s="260">
        <f>D696+D735+D765+D806</f>
        <v>54915078</v>
      </c>
      <c r="E812" s="213">
        <f t="shared" si="28"/>
        <v>86.276210456341346</v>
      </c>
    </row>
    <row r="813" spans="1:5" ht="22.5">
      <c r="A813" s="112" t="s">
        <v>906</v>
      </c>
      <c r="B813" s="596">
        <f>SUM(B810:B812)</f>
        <v>143956252.19999999</v>
      </c>
      <c r="C813" s="8">
        <f>SUM(C810:C812)</f>
        <v>140954462</v>
      </c>
      <c r="D813" s="260">
        <f>SUM(D810:D812)</f>
        <v>131627799</v>
      </c>
      <c r="E813" s="213">
        <f t="shared" si="28"/>
        <v>93.383208401022458</v>
      </c>
    </row>
    <row r="814" spans="1:5">
      <c r="A814" s="118"/>
      <c r="B814" s="118"/>
      <c r="C814" s="14"/>
      <c r="D814" s="81"/>
      <c r="E814" s="81"/>
    </row>
    <row r="815" spans="1:5" s="611" customFormat="1">
      <c r="A815" s="118"/>
      <c r="B815" s="118"/>
      <c r="C815" s="14"/>
      <c r="D815" s="81"/>
      <c r="E815" s="81"/>
    </row>
    <row r="816" spans="1:5" s="611" customFormat="1">
      <c r="A816" s="118"/>
      <c r="B816" s="118"/>
      <c r="C816" s="14"/>
      <c r="D816" s="81"/>
      <c r="E816" s="81"/>
    </row>
    <row r="817" spans="1:5">
      <c r="A817" s="668" t="s">
        <v>165</v>
      </c>
      <c r="B817" s="668"/>
      <c r="C817" s="668"/>
      <c r="D817" s="668"/>
      <c r="E817" s="668"/>
    </row>
    <row r="818" spans="1:5">
      <c r="A818" s="593"/>
      <c r="B818" s="593"/>
      <c r="C818" s="14"/>
      <c r="D818" s="81"/>
      <c r="E818" s="81"/>
    </row>
    <row r="819" spans="1:5">
      <c r="A819" s="667" t="s">
        <v>39</v>
      </c>
      <c r="B819" s="667"/>
      <c r="C819" s="667"/>
      <c r="D819" s="667"/>
      <c r="E819" s="667"/>
    </row>
    <row r="820" spans="1:5">
      <c r="A820" s="166"/>
      <c r="B820" s="176"/>
      <c r="C820" s="14"/>
      <c r="D820" s="81"/>
      <c r="E820" s="81"/>
    </row>
    <row r="821" spans="1:5">
      <c r="A821" s="665" t="s">
        <v>290</v>
      </c>
      <c r="B821" s="666"/>
      <c r="C821" s="275"/>
      <c r="D821" s="296"/>
      <c r="E821" s="297"/>
    </row>
    <row r="822" spans="1:5">
      <c r="A822" s="166"/>
      <c r="B822" s="176"/>
      <c r="C822" s="14"/>
      <c r="D822" s="81"/>
      <c r="E822" s="81"/>
    </row>
    <row r="823" spans="1:5">
      <c r="A823" s="273" t="s">
        <v>276</v>
      </c>
      <c r="B823" s="176">
        <v>619000</v>
      </c>
      <c r="C823" s="4">
        <v>619000</v>
      </c>
      <c r="D823" s="81">
        <v>619341</v>
      </c>
      <c r="E823" s="195">
        <f>D823/C823*100</f>
        <v>100.05508885298869</v>
      </c>
    </row>
    <row r="824" spans="1:5">
      <c r="A824" s="273" t="s">
        <v>442</v>
      </c>
      <c r="B824" s="176"/>
      <c r="C824" s="4"/>
      <c r="D824" s="81">
        <v>35300</v>
      </c>
      <c r="E824" s="195"/>
    </row>
    <row r="825" spans="1:5">
      <c r="A825" s="273" t="s">
        <v>313</v>
      </c>
      <c r="B825" s="176"/>
      <c r="C825" s="4"/>
      <c r="D825" s="81">
        <v>25000</v>
      </c>
      <c r="E825" s="195"/>
    </row>
    <row r="826" spans="1:5">
      <c r="A826" s="273" t="s">
        <v>443</v>
      </c>
      <c r="B826" s="176"/>
      <c r="C826" s="4"/>
      <c r="D826" s="81">
        <v>37500</v>
      </c>
      <c r="E826" s="195"/>
    </row>
    <row r="827" spans="1:5">
      <c r="A827" s="559" t="s">
        <v>272</v>
      </c>
      <c r="B827" s="596">
        <f>SUM(B823:B823)</f>
        <v>619000</v>
      </c>
      <c r="C827" s="8">
        <f>SUM(C823)</f>
        <v>619000</v>
      </c>
      <c r="D827" s="179">
        <f>SUM(D823:D826)</f>
        <v>717141</v>
      </c>
      <c r="E827" s="213">
        <f t="shared" ref="E827:E848" si="29">D827/C827*100</f>
        <v>115.85476575121163</v>
      </c>
    </row>
    <row r="828" spans="1:5">
      <c r="A828" s="559"/>
      <c r="B828" s="596"/>
      <c r="C828" s="14"/>
      <c r="D828" s="81"/>
      <c r="E828" s="195"/>
    </row>
    <row r="829" spans="1:5">
      <c r="A829" s="273" t="s">
        <v>275</v>
      </c>
      <c r="B829" s="176">
        <v>167000</v>
      </c>
      <c r="C829" s="4">
        <v>167000</v>
      </c>
      <c r="D829" s="81">
        <v>182828</v>
      </c>
      <c r="E829" s="195">
        <f t="shared" si="29"/>
        <v>109.47784431137724</v>
      </c>
    </row>
    <row r="830" spans="1:5">
      <c r="A830" s="273" t="s">
        <v>305</v>
      </c>
      <c r="B830" s="176"/>
      <c r="C830" s="4"/>
      <c r="D830" s="81">
        <v>12049</v>
      </c>
      <c r="E830" s="195"/>
    </row>
    <row r="831" spans="1:5">
      <c r="A831" s="273" t="s">
        <v>304</v>
      </c>
      <c r="B831" s="176"/>
      <c r="C831" s="4"/>
      <c r="D831" s="81">
        <v>7140</v>
      </c>
      <c r="E831" s="195"/>
    </row>
    <row r="832" spans="1:5">
      <c r="A832" s="559" t="s">
        <v>271</v>
      </c>
      <c r="B832" s="596">
        <f>SUM(B829:B829)</f>
        <v>167000</v>
      </c>
      <c r="C832" s="8">
        <f>SUM(C829)</f>
        <v>167000</v>
      </c>
      <c r="D832" s="179">
        <f>SUM(D829:D831)</f>
        <v>202017</v>
      </c>
      <c r="E832" s="213">
        <f t="shared" si="29"/>
        <v>120.9682634730539</v>
      </c>
    </row>
    <row r="833" spans="1:5">
      <c r="A833" s="559"/>
      <c r="B833" s="596"/>
      <c r="C833" s="14"/>
      <c r="D833" s="81"/>
      <c r="E833" s="195"/>
    </row>
    <row r="834" spans="1:5">
      <c r="A834" s="102" t="s">
        <v>289</v>
      </c>
      <c r="B834" s="176">
        <v>14339</v>
      </c>
      <c r="C834" s="4">
        <v>14339</v>
      </c>
      <c r="D834" s="81">
        <f>2756+8314</f>
        <v>11070</v>
      </c>
      <c r="E834" s="195">
        <f t="shared" si="29"/>
        <v>77.202036404212294</v>
      </c>
    </row>
    <row r="835" spans="1:5">
      <c r="A835" s="113" t="s">
        <v>288</v>
      </c>
      <c r="B835" s="596">
        <f>SUM(B834)</f>
        <v>14339</v>
      </c>
      <c r="C835" s="8">
        <f>SUM(C834)</f>
        <v>14339</v>
      </c>
      <c r="D835" s="179">
        <f>SUM(D834)</f>
        <v>11070</v>
      </c>
      <c r="E835" s="213">
        <f t="shared" si="29"/>
        <v>77.202036404212294</v>
      </c>
    </row>
    <row r="836" spans="1:5">
      <c r="A836" s="91" t="s">
        <v>287</v>
      </c>
      <c r="B836" s="176">
        <v>38855</v>
      </c>
      <c r="C836" s="4">
        <v>38855</v>
      </c>
      <c r="D836" s="81">
        <v>25544</v>
      </c>
      <c r="E836" s="195">
        <f t="shared" si="29"/>
        <v>65.741860764380391</v>
      </c>
    </row>
    <row r="837" spans="1:5">
      <c r="A837" s="91" t="s">
        <v>444</v>
      </c>
      <c r="B837" s="176"/>
      <c r="C837" s="4"/>
      <c r="D837" s="81">
        <v>7735</v>
      </c>
      <c r="E837" s="195"/>
    </row>
    <row r="838" spans="1:5">
      <c r="A838" s="108" t="s">
        <v>286</v>
      </c>
      <c r="B838" s="596">
        <f>SUM(B836:B836)</f>
        <v>38855</v>
      </c>
      <c r="C838" s="8">
        <f>SUM(C836)</f>
        <v>38855</v>
      </c>
      <c r="D838" s="179">
        <f>SUM(D836:D837)</f>
        <v>33279</v>
      </c>
      <c r="E838" s="213">
        <f t="shared" si="29"/>
        <v>85.649208596062294</v>
      </c>
    </row>
    <row r="839" spans="1:5">
      <c r="A839" s="102" t="s">
        <v>285</v>
      </c>
      <c r="B839" s="176">
        <v>84835</v>
      </c>
      <c r="C839" s="4">
        <v>84835</v>
      </c>
      <c r="D839" s="81">
        <v>85984</v>
      </c>
      <c r="E839" s="195">
        <f t="shared" si="29"/>
        <v>101.35439382330406</v>
      </c>
    </row>
    <row r="840" spans="1:5">
      <c r="A840" s="102" t="s">
        <v>284</v>
      </c>
      <c r="B840" s="176">
        <v>14661</v>
      </c>
      <c r="C840" s="4">
        <v>14661</v>
      </c>
      <c r="D840" s="81">
        <v>13650</v>
      </c>
      <c r="E840" s="195">
        <f t="shared" si="29"/>
        <v>93.104153877634545</v>
      </c>
    </row>
    <row r="841" spans="1:5">
      <c r="A841" s="108" t="s">
        <v>283</v>
      </c>
      <c r="B841" s="596">
        <f>SUM(B839:B840)</f>
        <v>99496</v>
      </c>
      <c r="C841" s="8">
        <f>SUM(C839:C840)</f>
        <v>99496</v>
      </c>
      <c r="D841" s="179">
        <f>SUM(D839:D840)</f>
        <v>99634</v>
      </c>
      <c r="E841" s="213">
        <f t="shared" si="29"/>
        <v>100.13869904317762</v>
      </c>
    </row>
    <row r="842" spans="1:5">
      <c r="A842" s="102" t="s">
        <v>282</v>
      </c>
      <c r="B842" s="176">
        <f>102607+2000+100000</f>
        <v>204607</v>
      </c>
      <c r="C842" s="4">
        <v>200457</v>
      </c>
      <c r="D842" s="81">
        <v>0</v>
      </c>
      <c r="E842" s="195">
        <f t="shared" si="29"/>
        <v>0</v>
      </c>
    </row>
    <row r="843" spans="1:5">
      <c r="A843" s="102" t="s">
        <v>445</v>
      </c>
      <c r="B843" s="176"/>
      <c r="C843" s="4"/>
      <c r="D843" s="81">
        <v>16045</v>
      </c>
      <c r="E843" s="195"/>
    </row>
    <row r="844" spans="1:5">
      <c r="A844" s="108" t="s">
        <v>281</v>
      </c>
      <c r="B844" s="596">
        <f>SUM(B842:B842)</f>
        <v>204607</v>
      </c>
      <c r="C844" s="8">
        <f>SUM(C842)</f>
        <v>200457</v>
      </c>
      <c r="D844" s="179">
        <f>SUM(D842:D843)</f>
        <v>16045</v>
      </c>
      <c r="E844" s="213">
        <f t="shared" si="29"/>
        <v>8.0042103792833377</v>
      </c>
    </row>
    <row r="845" spans="1:5">
      <c r="A845" s="102" t="s">
        <v>280</v>
      </c>
      <c r="B845" s="176">
        <v>66931</v>
      </c>
      <c r="C845" s="4">
        <v>66931</v>
      </c>
      <c r="D845" s="81">
        <v>40533</v>
      </c>
      <c r="E845" s="195">
        <f t="shared" si="29"/>
        <v>60.559382050171074</v>
      </c>
    </row>
    <row r="846" spans="1:5" ht="15" customHeight="1">
      <c r="A846" s="113" t="s">
        <v>279</v>
      </c>
      <c r="B846" s="596">
        <f>B845</f>
        <v>66931</v>
      </c>
      <c r="C846" s="8">
        <f>SUM(C845)</f>
        <v>66931</v>
      </c>
      <c r="D846" s="179">
        <f>SUM(D845)</f>
        <v>40533</v>
      </c>
      <c r="E846" s="213">
        <f t="shared" si="29"/>
        <v>60.559382050171074</v>
      </c>
    </row>
    <row r="847" spans="1:5">
      <c r="A847" s="112" t="s">
        <v>278</v>
      </c>
      <c r="B847" s="596">
        <f>B835+B838+B841+B844+B846</f>
        <v>424228</v>
      </c>
      <c r="C847" s="8">
        <v>420078</v>
      </c>
      <c r="D847" s="179">
        <f>D835+D838+D841+D844+D846</f>
        <v>200561</v>
      </c>
      <c r="E847" s="213">
        <f t="shared" si="29"/>
        <v>47.743752350753908</v>
      </c>
    </row>
    <row r="848" spans="1:5">
      <c r="A848" s="564" t="s">
        <v>274</v>
      </c>
      <c r="B848" s="596">
        <f>B827+B832+B847</f>
        <v>1210228</v>
      </c>
      <c r="C848" s="8">
        <v>1206078</v>
      </c>
      <c r="D848" s="179">
        <f>D827+D832+D847</f>
        <v>1119719</v>
      </c>
      <c r="E848" s="213">
        <f t="shared" si="29"/>
        <v>92.839683668883765</v>
      </c>
    </row>
    <row r="849" spans="1:5">
      <c r="A849" s="166"/>
      <c r="B849" s="176"/>
      <c r="C849" s="14"/>
      <c r="D849" s="81"/>
      <c r="E849" s="81"/>
    </row>
    <row r="850" spans="1:5">
      <c r="A850" s="663" t="s">
        <v>277</v>
      </c>
      <c r="B850" s="664"/>
      <c r="C850" s="275"/>
      <c r="D850" s="296"/>
      <c r="E850" s="297"/>
    </row>
    <row r="851" spans="1:5">
      <c r="A851" s="273" t="s">
        <v>276</v>
      </c>
      <c r="B851" s="176">
        <v>359000</v>
      </c>
      <c r="C851" s="4">
        <v>359000</v>
      </c>
      <c r="D851" s="81">
        <v>174500</v>
      </c>
      <c r="E851" s="195">
        <f t="shared" ref="E851:E869" si="30">D851/C851*100</f>
        <v>48.607242339832865</v>
      </c>
    </row>
    <row r="852" spans="1:5">
      <c r="A852" s="559" t="s">
        <v>272</v>
      </c>
      <c r="B852" s="596">
        <f>SUM(B851:B851)</f>
        <v>359000</v>
      </c>
      <c r="C852" s="8">
        <f>SUM(C851)</f>
        <v>359000</v>
      </c>
      <c r="D852" s="179">
        <f>SUM(D851)</f>
        <v>174500</v>
      </c>
      <c r="E852" s="213">
        <f t="shared" si="30"/>
        <v>48.607242339832865</v>
      </c>
    </row>
    <row r="853" spans="1:5">
      <c r="A853" s="559"/>
      <c r="B853" s="596"/>
      <c r="C853" s="14"/>
      <c r="D853" s="81"/>
      <c r="E853" s="195"/>
    </row>
    <row r="854" spans="1:5">
      <c r="A854" s="273" t="s">
        <v>275</v>
      </c>
      <c r="B854" s="176">
        <v>97000</v>
      </c>
      <c r="C854" s="4">
        <v>97000</v>
      </c>
      <c r="D854" s="81">
        <v>47115</v>
      </c>
      <c r="E854" s="195">
        <f t="shared" si="30"/>
        <v>48.572164948453604</v>
      </c>
    </row>
    <row r="855" spans="1:5">
      <c r="A855" s="559" t="s">
        <v>271</v>
      </c>
      <c r="B855" s="596">
        <f>SUM(B854:B854)</f>
        <v>97000</v>
      </c>
      <c r="C855" s="8">
        <f>SUM(C854)</f>
        <v>97000</v>
      </c>
      <c r="D855" s="179">
        <f>SUM(D854)</f>
        <v>47115</v>
      </c>
      <c r="E855" s="213">
        <f t="shared" si="30"/>
        <v>48.572164948453604</v>
      </c>
    </row>
    <row r="856" spans="1:5">
      <c r="A856" s="559"/>
      <c r="B856" s="596"/>
      <c r="C856" s="8"/>
      <c r="D856" s="81"/>
      <c r="E856" s="195"/>
    </row>
    <row r="857" spans="1:5">
      <c r="A857" s="570" t="s">
        <v>310</v>
      </c>
      <c r="B857" s="596"/>
      <c r="D857" s="4">
        <v>9448</v>
      </c>
      <c r="E857" s="195"/>
    </row>
    <row r="858" spans="1:5">
      <c r="A858" s="102" t="s">
        <v>297</v>
      </c>
      <c r="B858" s="596"/>
      <c r="D858" s="4">
        <v>5577</v>
      </c>
      <c r="E858" s="195"/>
    </row>
    <row r="859" spans="1:5">
      <c r="A859" s="570" t="s">
        <v>441</v>
      </c>
      <c r="B859" s="596"/>
      <c r="D859" s="4">
        <f>1011+1580+94500</f>
        <v>97091</v>
      </c>
      <c r="E859" s="195"/>
    </row>
    <row r="860" spans="1:5">
      <c r="A860" s="102" t="s">
        <v>280</v>
      </c>
      <c r="B860" s="176"/>
      <c r="D860" s="14">
        <v>7403</v>
      </c>
      <c r="E860" s="195"/>
    </row>
    <row r="861" spans="1:5">
      <c r="A861" s="112" t="s">
        <v>278</v>
      </c>
      <c r="B861" s="176"/>
      <c r="D861" s="8">
        <f>SUM(D857:D860)</f>
        <v>119519</v>
      </c>
      <c r="E861" s="195"/>
    </row>
    <row r="862" spans="1:5">
      <c r="A862" s="102"/>
      <c r="B862" s="176"/>
      <c r="C862" s="14"/>
      <c r="D862" s="81"/>
      <c r="E862" s="213"/>
    </row>
    <row r="863" spans="1:5">
      <c r="A863" s="564" t="s">
        <v>274</v>
      </c>
      <c r="B863" s="596">
        <f>B852+B855</f>
        <v>456000</v>
      </c>
      <c r="C863" s="8">
        <v>456000</v>
      </c>
      <c r="D863" s="179">
        <f>D852+D855+D861</f>
        <v>341134</v>
      </c>
      <c r="E863" s="213">
        <f t="shared" si="30"/>
        <v>74.810087719298252</v>
      </c>
    </row>
    <row r="864" spans="1:5" s="611" customFormat="1">
      <c r="A864" s="564"/>
      <c r="B864" s="596"/>
      <c r="C864" s="8"/>
      <c r="D864" s="179"/>
      <c r="E864" s="213"/>
    </row>
    <row r="865" spans="1:5">
      <c r="A865" s="166"/>
      <c r="B865" s="176"/>
      <c r="C865" s="14"/>
      <c r="D865" s="81"/>
      <c r="E865" s="213"/>
    </row>
    <row r="866" spans="1:5">
      <c r="A866" s="559" t="s">
        <v>272</v>
      </c>
      <c r="B866" s="596">
        <f>B827+B852</f>
        <v>978000</v>
      </c>
      <c r="C866" s="8">
        <v>978000</v>
      </c>
      <c r="D866" s="260">
        <f>D827+D852</f>
        <v>891641</v>
      </c>
      <c r="E866" s="213">
        <f t="shared" si="30"/>
        <v>91.169836400817999</v>
      </c>
    </row>
    <row r="867" spans="1:5">
      <c r="A867" s="559" t="s">
        <v>271</v>
      </c>
      <c r="B867" s="596">
        <f>B832+B855</f>
        <v>264000</v>
      </c>
      <c r="C867" s="8">
        <v>264000</v>
      </c>
      <c r="D867" s="260">
        <f>D832+D855</f>
        <v>249132</v>
      </c>
      <c r="E867" s="213">
        <f t="shared" si="30"/>
        <v>94.368181818181824</v>
      </c>
    </row>
    <row r="868" spans="1:5">
      <c r="A868" s="598" t="s">
        <v>273</v>
      </c>
      <c r="B868" s="596">
        <f>B847</f>
        <v>424228</v>
      </c>
      <c r="C868" s="8">
        <v>420078</v>
      </c>
      <c r="D868" s="260">
        <f>D847+D861</f>
        <v>320080</v>
      </c>
      <c r="E868" s="213">
        <f t="shared" si="30"/>
        <v>76.195373240207772</v>
      </c>
    </row>
    <row r="869" spans="1:5">
      <c r="A869" s="598" t="s">
        <v>270</v>
      </c>
      <c r="B869" s="596">
        <f>SUM(B866:B868)</f>
        <v>1666228</v>
      </c>
      <c r="C869" s="8">
        <f>SUM(C866:C868)</f>
        <v>1662078</v>
      </c>
      <c r="D869" s="260">
        <f>SUM(D866:D868)</f>
        <v>1460853</v>
      </c>
      <c r="E869" s="213">
        <f t="shared" si="30"/>
        <v>87.893167468674761</v>
      </c>
    </row>
    <row r="870" spans="1:5">
      <c r="A870" s="118"/>
      <c r="B870" s="118"/>
      <c r="C870" s="14"/>
      <c r="D870" s="81"/>
      <c r="E870" s="81"/>
    </row>
    <row r="871" spans="1:5">
      <c r="A871" s="118"/>
      <c r="B871" s="118"/>
      <c r="D871" s="81"/>
      <c r="E871" s="81"/>
    </row>
    <row r="872" spans="1:5">
      <c r="A872" s="118"/>
      <c r="B872" s="118"/>
      <c r="D872" s="81"/>
      <c r="E872" s="81"/>
    </row>
    <row r="873" spans="1:5">
      <c r="A873" s="118"/>
      <c r="B873" s="118"/>
      <c r="D873" s="81"/>
      <c r="E873" s="81"/>
    </row>
    <row r="874" spans="1:5">
      <c r="A874" s="118"/>
      <c r="B874" s="118"/>
      <c r="D874" s="81"/>
      <c r="E874" s="81"/>
    </row>
    <row r="875" spans="1:5">
      <c r="A875" s="118"/>
      <c r="B875" s="118"/>
      <c r="D875" s="81"/>
      <c r="E875" s="81"/>
    </row>
    <row r="876" spans="1:5">
      <c r="A876" s="118"/>
      <c r="B876" s="118"/>
      <c r="D876" s="81"/>
      <c r="E876" s="81"/>
    </row>
    <row r="877" spans="1:5">
      <c r="A877" s="118"/>
      <c r="B877" s="118"/>
      <c r="D877" s="81"/>
      <c r="E877" s="81"/>
    </row>
    <row r="878" spans="1:5">
      <c r="A878" s="118"/>
      <c r="B878" s="118"/>
      <c r="D878" s="81"/>
      <c r="E878" s="81"/>
    </row>
    <row r="879" spans="1:5">
      <c r="A879" s="118"/>
      <c r="B879" s="118"/>
      <c r="D879" s="81"/>
      <c r="E879" s="81"/>
    </row>
    <row r="880" spans="1:5">
      <c r="A880" s="118"/>
      <c r="B880" s="118"/>
      <c r="D880" s="81"/>
      <c r="E880" s="81"/>
    </row>
    <row r="881" spans="1:5">
      <c r="A881" s="118"/>
      <c r="B881" s="118"/>
      <c r="D881" s="81"/>
      <c r="E881" s="81"/>
    </row>
    <row r="882" spans="1:5">
      <c r="A882" s="118"/>
      <c r="B882" s="118"/>
      <c r="D882" s="81"/>
      <c r="E882" s="81"/>
    </row>
    <row r="883" spans="1:5">
      <c r="A883" s="118"/>
      <c r="B883" s="118"/>
      <c r="D883" s="81"/>
      <c r="E883" s="81"/>
    </row>
    <row r="884" spans="1:5">
      <c r="A884" s="118"/>
      <c r="B884" s="118"/>
      <c r="D884" s="81"/>
      <c r="E884" s="81"/>
    </row>
    <row r="885" spans="1:5">
      <c r="A885" s="118"/>
      <c r="B885" s="118"/>
      <c r="D885" s="81"/>
      <c r="E885" s="81"/>
    </row>
    <row r="886" spans="1:5">
      <c r="A886" s="118"/>
      <c r="B886" s="118"/>
      <c r="D886" s="81"/>
      <c r="E886" s="81"/>
    </row>
    <row r="887" spans="1:5">
      <c r="A887" s="118"/>
      <c r="B887" s="118"/>
      <c r="D887" s="81"/>
      <c r="E887" s="81"/>
    </row>
    <row r="888" spans="1:5">
      <c r="A888" s="118"/>
      <c r="B888" s="118"/>
      <c r="D888" s="81"/>
      <c r="E888" s="81"/>
    </row>
    <row r="889" spans="1:5">
      <c r="A889" s="118"/>
      <c r="B889" s="118"/>
      <c r="D889" s="81"/>
      <c r="E889" s="81"/>
    </row>
    <row r="890" spans="1:5">
      <c r="A890" s="118"/>
      <c r="B890" s="118"/>
      <c r="D890" s="81"/>
      <c r="E890" s="81"/>
    </row>
    <row r="891" spans="1:5">
      <c r="A891" s="118"/>
      <c r="B891" s="118"/>
      <c r="D891" s="81"/>
      <c r="E891" s="81"/>
    </row>
    <row r="892" spans="1:5">
      <c r="A892" s="118"/>
      <c r="B892" s="118"/>
      <c r="D892" s="81"/>
      <c r="E892" s="81"/>
    </row>
    <row r="893" spans="1:5">
      <c r="A893" s="118"/>
      <c r="B893" s="118"/>
      <c r="D893" s="81"/>
      <c r="E893" s="81"/>
    </row>
    <row r="894" spans="1:5">
      <c r="A894" s="118"/>
      <c r="B894" s="118"/>
      <c r="D894" s="81"/>
      <c r="E894" s="81"/>
    </row>
    <row r="895" spans="1:5">
      <c r="A895" s="118"/>
      <c r="B895" s="118"/>
      <c r="D895" s="81"/>
      <c r="E895" s="81"/>
    </row>
    <row r="896" spans="1:5">
      <c r="A896" s="118"/>
      <c r="B896" s="118"/>
      <c r="D896" s="81"/>
      <c r="E896" s="81"/>
    </row>
    <row r="897" spans="1:5">
      <c r="A897" s="118"/>
      <c r="B897" s="118"/>
      <c r="D897" s="81"/>
      <c r="E897" s="81"/>
    </row>
    <row r="898" spans="1:5">
      <c r="A898" s="118"/>
      <c r="B898" s="118"/>
      <c r="D898" s="81"/>
      <c r="E898" s="81"/>
    </row>
    <row r="899" spans="1:5">
      <c r="A899" s="118"/>
      <c r="B899" s="118"/>
      <c r="D899" s="81"/>
      <c r="E899" s="81"/>
    </row>
    <row r="900" spans="1:5">
      <c r="A900" s="599"/>
      <c r="B900" s="599"/>
      <c r="D900" s="81"/>
      <c r="E900" s="81"/>
    </row>
    <row r="901" spans="1:5">
      <c r="A901" s="599"/>
      <c r="B901" s="599"/>
      <c r="D901" s="81"/>
      <c r="E901" s="81"/>
    </row>
    <row r="902" spans="1:5">
      <c r="A902" s="599"/>
      <c r="B902" s="599"/>
      <c r="D902" s="81"/>
      <c r="E902" s="81"/>
    </row>
    <row r="903" spans="1:5">
      <c r="A903" s="599"/>
      <c r="B903" s="599"/>
      <c r="D903" s="81"/>
      <c r="E903" s="81"/>
    </row>
    <row r="904" spans="1:5">
      <c r="A904" s="599"/>
      <c r="B904" s="599"/>
      <c r="D904" s="81"/>
      <c r="E904" s="81"/>
    </row>
    <row r="905" spans="1:5">
      <c r="A905" s="599"/>
      <c r="B905" s="599"/>
      <c r="D905" s="81"/>
      <c r="E905" s="81"/>
    </row>
    <row r="906" spans="1:5">
      <c r="A906" s="599"/>
      <c r="B906" s="599"/>
      <c r="D906" s="81"/>
      <c r="E906" s="81"/>
    </row>
    <row r="907" spans="1:5">
      <c r="A907" s="599"/>
      <c r="B907" s="599"/>
      <c r="D907" s="81"/>
      <c r="E907" s="81"/>
    </row>
    <row r="908" spans="1:5">
      <c r="A908" s="599"/>
      <c r="B908" s="599"/>
      <c r="D908" s="81"/>
      <c r="E908" s="81"/>
    </row>
    <row r="909" spans="1:5">
      <c r="A909" s="599"/>
      <c r="B909" s="599"/>
      <c r="D909" s="81"/>
      <c r="E909" s="81"/>
    </row>
    <row r="910" spans="1:5">
      <c r="A910" s="599"/>
      <c r="B910" s="599"/>
      <c r="D910" s="81"/>
      <c r="E910" s="81"/>
    </row>
    <row r="911" spans="1:5">
      <c r="A911" s="599"/>
      <c r="B911" s="599"/>
      <c r="D911" s="81"/>
      <c r="E911" s="81"/>
    </row>
    <row r="912" spans="1:5">
      <c r="A912" s="599"/>
      <c r="B912" s="599"/>
      <c r="D912" s="81"/>
      <c r="E912" s="81"/>
    </row>
    <row r="913" spans="1:5">
      <c r="A913" s="599"/>
      <c r="B913" s="599"/>
      <c r="D913" s="81"/>
      <c r="E913" s="81"/>
    </row>
    <row r="914" spans="1:5">
      <c r="A914" s="599"/>
      <c r="B914" s="599"/>
      <c r="D914" s="81"/>
      <c r="E914" s="81"/>
    </row>
    <row r="915" spans="1:5">
      <c r="A915" s="599"/>
      <c r="B915" s="599"/>
      <c r="D915" s="81"/>
      <c r="E915" s="81"/>
    </row>
    <row r="916" spans="1:5">
      <c r="A916" s="599"/>
      <c r="B916" s="599"/>
      <c r="D916" s="81"/>
      <c r="E916" s="81"/>
    </row>
    <row r="917" spans="1:5">
      <c r="A917" s="259"/>
      <c r="B917" s="259"/>
      <c r="D917" s="81"/>
      <c r="E917" s="81"/>
    </row>
    <row r="918" spans="1:5">
      <c r="A918" s="259"/>
      <c r="B918" s="259"/>
      <c r="D918" s="81"/>
      <c r="E918" s="81"/>
    </row>
    <row r="919" spans="1:5">
      <c r="A919" s="259"/>
      <c r="B919" s="259"/>
      <c r="D919" s="81"/>
      <c r="E919" s="81"/>
    </row>
    <row r="920" spans="1:5">
      <c r="A920" s="259"/>
      <c r="B920" s="259"/>
      <c r="D920" s="81"/>
      <c r="E920" s="81"/>
    </row>
    <row r="921" spans="1:5">
      <c r="A921" s="259"/>
      <c r="B921" s="259"/>
      <c r="D921" s="81"/>
      <c r="E921" s="81"/>
    </row>
    <row r="922" spans="1:5">
      <c r="A922" s="259"/>
      <c r="B922" s="259"/>
      <c r="D922" s="81"/>
      <c r="E922" s="81"/>
    </row>
    <row r="923" spans="1:5">
      <c r="A923" s="259"/>
      <c r="B923" s="259"/>
      <c r="D923" s="81"/>
      <c r="E923" s="81"/>
    </row>
    <row r="924" spans="1:5">
      <c r="A924" s="259"/>
      <c r="B924" s="259"/>
      <c r="D924" s="81"/>
      <c r="E924" s="81"/>
    </row>
    <row r="925" spans="1:5">
      <c r="A925" s="259"/>
      <c r="B925" s="259"/>
      <c r="D925" s="81"/>
      <c r="E925" s="81"/>
    </row>
    <row r="926" spans="1:5">
      <c r="A926" s="259"/>
      <c r="B926" s="259"/>
      <c r="D926" s="81"/>
      <c r="E926" s="81"/>
    </row>
    <row r="927" spans="1:5">
      <c r="A927" s="259"/>
      <c r="B927" s="259"/>
      <c r="D927" s="81"/>
      <c r="E927" s="81"/>
    </row>
    <row r="928" spans="1:5">
      <c r="A928" s="259"/>
      <c r="B928" s="259"/>
      <c r="D928" s="81"/>
      <c r="E928" s="81"/>
    </row>
    <row r="929" spans="1:5">
      <c r="A929" s="259"/>
      <c r="B929" s="259"/>
      <c r="D929" s="81"/>
      <c r="E929" s="81"/>
    </row>
    <row r="930" spans="1:5">
      <c r="A930" s="259"/>
      <c r="B930" s="259"/>
      <c r="D930" s="81"/>
      <c r="E930" s="81"/>
    </row>
    <row r="931" spans="1:5">
      <c r="A931" s="259"/>
      <c r="B931" s="259"/>
      <c r="D931" s="294"/>
      <c r="E931" s="294"/>
    </row>
    <row r="932" spans="1:5">
      <c r="A932" s="259"/>
      <c r="B932" s="259"/>
      <c r="D932" s="294"/>
      <c r="E932" s="294"/>
    </row>
    <row r="933" spans="1:5">
      <c r="A933" s="259"/>
      <c r="B933" s="259"/>
    </row>
    <row r="934" spans="1:5">
      <c r="A934" s="259"/>
      <c r="B934" s="259"/>
    </row>
    <row r="935" spans="1:5">
      <c r="A935" s="259"/>
      <c r="B935" s="259"/>
    </row>
    <row r="936" spans="1:5">
      <c r="A936" s="259"/>
      <c r="B936" s="259"/>
    </row>
  </sheetData>
  <mergeCells count="43">
    <mergeCell ref="A850:B850"/>
    <mergeCell ref="A609:B609"/>
    <mergeCell ref="A650:B650"/>
    <mergeCell ref="A821:B821"/>
    <mergeCell ref="A703:B703"/>
    <mergeCell ref="A739:B739"/>
    <mergeCell ref="A770:B770"/>
    <mergeCell ref="A690:B690"/>
    <mergeCell ref="A819:E819"/>
    <mergeCell ref="A817:E817"/>
    <mergeCell ref="A661:B661"/>
    <mergeCell ref="A685:E685"/>
    <mergeCell ref="A687:E687"/>
    <mergeCell ref="A1:E1"/>
    <mergeCell ref="A3:E3"/>
    <mergeCell ref="A502:B502"/>
    <mergeCell ref="A11:B11"/>
    <mergeCell ref="A192:B192"/>
    <mergeCell ref="A459:B459"/>
    <mergeCell ref="A56:B56"/>
    <mergeCell ref="A113:B113"/>
    <mergeCell ref="A72:B72"/>
    <mergeCell ref="A143:B143"/>
    <mergeCell ref="A388:E388"/>
    <mergeCell ref="A390:E390"/>
    <mergeCell ref="A285:B285"/>
    <mergeCell ref="A111:E111"/>
    <mergeCell ref="A585:B585"/>
    <mergeCell ref="A607:E607"/>
    <mergeCell ref="A6:E6"/>
    <mergeCell ref="A28:B28"/>
    <mergeCell ref="A101:B101"/>
    <mergeCell ref="A249:B249"/>
    <mergeCell ref="A437:B437"/>
    <mergeCell ref="A311:B311"/>
    <mergeCell ref="A190:E190"/>
    <mergeCell ref="A245:E245"/>
    <mergeCell ref="A247:E247"/>
    <mergeCell ref="A309:E309"/>
    <mergeCell ref="A8:E8"/>
    <mergeCell ref="A543:B543"/>
    <mergeCell ref="A392:B392"/>
    <mergeCell ref="A19:B19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J268"/>
  <sheetViews>
    <sheetView workbookViewId="0">
      <pane ySplit="7" topLeftCell="A89" activePane="bottomLeft" state="frozen"/>
      <selection activeCell="B30" sqref="B30"/>
      <selection pane="bottomLeft" activeCell="B2" sqref="B2"/>
    </sheetView>
  </sheetViews>
  <sheetFormatPr defaultColWidth="8.85546875" defaultRowHeight="12.75"/>
  <cols>
    <col min="1" max="1" width="8.85546875" style="301"/>
    <col min="2" max="2" width="69.7109375" style="301" customWidth="1"/>
    <col min="3" max="3" width="14.28515625" style="301" customWidth="1"/>
    <col min="4" max="4" width="13.85546875" style="301" customWidth="1"/>
    <col min="5" max="5" width="16" style="301" customWidth="1"/>
    <col min="6" max="6" width="18.5703125" style="301" customWidth="1"/>
    <col min="7" max="7" width="8.85546875" style="301"/>
    <col min="8" max="8" width="76" style="301" customWidth="1"/>
    <col min="9" max="16384" width="8.85546875" style="301"/>
  </cols>
  <sheetData>
    <row r="1" spans="2:10">
      <c r="B1" s="646" t="s">
        <v>925</v>
      </c>
      <c r="C1" s="646"/>
      <c r="D1" s="646"/>
      <c r="E1" s="646"/>
      <c r="F1" s="629"/>
      <c r="G1" s="629"/>
    </row>
    <row r="4" spans="2:10">
      <c r="B4" s="669" t="s">
        <v>879</v>
      </c>
      <c r="C4" s="669"/>
      <c r="D4" s="669"/>
      <c r="E4" s="669"/>
    </row>
    <row r="5" spans="2:10">
      <c r="B5" s="669" t="s">
        <v>889</v>
      </c>
      <c r="C5" s="669"/>
      <c r="D5" s="669"/>
      <c r="E5" s="669"/>
    </row>
    <row r="6" spans="2:10">
      <c r="E6" s="603" t="s">
        <v>878</v>
      </c>
    </row>
    <row r="7" spans="2:10" ht="32.25" customHeight="1">
      <c r="B7" s="310" t="s">
        <v>570</v>
      </c>
      <c r="C7" s="310" t="s">
        <v>569</v>
      </c>
      <c r="D7" s="310" t="s">
        <v>888</v>
      </c>
      <c r="E7" s="310" t="s">
        <v>568</v>
      </c>
    </row>
    <row r="8" spans="2:10" ht="32.25" customHeight="1">
      <c r="B8" s="623" t="s">
        <v>567</v>
      </c>
      <c r="C8" s="307"/>
      <c r="D8" s="307"/>
      <c r="E8" s="615"/>
    </row>
    <row r="9" spans="2:10">
      <c r="B9" s="305" t="s">
        <v>566</v>
      </c>
      <c r="C9" s="304">
        <v>762</v>
      </c>
      <c r="D9" s="304">
        <v>0</v>
      </c>
      <c r="E9" s="616">
        <v>743</v>
      </c>
      <c r="G9" s="306"/>
      <c r="H9" s="309"/>
      <c r="I9" s="306"/>
      <c r="J9" s="306"/>
    </row>
    <row r="10" spans="2:10">
      <c r="B10" s="305" t="s">
        <v>565</v>
      </c>
      <c r="C10" s="304">
        <v>0</v>
      </c>
      <c r="D10" s="304">
        <v>0</v>
      </c>
      <c r="E10" s="616">
        <v>0</v>
      </c>
    </row>
    <row r="11" spans="2:10">
      <c r="B11" s="305" t="s">
        <v>564</v>
      </c>
      <c r="C11" s="304">
        <v>0</v>
      </c>
      <c r="D11" s="304">
        <v>0</v>
      </c>
      <c r="E11" s="616">
        <v>0</v>
      </c>
    </row>
    <row r="12" spans="2:10">
      <c r="B12" s="303" t="s">
        <v>563</v>
      </c>
      <c r="C12" s="302">
        <f>SUM(C9:C11)</f>
        <v>762</v>
      </c>
      <c r="D12" s="302">
        <v>0</v>
      </c>
      <c r="E12" s="302">
        <f>SUM(E9:E11)</f>
        <v>743</v>
      </c>
    </row>
    <row r="13" spans="2:10">
      <c r="B13" s="305" t="s">
        <v>562</v>
      </c>
      <c r="C13" s="304">
        <v>3057520</v>
      </c>
      <c r="D13" s="304">
        <v>0</v>
      </c>
      <c r="E13" s="616">
        <v>4628274</v>
      </c>
      <c r="G13" s="306"/>
    </row>
    <row r="14" spans="2:10">
      <c r="B14" s="305" t="s">
        <v>561</v>
      </c>
      <c r="C14" s="304">
        <v>287206</v>
      </c>
      <c r="D14" s="304">
        <v>0</v>
      </c>
      <c r="E14" s="616">
        <f>649560-1336</f>
        <v>648224</v>
      </c>
    </row>
    <row r="15" spans="2:10">
      <c r="B15" s="305" t="s">
        <v>560</v>
      </c>
      <c r="C15" s="304">
        <v>0</v>
      </c>
      <c r="D15" s="304">
        <v>0</v>
      </c>
      <c r="E15" s="616">
        <v>0</v>
      </c>
    </row>
    <row r="16" spans="2:10">
      <c r="B16" s="305" t="s">
        <v>559</v>
      </c>
      <c r="C16" s="304">
        <v>1279938</v>
      </c>
      <c r="D16" s="304">
        <v>0</v>
      </c>
      <c r="E16" s="616">
        <v>11190</v>
      </c>
    </row>
    <row r="17" spans="2:10">
      <c r="B17" s="305" t="s">
        <v>558</v>
      </c>
      <c r="C17" s="304">
        <v>0</v>
      </c>
      <c r="D17" s="304">
        <v>0</v>
      </c>
      <c r="E17" s="616">
        <v>0</v>
      </c>
      <c r="G17" s="306"/>
    </row>
    <row r="18" spans="2:10">
      <c r="B18" s="303" t="s">
        <v>557</v>
      </c>
      <c r="C18" s="302">
        <f>SUM(C13:C17)</f>
        <v>4624664</v>
      </c>
      <c r="D18" s="302">
        <v>0</v>
      </c>
      <c r="E18" s="302">
        <f>SUM(E13:E17)</f>
        <v>5287688</v>
      </c>
    </row>
    <row r="19" spans="2:10">
      <c r="B19" s="550" t="s">
        <v>822</v>
      </c>
      <c r="C19" s="304">
        <v>29186</v>
      </c>
      <c r="D19" s="304">
        <v>0</v>
      </c>
      <c r="E19" s="616">
        <v>34686</v>
      </c>
    </row>
    <row r="20" spans="2:10">
      <c r="B20" s="305" t="s">
        <v>556</v>
      </c>
      <c r="C20" s="304">
        <v>0</v>
      </c>
      <c r="D20" s="304">
        <v>0</v>
      </c>
      <c r="E20" s="616">
        <v>0</v>
      </c>
      <c r="G20" s="306"/>
      <c r="H20" s="309"/>
      <c r="I20" s="306"/>
      <c r="J20" s="306"/>
    </row>
    <row r="21" spans="2:10">
      <c r="B21" s="550" t="s">
        <v>823</v>
      </c>
      <c r="C21" s="304">
        <v>0</v>
      </c>
      <c r="D21" s="304">
        <v>0</v>
      </c>
      <c r="E21" s="616">
        <v>0</v>
      </c>
      <c r="G21" s="306"/>
      <c r="H21" s="309"/>
      <c r="I21" s="306"/>
      <c r="J21" s="306"/>
    </row>
    <row r="22" spans="2:10">
      <c r="B22" s="550" t="s">
        <v>824</v>
      </c>
      <c r="C22" s="304">
        <v>0</v>
      </c>
      <c r="D22" s="304">
        <v>0</v>
      </c>
      <c r="E22" s="616">
        <v>0</v>
      </c>
      <c r="G22" s="306"/>
      <c r="H22" s="309"/>
      <c r="I22" s="306"/>
      <c r="J22" s="306"/>
    </row>
    <row r="23" spans="2:10">
      <c r="B23" s="550" t="s">
        <v>825</v>
      </c>
      <c r="C23" s="304">
        <v>0</v>
      </c>
      <c r="D23" s="304">
        <v>0</v>
      </c>
      <c r="E23" s="616">
        <v>0</v>
      </c>
    </row>
    <row r="24" spans="2:10">
      <c r="B24" s="550" t="s">
        <v>826</v>
      </c>
      <c r="C24" s="304">
        <v>29186</v>
      </c>
      <c r="D24" s="304">
        <v>0</v>
      </c>
      <c r="E24" s="616">
        <v>34686</v>
      </c>
    </row>
    <row r="25" spans="2:10">
      <c r="B25" s="305" t="s">
        <v>555</v>
      </c>
      <c r="C25" s="304">
        <v>0</v>
      </c>
      <c r="D25" s="304">
        <v>0</v>
      </c>
      <c r="E25" s="616">
        <v>0</v>
      </c>
    </row>
    <row r="26" spans="2:10">
      <c r="B26" s="305" t="s">
        <v>554</v>
      </c>
      <c r="C26" s="304">
        <v>0</v>
      </c>
      <c r="D26" s="304">
        <v>0</v>
      </c>
      <c r="E26" s="616">
        <v>0</v>
      </c>
    </row>
    <row r="27" spans="2:10">
      <c r="B27" s="305" t="s">
        <v>553</v>
      </c>
      <c r="C27" s="304">
        <v>0</v>
      </c>
      <c r="D27" s="304">
        <v>0</v>
      </c>
      <c r="E27" s="616">
        <v>0</v>
      </c>
    </row>
    <row r="28" spans="2:10">
      <c r="B28" s="305" t="s">
        <v>552</v>
      </c>
      <c r="C28" s="304">
        <v>0</v>
      </c>
      <c r="D28" s="304">
        <v>0</v>
      </c>
      <c r="E28" s="616">
        <v>0</v>
      </c>
    </row>
    <row r="29" spans="2:10">
      <c r="B29" s="303" t="s">
        <v>551</v>
      </c>
      <c r="C29" s="302">
        <f>C19+C25+C28</f>
        <v>29186</v>
      </c>
      <c r="D29" s="302">
        <v>0</v>
      </c>
      <c r="E29" s="302">
        <f>E25+E19+E28</f>
        <v>34686</v>
      </c>
    </row>
    <row r="30" spans="2:10">
      <c r="B30" s="305" t="s">
        <v>550</v>
      </c>
      <c r="C30" s="304">
        <v>0</v>
      </c>
      <c r="D30" s="304">
        <v>0</v>
      </c>
      <c r="E30" s="616">
        <v>0</v>
      </c>
    </row>
    <row r="31" spans="2:10">
      <c r="B31" s="305" t="s">
        <v>549</v>
      </c>
      <c r="C31" s="304">
        <v>0</v>
      </c>
      <c r="D31" s="304">
        <v>0</v>
      </c>
      <c r="E31" s="616">
        <v>0</v>
      </c>
    </row>
    <row r="32" spans="2:10" ht="25.5">
      <c r="B32" s="303" t="s">
        <v>548</v>
      </c>
      <c r="C32" s="302">
        <v>0</v>
      </c>
      <c r="D32" s="302">
        <v>0</v>
      </c>
      <c r="E32" s="302">
        <v>0</v>
      </c>
    </row>
    <row r="33" spans="2:5" ht="25.5">
      <c r="B33" s="303" t="s">
        <v>547</v>
      </c>
      <c r="C33" s="302">
        <f>C12+C18+C29</f>
        <v>4654612</v>
      </c>
      <c r="D33" s="302">
        <v>0</v>
      </c>
      <c r="E33" s="302">
        <f>E12+E18+E29</f>
        <v>5323117</v>
      </c>
    </row>
    <row r="34" spans="2:5">
      <c r="B34" s="305" t="s">
        <v>546</v>
      </c>
      <c r="C34" s="304">
        <v>0</v>
      </c>
      <c r="D34" s="304">
        <v>0</v>
      </c>
      <c r="E34" s="616">
        <v>0</v>
      </c>
    </row>
    <row r="35" spans="2:5">
      <c r="B35" s="305" t="s">
        <v>545</v>
      </c>
      <c r="C35" s="304">
        <v>0</v>
      </c>
      <c r="D35" s="304">
        <v>0</v>
      </c>
      <c r="E35" s="616">
        <v>0</v>
      </c>
    </row>
    <row r="36" spans="2:5">
      <c r="B36" s="305" t="s">
        <v>544</v>
      </c>
      <c r="C36" s="304">
        <v>0</v>
      </c>
      <c r="D36" s="304">
        <v>0</v>
      </c>
      <c r="E36" s="616">
        <v>0</v>
      </c>
    </row>
    <row r="37" spans="2:5">
      <c r="B37" s="305" t="s">
        <v>543</v>
      </c>
      <c r="C37" s="304">
        <v>0</v>
      </c>
      <c r="D37" s="304">
        <v>0</v>
      </c>
      <c r="E37" s="616">
        <v>0</v>
      </c>
    </row>
    <row r="38" spans="2:5">
      <c r="B38" s="305" t="s">
        <v>542</v>
      </c>
      <c r="C38" s="304">
        <v>0</v>
      </c>
      <c r="D38" s="304">
        <v>0</v>
      </c>
      <c r="E38" s="616">
        <v>0</v>
      </c>
    </row>
    <row r="39" spans="2:5">
      <c r="B39" s="303" t="s">
        <v>541</v>
      </c>
      <c r="C39" s="302">
        <v>0</v>
      </c>
      <c r="D39" s="302">
        <v>0</v>
      </c>
      <c r="E39" s="302">
        <v>0</v>
      </c>
    </row>
    <row r="40" spans="2:5">
      <c r="B40" s="305" t="s">
        <v>540</v>
      </c>
      <c r="C40" s="304">
        <v>0</v>
      </c>
      <c r="D40" s="304">
        <v>0</v>
      </c>
      <c r="E40" s="616">
        <v>0</v>
      </c>
    </row>
    <row r="41" spans="2:5">
      <c r="B41" s="305" t="s">
        <v>539</v>
      </c>
      <c r="C41" s="304">
        <v>0</v>
      </c>
      <c r="D41" s="304">
        <v>0</v>
      </c>
      <c r="E41" s="616">
        <f>E43</f>
        <v>270000</v>
      </c>
    </row>
    <row r="42" spans="2:5">
      <c r="B42" s="305" t="s">
        <v>538</v>
      </c>
      <c r="C42" s="304">
        <v>0</v>
      </c>
      <c r="D42" s="304">
        <v>0</v>
      </c>
      <c r="E42" s="616">
        <v>0</v>
      </c>
    </row>
    <row r="43" spans="2:5">
      <c r="B43" s="305" t="s">
        <v>537</v>
      </c>
      <c r="C43" s="304">
        <v>0</v>
      </c>
      <c r="D43" s="304">
        <v>0</v>
      </c>
      <c r="E43" s="616">
        <v>270000</v>
      </c>
    </row>
    <row r="44" spans="2:5">
      <c r="B44" s="305" t="s">
        <v>536</v>
      </c>
      <c r="C44" s="304">
        <v>0</v>
      </c>
      <c r="D44" s="304">
        <v>0</v>
      </c>
      <c r="E44" s="616">
        <v>0</v>
      </c>
    </row>
    <row r="45" spans="2:5">
      <c r="B45" s="305" t="s">
        <v>535</v>
      </c>
      <c r="C45" s="304">
        <v>0</v>
      </c>
      <c r="D45" s="304">
        <v>0</v>
      </c>
      <c r="E45" s="616">
        <v>0</v>
      </c>
    </row>
    <row r="46" spans="2:5">
      <c r="B46" s="305" t="s">
        <v>534</v>
      </c>
      <c r="C46" s="304">
        <v>0</v>
      </c>
      <c r="D46" s="304">
        <v>0</v>
      </c>
      <c r="E46" s="616">
        <v>0</v>
      </c>
    </row>
    <row r="47" spans="2:5">
      <c r="B47" s="303" t="s">
        <v>533</v>
      </c>
      <c r="C47" s="302">
        <v>0</v>
      </c>
      <c r="D47" s="302">
        <v>0</v>
      </c>
      <c r="E47" s="302">
        <f>E39+E41</f>
        <v>270000</v>
      </c>
    </row>
    <row r="48" spans="2:5" ht="30" customHeight="1">
      <c r="B48" s="303" t="s">
        <v>532</v>
      </c>
      <c r="C48" s="302">
        <v>0</v>
      </c>
      <c r="D48" s="302">
        <v>0</v>
      </c>
      <c r="E48" s="302">
        <f>E47+E39</f>
        <v>270000</v>
      </c>
    </row>
    <row r="49" spans="2:6">
      <c r="B49" s="305" t="s">
        <v>531</v>
      </c>
      <c r="C49" s="304">
        <v>0</v>
      </c>
      <c r="D49" s="304">
        <v>0</v>
      </c>
      <c r="E49" s="616">
        <v>0</v>
      </c>
    </row>
    <row r="50" spans="2:6">
      <c r="B50" s="305" t="s">
        <v>530</v>
      </c>
      <c r="C50" s="304">
        <v>975</v>
      </c>
      <c r="D50" s="304">
        <v>0</v>
      </c>
      <c r="E50" s="616">
        <v>1262</v>
      </c>
    </row>
    <row r="51" spans="2:6">
      <c r="B51" s="550" t="s">
        <v>827</v>
      </c>
      <c r="C51" s="304"/>
      <c r="D51" s="304"/>
      <c r="E51" s="616"/>
    </row>
    <row r="52" spans="2:6">
      <c r="B52" s="550" t="s">
        <v>828</v>
      </c>
      <c r="C52" s="304">
        <v>0</v>
      </c>
      <c r="D52" s="304">
        <v>0</v>
      </c>
      <c r="E52" s="616">
        <v>0</v>
      </c>
    </row>
    <row r="53" spans="2:6">
      <c r="B53" s="550" t="s">
        <v>829</v>
      </c>
      <c r="C53" s="304">
        <v>42431</v>
      </c>
      <c r="D53" s="304">
        <v>0</v>
      </c>
      <c r="E53" s="616">
        <v>107204</v>
      </c>
    </row>
    <row r="54" spans="2:6" ht="18" customHeight="1">
      <c r="B54" s="303" t="s">
        <v>529</v>
      </c>
      <c r="C54" s="302">
        <f>SUM(C49:C53)</f>
        <v>43406</v>
      </c>
      <c r="D54" s="302">
        <v>0</v>
      </c>
      <c r="E54" s="302">
        <f>SUM(E49:E53)</f>
        <v>108466</v>
      </c>
    </row>
    <row r="55" spans="2:6" ht="25.5">
      <c r="B55" s="305" t="s">
        <v>528</v>
      </c>
      <c r="C55" s="304">
        <v>0</v>
      </c>
      <c r="D55" s="304">
        <v>0</v>
      </c>
      <c r="E55" s="616">
        <v>0</v>
      </c>
    </row>
    <row r="56" spans="2:6" ht="25.5">
      <c r="B56" s="305" t="s">
        <v>527</v>
      </c>
      <c r="C56" s="304">
        <v>0</v>
      </c>
      <c r="D56" s="304">
        <v>0</v>
      </c>
      <c r="E56" s="616">
        <v>0</v>
      </c>
      <c r="F56" s="551"/>
    </row>
    <row r="57" spans="2:6">
      <c r="B57" s="305" t="s">
        <v>526</v>
      </c>
      <c r="C57" s="304">
        <v>9126</v>
      </c>
      <c r="D57" s="304">
        <v>0</v>
      </c>
      <c r="E57" s="616">
        <v>7539</v>
      </c>
    </row>
    <row r="58" spans="2:6">
      <c r="B58" s="305" t="s">
        <v>525</v>
      </c>
      <c r="C58" s="304">
        <v>17543</v>
      </c>
      <c r="D58" s="304">
        <v>0</v>
      </c>
      <c r="E58" s="616">
        <f>15921-424</f>
        <v>15497</v>
      </c>
    </row>
    <row r="59" spans="2:6">
      <c r="B59" s="305" t="s">
        <v>524</v>
      </c>
      <c r="C59" s="304">
        <v>0</v>
      </c>
      <c r="D59" s="304">
        <v>0</v>
      </c>
      <c r="E59" s="616">
        <v>0</v>
      </c>
    </row>
    <row r="60" spans="2:6" ht="25.5">
      <c r="B60" s="550" t="s">
        <v>830</v>
      </c>
      <c r="C60" s="304">
        <v>0</v>
      </c>
      <c r="D60" s="304">
        <v>0</v>
      </c>
      <c r="E60" s="616">
        <v>0</v>
      </c>
    </row>
    <row r="61" spans="2:6" ht="25.5">
      <c r="B61" s="550" t="s">
        <v>831</v>
      </c>
      <c r="C61" s="304">
        <v>0</v>
      </c>
      <c r="D61" s="304">
        <v>0</v>
      </c>
      <c r="E61" s="616">
        <v>0</v>
      </c>
    </row>
    <row r="62" spans="2:6">
      <c r="B62" s="550" t="s">
        <v>832</v>
      </c>
      <c r="C62" s="304">
        <v>0</v>
      </c>
      <c r="D62" s="304">
        <v>0</v>
      </c>
      <c r="E62" s="616">
        <v>0</v>
      </c>
    </row>
    <row r="63" spans="2:6" ht="21" customHeight="1">
      <c r="B63" s="303" t="s">
        <v>523</v>
      </c>
      <c r="C63" s="302">
        <f>SUM(C55:C62)</f>
        <v>26669</v>
      </c>
      <c r="D63" s="302">
        <v>0</v>
      </c>
      <c r="E63" s="302">
        <f>SUM(E55:E62)</f>
        <v>23036</v>
      </c>
    </row>
    <row r="64" spans="2:6" ht="25.5">
      <c r="B64" s="305" t="s">
        <v>522</v>
      </c>
      <c r="C64" s="304">
        <v>0</v>
      </c>
      <c r="D64" s="304">
        <v>0</v>
      </c>
      <c r="E64" s="616">
        <v>0</v>
      </c>
    </row>
    <row r="65" spans="2:5" ht="25.5">
      <c r="B65" s="305" t="s">
        <v>521</v>
      </c>
      <c r="C65" s="304">
        <v>0</v>
      </c>
      <c r="D65" s="304">
        <v>0</v>
      </c>
      <c r="E65" s="616">
        <v>0</v>
      </c>
    </row>
    <row r="66" spans="2:5" ht="25.5">
      <c r="B66" s="305" t="s">
        <v>520</v>
      </c>
      <c r="C66" s="304">
        <v>0</v>
      </c>
      <c r="D66" s="304">
        <v>0</v>
      </c>
      <c r="E66" s="616">
        <v>0</v>
      </c>
    </row>
    <row r="67" spans="2:5" ht="25.5">
      <c r="B67" s="305" t="s">
        <v>519</v>
      </c>
      <c r="C67" s="304">
        <v>4232</v>
      </c>
      <c r="D67" s="304">
        <v>0</v>
      </c>
      <c r="E67" s="616">
        <v>26</v>
      </c>
    </row>
    <row r="68" spans="2:5" ht="25.5">
      <c r="B68" s="305" t="s">
        <v>518</v>
      </c>
      <c r="C68" s="304">
        <v>0</v>
      </c>
      <c r="D68" s="304">
        <v>0</v>
      </c>
      <c r="E68" s="616">
        <v>0</v>
      </c>
    </row>
    <row r="69" spans="2:5" ht="25.5">
      <c r="B69" s="305" t="s">
        <v>517</v>
      </c>
      <c r="C69" s="304">
        <v>0</v>
      </c>
      <c r="D69" s="304">
        <v>0</v>
      </c>
      <c r="E69" s="616">
        <v>0</v>
      </c>
    </row>
    <row r="70" spans="2:5" ht="25.5">
      <c r="B70" s="305" t="s">
        <v>516</v>
      </c>
      <c r="C70" s="304">
        <v>0</v>
      </c>
      <c r="D70" s="304">
        <v>0</v>
      </c>
      <c r="E70" s="616">
        <v>0</v>
      </c>
    </row>
    <row r="71" spans="2:5" ht="25.5">
      <c r="B71" s="305" t="s">
        <v>515</v>
      </c>
      <c r="C71" s="304">
        <v>0</v>
      </c>
      <c r="D71" s="304">
        <v>0</v>
      </c>
      <c r="E71" s="616">
        <v>0</v>
      </c>
    </row>
    <row r="72" spans="2:5" ht="25.5">
      <c r="B72" s="303" t="s">
        <v>514</v>
      </c>
      <c r="C72" s="302">
        <f>SUM(C64:C71)</f>
        <v>4232</v>
      </c>
      <c r="D72" s="302">
        <v>0</v>
      </c>
      <c r="E72" s="302">
        <f>SUM(E64:E71)</f>
        <v>26</v>
      </c>
    </row>
    <row r="73" spans="2:5">
      <c r="B73" s="305" t="s">
        <v>513</v>
      </c>
      <c r="C73" s="304">
        <v>11219</v>
      </c>
      <c r="D73" s="304">
        <v>0</v>
      </c>
      <c r="E73" s="616">
        <f>SUM(E74:E79)</f>
        <v>79</v>
      </c>
    </row>
    <row r="74" spans="2:5">
      <c r="B74" s="305" t="s">
        <v>512</v>
      </c>
      <c r="C74" s="304">
        <v>0</v>
      </c>
      <c r="D74" s="304">
        <v>0</v>
      </c>
      <c r="E74" s="616">
        <v>0</v>
      </c>
    </row>
    <row r="75" spans="2:5">
      <c r="B75" s="305" t="s">
        <v>511</v>
      </c>
      <c r="C75" s="304">
        <v>0</v>
      </c>
      <c r="D75" s="304">
        <v>0</v>
      </c>
      <c r="E75" s="616">
        <v>0</v>
      </c>
    </row>
    <row r="76" spans="2:5">
      <c r="B76" s="305" t="s">
        <v>510</v>
      </c>
      <c r="C76" s="304">
        <v>0</v>
      </c>
      <c r="D76" s="304">
        <v>0</v>
      </c>
      <c r="E76" s="616">
        <v>0</v>
      </c>
    </row>
    <row r="77" spans="2:5">
      <c r="B77" s="550" t="s">
        <v>835</v>
      </c>
      <c r="C77" s="304"/>
      <c r="D77" s="304"/>
      <c r="E77" s="616">
        <v>37</v>
      </c>
    </row>
    <row r="78" spans="2:5">
      <c r="B78" s="550" t="s">
        <v>834</v>
      </c>
      <c r="C78" s="304">
        <v>11180</v>
      </c>
      <c r="D78" s="304">
        <v>0</v>
      </c>
      <c r="E78" s="616">
        <f>31-11</f>
        <v>20</v>
      </c>
    </row>
    <row r="79" spans="2:5">
      <c r="B79" s="550" t="s">
        <v>833</v>
      </c>
      <c r="C79" s="304">
        <v>39</v>
      </c>
      <c r="D79" s="304">
        <v>0</v>
      </c>
      <c r="E79" s="616">
        <v>22</v>
      </c>
    </row>
    <row r="80" spans="2:5">
      <c r="B80" s="305" t="s">
        <v>509</v>
      </c>
      <c r="C80" s="304">
        <v>35155</v>
      </c>
      <c r="D80" s="304">
        <v>0</v>
      </c>
      <c r="E80" s="616">
        <v>0</v>
      </c>
    </row>
    <row r="81" spans="2:5">
      <c r="B81" s="305" t="s">
        <v>508</v>
      </c>
      <c r="C81" s="304">
        <v>0</v>
      </c>
      <c r="D81" s="304">
        <v>0</v>
      </c>
      <c r="E81" s="616">
        <v>0</v>
      </c>
    </row>
    <row r="82" spans="2:5">
      <c r="B82" s="305" t="s">
        <v>507</v>
      </c>
      <c r="C82" s="304">
        <v>300</v>
      </c>
      <c r="D82" s="304">
        <v>0</v>
      </c>
      <c r="E82" s="616">
        <v>400</v>
      </c>
    </row>
    <row r="83" spans="2:5" ht="25.5">
      <c r="B83" s="305" t="s">
        <v>506</v>
      </c>
      <c r="C83" s="304">
        <v>0</v>
      </c>
      <c r="D83" s="304">
        <v>0</v>
      </c>
      <c r="E83" s="616">
        <v>0</v>
      </c>
    </row>
    <row r="84" spans="2:5" ht="25.5">
      <c r="B84" s="305" t="s">
        <v>505</v>
      </c>
      <c r="C84" s="304">
        <v>0</v>
      </c>
      <c r="D84" s="304">
        <v>0</v>
      </c>
      <c r="E84" s="616">
        <v>0</v>
      </c>
    </row>
    <row r="85" spans="2:5" ht="25.5">
      <c r="B85" s="305" t="s">
        <v>504</v>
      </c>
      <c r="C85" s="304">
        <v>0</v>
      </c>
      <c r="D85" s="304">
        <v>0</v>
      </c>
      <c r="E85" s="616">
        <v>0</v>
      </c>
    </row>
    <row r="86" spans="2:5" ht="25.5">
      <c r="B86" s="303" t="s">
        <v>503</v>
      </c>
      <c r="C86" s="302">
        <f>C73+C80+C82</f>
        <v>46674</v>
      </c>
      <c r="D86" s="302">
        <v>0</v>
      </c>
      <c r="E86" s="302">
        <f>E73+E80+E82</f>
        <v>479</v>
      </c>
    </row>
    <row r="87" spans="2:5">
      <c r="B87" s="303" t="s">
        <v>502</v>
      </c>
      <c r="C87" s="302">
        <f>C63+C72+C86</f>
        <v>77575</v>
      </c>
      <c r="D87" s="302">
        <v>0</v>
      </c>
      <c r="E87" s="302">
        <f>E63+E72+E86</f>
        <v>23541</v>
      </c>
    </row>
    <row r="88" spans="2:5">
      <c r="B88" s="303" t="s">
        <v>501</v>
      </c>
      <c r="C88" s="302">
        <v>4950</v>
      </c>
      <c r="D88" s="302">
        <v>0</v>
      </c>
      <c r="E88" s="302">
        <v>3948</v>
      </c>
    </row>
    <row r="89" spans="2:5">
      <c r="B89" s="305" t="s">
        <v>500</v>
      </c>
      <c r="C89" s="304">
        <v>0</v>
      </c>
      <c r="D89" s="304">
        <v>0</v>
      </c>
      <c r="E89" s="616">
        <v>0</v>
      </c>
    </row>
    <row r="90" spans="2:5">
      <c r="B90" s="305" t="s">
        <v>499</v>
      </c>
      <c r="C90" s="304">
        <v>0</v>
      </c>
      <c r="D90" s="304">
        <v>0</v>
      </c>
      <c r="E90" s="616">
        <v>0</v>
      </c>
    </row>
    <row r="91" spans="2:5">
      <c r="B91" s="305" t="s">
        <v>498</v>
      </c>
      <c r="C91" s="304">
        <v>0</v>
      </c>
      <c r="D91" s="304">
        <v>0</v>
      </c>
      <c r="E91" s="616">
        <v>0</v>
      </c>
    </row>
    <row r="92" spans="2:5">
      <c r="B92" s="303" t="s">
        <v>497</v>
      </c>
      <c r="C92" s="302">
        <v>0</v>
      </c>
      <c r="D92" s="302">
        <v>0</v>
      </c>
      <c r="E92" s="302">
        <v>0</v>
      </c>
    </row>
    <row r="93" spans="2:5">
      <c r="B93" s="303" t="s">
        <v>496</v>
      </c>
      <c r="C93" s="302">
        <f>C33+C48+C54+C87+C88+C92</f>
        <v>4780543</v>
      </c>
      <c r="D93" s="302">
        <v>0</v>
      </c>
      <c r="E93" s="302">
        <f>E33+E48+E54+E87+E88+E92</f>
        <v>5729072</v>
      </c>
    </row>
    <row r="94" spans="2:5">
      <c r="B94" s="303"/>
      <c r="C94" s="302"/>
      <c r="D94" s="302"/>
      <c r="E94" s="302"/>
    </row>
    <row r="95" spans="2:5">
      <c r="B95" s="308" t="s">
        <v>495</v>
      </c>
      <c r="C95" s="307"/>
      <c r="D95" s="307"/>
      <c r="E95" s="615"/>
    </row>
    <row r="96" spans="2:5">
      <c r="B96" s="305" t="s">
        <v>494</v>
      </c>
      <c r="C96" s="304">
        <v>3444209</v>
      </c>
      <c r="D96" s="304">
        <v>0</v>
      </c>
      <c r="E96" s="616">
        <f>3452685-8477</f>
        <v>3444208</v>
      </c>
    </row>
    <row r="97" spans="2:5">
      <c r="B97" s="305" t="s">
        <v>493</v>
      </c>
      <c r="C97" s="304">
        <v>0</v>
      </c>
      <c r="D97" s="304">
        <v>0</v>
      </c>
      <c r="E97" s="616">
        <v>323981</v>
      </c>
    </row>
    <row r="98" spans="2:5">
      <c r="B98" s="305" t="s">
        <v>492</v>
      </c>
      <c r="C98" s="304">
        <v>23921</v>
      </c>
      <c r="D98" s="304">
        <v>0</v>
      </c>
      <c r="E98" s="616">
        <f>17215-69</f>
        <v>17146</v>
      </c>
    </row>
    <row r="99" spans="2:5">
      <c r="B99" s="305" t="s">
        <v>491</v>
      </c>
      <c r="C99" s="304">
        <v>31321</v>
      </c>
      <c r="D99" s="304">
        <v>-1487676</v>
      </c>
      <c r="E99" s="616">
        <f>-534143+7788</f>
        <v>-526355</v>
      </c>
    </row>
    <row r="100" spans="2:5">
      <c r="B100" s="305" t="s">
        <v>490</v>
      </c>
      <c r="C100" s="304">
        <v>0</v>
      </c>
      <c r="D100" s="304">
        <v>0</v>
      </c>
      <c r="E100" s="616">
        <v>0</v>
      </c>
    </row>
    <row r="101" spans="2:5">
      <c r="B101" s="305" t="s">
        <v>489</v>
      </c>
      <c r="C101" s="304">
        <v>875010</v>
      </c>
      <c r="D101" s="304">
        <v>0</v>
      </c>
      <c r="E101" s="616">
        <f>154934-1013</f>
        <v>153921</v>
      </c>
    </row>
    <row r="102" spans="2:5">
      <c r="B102" s="303" t="s">
        <v>488</v>
      </c>
      <c r="C102" s="302">
        <f>SUM(C96:C101)</f>
        <v>4374461</v>
      </c>
      <c r="D102" s="302">
        <f>D99</f>
        <v>-1487676</v>
      </c>
      <c r="E102" s="302">
        <f>SUM(E96:E101)</f>
        <v>3412901</v>
      </c>
    </row>
    <row r="103" spans="2:5">
      <c r="B103" s="305" t="s">
        <v>487</v>
      </c>
      <c r="C103" s="304">
        <v>0</v>
      </c>
      <c r="D103" s="304">
        <v>0</v>
      </c>
      <c r="E103" s="616">
        <v>0</v>
      </c>
    </row>
    <row r="104" spans="2:5" ht="25.5">
      <c r="B104" s="305" t="s">
        <v>486</v>
      </c>
      <c r="C104" s="304">
        <v>0</v>
      </c>
      <c r="D104" s="304">
        <v>0</v>
      </c>
      <c r="E104" s="616">
        <v>0</v>
      </c>
    </row>
    <row r="105" spans="2:5">
      <c r="B105" s="305" t="s">
        <v>485</v>
      </c>
      <c r="C105" s="304">
        <v>983</v>
      </c>
      <c r="D105" s="304">
        <v>0</v>
      </c>
      <c r="E105" s="616">
        <v>840</v>
      </c>
    </row>
    <row r="106" spans="2:5" ht="25.5">
      <c r="B106" s="305" t="s">
        <v>484</v>
      </c>
      <c r="C106" s="304">
        <v>0</v>
      </c>
      <c r="D106" s="304">
        <v>0</v>
      </c>
      <c r="E106" s="616">
        <v>0</v>
      </c>
    </row>
    <row r="107" spans="2:5" ht="25.5">
      <c r="B107" s="550" t="s">
        <v>836</v>
      </c>
      <c r="C107" s="304">
        <v>0</v>
      </c>
      <c r="D107" s="304">
        <v>0</v>
      </c>
      <c r="E107" s="616">
        <v>0</v>
      </c>
    </row>
    <row r="108" spans="2:5">
      <c r="B108" s="305" t="s">
        <v>483</v>
      </c>
      <c r="C108" s="304">
        <v>0</v>
      </c>
      <c r="D108" s="304">
        <v>0</v>
      </c>
      <c r="E108" s="616">
        <v>0</v>
      </c>
    </row>
    <row r="109" spans="2:5">
      <c r="B109" s="305" t="s">
        <v>482</v>
      </c>
      <c r="C109" s="304">
        <v>0</v>
      </c>
      <c r="D109" s="304">
        <v>0</v>
      </c>
      <c r="E109" s="616">
        <v>8</v>
      </c>
    </row>
    <row r="110" spans="2:5" ht="25.5">
      <c r="B110" s="550" t="s">
        <v>837</v>
      </c>
      <c r="C110" s="304">
        <v>0</v>
      </c>
      <c r="D110" s="304">
        <v>0</v>
      </c>
      <c r="E110" s="616">
        <v>0</v>
      </c>
    </row>
    <row r="111" spans="2:5" ht="25.5">
      <c r="B111" s="550" t="s">
        <v>838</v>
      </c>
      <c r="C111" s="304">
        <v>0</v>
      </c>
      <c r="D111" s="304">
        <v>0</v>
      </c>
      <c r="E111" s="616">
        <v>0</v>
      </c>
    </row>
    <row r="112" spans="2:5" ht="25.5">
      <c r="B112" s="305" t="s">
        <v>481</v>
      </c>
      <c r="C112" s="304">
        <v>0</v>
      </c>
      <c r="D112" s="304">
        <v>0</v>
      </c>
      <c r="E112" s="616">
        <v>0</v>
      </c>
    </row>
    <row r="113" spans="2:8" ht="25.5">
      <c r="B113" s="305" t="s">
        <v>480</v>
      </c>
      <c r="C113" s="304">
        <v>0</v>
      </c>
      <c r="D113" s="304">
        <v>0</v>
      </c>
      <c r="E113" s="616">
        <v>0</v>
      </c>
    </row>
    <row r="114" spans="2:8" ht="25.5">
      <c r="B114" s="305" t="s">
        <v>479</v>
      </c>
      <c r="C114" s="304">
        <v>0</v>
      </c>
      <c r="D114" s="304">
        <v>0</v>
      </c>
      <c r="E114" s="616">
        <v>0</v>
      </c>
    </row>
    <row r="115" spans="2:8" ht="25.5">
      <c r="B115" s="305" t="s">
        <v>478</v>
      </c>
      <c r="C115" s="304">
        <v>0</v>
      </c>
      <c r="D115" s="304">
        <v>0</v>
      </c>
      <c r="E115" s="616">
        <v>0</v>
      </c>
    </row>
    <row r="116" spans="2:8" ht="25.5">
      <c r="B116" s="305" t="s">
        <v>477</v>
      </c>
      <c r="C116" s="304">
        <v>0</v>
      </c>
      <c r="D116" s="304">
        <v>0</v>
      </c>
      <c r="E116" s="616">
        <v>0</v>
      </c>
    </row>
    <row r="117" spans="2:8" ht="25.5">
      <c r="B117" s="305" t="s">
        <v>476</v>
      </c>
      <c r="C117" s="304">
        <v>0</v>
      </c>
      <c r="D117" s="304">
        <v>0</v>
      </c>
      <c r="E117" s="616">
        <v>0</v>
      </c>
    </row>
    <row r="118" spans="2:8" ht="25.5">
      <c r="B118" s="305" t="s">
        <v>475</v>
      </c>
      <c r="C118" s="304">
        <v>0</v>
      </c>
      <c r="D118" s="304">
        <v>0</v>
      </c>
      <c r="E118" s="616">
        <v>0</v>
      </c>
    </row>
    <row r="119" spans="2:8" ht="25.5">
      <c r="B119" s="305" t="s">
        <v>474</v>
      </c>
      <c r="C119" s="304">
        <v>0</v>
      </c>
      <c r="D119" s="304">
        <v>0</v>
      </c>
      <c r="E119" s="616">
        <v>0</v>
      </c>
    </row>
    <row r="120" spans="2:8">
      <c r="B120" s="303" t="s">
        <v>473</v>
      </c>
      <c r="C120" s="302">
        <f>SUM(C103:C119)</f>
        <v>983</v>
      </c>
      <c r="D120" s="302">
        <v>0</v>
      </c>
      <c r="E120" s="302">
        <f>SUM(E103:E119)</f>
        <v>848</v>
      </c>
    </row>
    <row r="121" spans="2:8" ht="25.5">
      <c r="B121" s="305" t="s">
        <v>472</v>
      </c>
      <c r="C121" s="304">
        <v>0</v>
      </c>
      <c r="D121" s="304">
        <v>0</v>
      </c>
      <c r="E121" s="616">
        <v>0</v>
      </c>
    </row>
    <row r="122" spans="2:8" ht="25.5">
      <c r="B122" s="305" t="s">
        <v>471</v>
      </c>
      <c r="C122" s="304">
        <v>0</v>
      </c>
      <c r="D122" s="304">
        <v>0</v>
      </c>
      <c r="E122" s="616">
        <v>0</v>
      </c>
    </row>
    <row r="123" spans="2:8" ht="25.5">
      <c r="B123" s="305" t="s">
        <v>470</v>
      </c>
      <c r="C123" s="304">
        <v>1841</v>
      </c>
      <c r="D123" s="304">
        <v>0</v>
      </c>
      <c r="E123" s="616">
        <v>0</v>
      </c>
    </row>
    <row r="124" spans="2:8" ht="25.5">
      <c r="B124" s="305" t="s">
        <v>469</v>
      </c>
      <c r="C124" s="304">
        <v>0</v>
      </c>
      <c r="D124" s="304">
        <v>0</v>
      </c>
      <c r="E124" s="616">
        <v>0</v>
      </c>
    </row>
    <row r="125" spans="2:8" ht="25.5">
      <c r="B125" s="305" t="s">
        <v>468</v>
      </c>
      <c r="C125" s="304">
        <v>0</v>
      </c>
      <c r="D125" s="304">
        <v>0</v>
      </c>
      <c r="E125" s="616">
        <v>22</v>
      </c>
    </row>
    <row r="126" spans="2:8">
      <c r="B126" s="305" t="s">
        <v>467</v>
      </c>
      <c r="C126" s="304">
        <v>0</v>
      </c>
      <c r="D126" s="304">
        <v>0</v>
      </c>
      <c r="E126" s="616">
        <v>0</v>
      </c>
    </row>
    <row r="127" spans="2:8">
      <c r="B127" s="305" t="s">
        <v>466</v>
      </c>
      <c r="C127" s="304">
        <v>0</v>
      </c>
      <c r="D127" s="304">
        <v>0</v>
      </c>
      <c r="E127" s="616">
        <v>0</v>
      </c>
    </row>
    <row r="128" spans="2:8" ht="25.5">
      <c r="B128" s="305" t="s">
        <v>465</v>
      </c>
      <c r="C128" s="304">
        <v>0</v>
      </c>
      <c r="D128" s="304">
        <v>0</v>
      </c>
      <c r="E128" s="616">
        <v>0</v>
      </c>
      <c r="H128" s="325"/>
    </row>
    <row r="129" spans="2:8" ht="25.5">
      <c r="B129" s="305" t="s">
        <v>464</v>
      </c>
      <c r="C129" s="304">
        <f>SUM(C130:C139)</f>
        <v>335628</v>
      </c>
      <c r="D129" s="304">
        <v>0</v>
      </c>
      <c r="E129" s="616">
        <f>SUM(E130:E139)</f>
        <v>243505</v>
      </c>
      <c r="F129" s="306"/>
      <c r="H129" s="600"/>
    </row>
    <row r="130" spans="2:8" ht="25.5">
      <c r="B130" s="550" t="s">
        <v>839</v>
      </c>
      <c r="C130" s="304">
        <v>324041</v>
      </c>
      <c r="D130" s="304">
        <v>0</v>
      </c>
      <c r="E130" s="616">
        <v>233336</v>
      </c>
      <c r="H130" s="600"/>
    </row>
    <row r="131" spans="2:8" ht="25.5">
      <c r="B131" s="550" t="s">
        <v>840</v>
      </c>
      <c r="C131" s="304">
        <v>0</v>
      </c>
      <c r="D131" s="304">
        <v>0</v>
      </c>
      <c r="E131" s="616">
        <v>0</v>
      </c>
      <c r="H131" s="325"/>
    </row>
    <row r="132" spans="2:8" ht="25.5">
      <c r="B132" s="550" t="s">
        <v>841</v>
      </c>
      <c r="C132" s="304">
        <v>0</v>
      </c>
      <c r="D132" s="304">
        <v>0</v>
      </c>
      <c r="E132" s="616">
        <v>0</v>
      </c>
      <c r="H132" s="325"/>
    </row>
    <row r="133" spans="2:8" ht="25.5">
      <c r="B133" s="550" t="s">
        <v>842</v>
      </c>
      <c r="C133" s="304">
        <v>0</v>
      </c>
      <c r="D133" s="304">
        <v>0</v>
      </c>
      <c r="E133" s="616">
        <v>0</v>
      </c>
    </row>
    <row r="134" spans="2:8" ht="25.5">
      <c r="B134" s="550" t="s">
        <v>843</v>
      </c>
      <c r="C134" s="304">
        <v>11587</v>
      </c>
      <c r="D134" s="304">
        <v>0</v>
      </c>
      <c r="E134" s="616">
        <v>10169</v>
      </c>
    </row>
    <row r="135" spans="2:8" ht="25.5">
      <c r="B135" s="550" t="s">
        <v>844</v>
      </c>
      <c r="C135" s="304">
        <v>0</v>
      </c>
      <c r="D135" s="304">
        <v>0</v>
      </c>
      <c r="E135" s="616">
        <v>0</v>
      </c>
    </row>
    <row r="136" spans="2:8" ht="25.5">
      <c r="B136" s="550" t="s">
        <v>845</v>
      </c>
      <c r="C136" s="304">
        <v>0</v>
      </c>
      <c r="D136" s="304">
        <v>0</v>
      </c>
      <c r="E136" s="616">
        <v>0</v>
      </c>
    </row>
    <row r="137" spans="2:8" ht="38.25">
      <c r="B137" s="550" t="s">
        <v>846</v>
      </c>
      <c r="C137" s="304">
        <v>0</v>
      </c>
      <c r="D137" s="304">
        <v>0</v>
      </c>
      <c r="E137" s="616">
        <v>0</v>
      </c>
    </row>
    <row r="138" spans="2:8" ht="25.5">
      <c r="B138" s="550" t="s">
        <v>847</v>
      </c>
      <c r="C138" s="304">
        <v>0</v>
      </c>
      <c r="D138" s="304">
        <v>0</v>
      </c>
      <c r="E138" s="616">
        <v>0</v>
      </c>
    </row>
    <row r="139" spans="2:8" ht="25.5">
      <c r="B139" s="550" t="s">
        <v>848</v>
      </c>
      <c r="C139" s="304">
        <v>0</v>
      </c>
      <c r="D139" s="304">
        <v>0</v>
      </c>
      <c r="E139" s="616">
        <v>0</v>
      </c>
    </row>
    <row r="140" spans="2:8" ht="25.5">
      <c r="B140" s="303" t="s">
        <v>463</v>
      </c>
      <c r="C140" s="302">
        <f>C129+C123</f>
        <v>337469</v>
      </c>
      <c r="D140" s="302">
        <v>0</v>
      </c>
      <c r="E140" s="302">
        <f>E129+E125</f>
        <v>243527</v>
      </c>
    </row>
    <row r="141" spans="2:8">
      <c r="B141" s="305" t="s">
        <v>462</v>
      </c>
      <c r="C141" s="304">
        <v>10908</v>
      </c>
      <c r="D141" s="304">
        <v>0</v>
      </c>
      <c r="E141" s="616">
        <v>8482</v>
      </c>
    </row>
    <row r="142" spans="2:8">
      <c r="B142" s="305" t="s">
        <v>461</v>
      </c>
      <c r="C142" s="304">
        <v>0</v>
      </c>
      <c r="D142" s="304">
        <v>0</v>
      </c>
      <c r="E142" s="616">
        <v>0</v>
      </c>
    </row>
    <row r="143" spans="2:8">
      <c r="B143" s="305" t="s">
        <v>460</v>
      </c>
      <c r="C143" s="304">
        <v>422</v>
      </c>
      <c r="D143" s="304">
        <v>0</v>
      </c>
      <c r="E143" s="616">
        <v>409</v>
      </c>
    </row>
    <row r="144" spans="2:8">
      <c r="B144" s="305" t="s">
        <v>459</v>
      </c>
      <c r="C144" s="304">
        <v>0</v>
      </c>
      <c r="D144" s="304">
        <v>0</v>
      </c>
      <c r="E144" s="616">
        <v>0</v>
      </c>
    </row>
    <row r="145" spans="2:5" ht="25.5">
      <c r="B145" s="305" t="s">
        <v>458</v>
      </c>
      <c r="C145" s="304">
        <v>0</v>
      </c>
      <c r="D145" s="304">
        <v>0</v>
      </c>
      <c r="E145" s="616">
        <v>0</v>
      </c>
    </row>
    <row r="146" spans="2:5" ht="25.5">
      <c r="B146" s="305" t="s">
        <v>457</v>
      </c>
      <c r="C146" s="304">
        <v>0</v>
      </c>
      <c r="D146" s="304">
        <v>0</v>
      </c>
      <c r="E146" s="616">
        <v>0</v>
      </c>
    </row>
    <row r="147" spans="2:5" ht="25.5">
      <c r="B147" s="305" t="s">
        <v>456</v>
      </c>
      <c r="C147" s="304">
        <v>0</v>
      </c>
      <c r="D147" s="304">
        <v>0</v>
      </c>
      <c r="E147" s="616">
        <v>0</v>
      </c>
    </row>
    <row r="148" spans="2:5" ht="25.5">
      <c r="B148" s="305" t="s">
        <v>455</v>
      </c>
      <c r="C148" s="304">
        <v>28049</v>
      </c>
      <c r="D148" s="304"/>
      <c r="E148" s="616">
        <v>28049</v>
      </c>
    </row>
    <row r="149" spans="2:5" ht="25.5">
      <c r="B149" s="303" t="s">
        <v>454</v>
      </c>
      <c r="C149" s="302">
        <f>C141+C143+C148</f>
        <v>39379</v>
      </c>
      <c r="D149" s="302">
        <v>0</v>
      </c>
      <c r="E149" s="302">
        <f>E141+E143+E148</f>
        <v>36940</v>
      </c>
    </row>
    <row r="150" spans="2:5">
      <c r="B150" s="303" t="s">
        <v>453</v>
      </c>
      <c r="C150" s="302">
        <f>C120+C140+C149</f>
        <v>377831</v>
      </c>
      <c r="D150" s="302">
        <v>0</v>
      </c>
      <c r="E150" s="302">
        <f>E120+E140+E149</f>
        <v>281315</v>
      </c>
    </row>
    <row r="151" spans="2:5">
      <c r="B151" s="303" t="s">
        <v>452</v>
      </c>
      <c r="C151" s="302">
        <v>0</v>
      </c>
      <c r="D151" s="302">
        <v>0</v>
      </c>
      <c r="E151" s="302">
        <v>0</v>
      </c>
    </row>
    <row r="152" spans="2:5">
      <c r="B152" s="303" t="s">
        <v>451</v>
      </c>
      <c r="C152" s="302">
        <v>0</v>
      </c>
      <c r="D152" s="302">
        <v>0</v>
      </c>
      <c r="E152" s="302">
        <v>0</v>
      </c>
    </row>
    <row r="153" spans="2:5">
      <c r="B153" s="305" t="s">
        <v>450</v>
      </c>
      <c r="C153" s="304">
        <v>0</v>
      </c>
      <c r="D153" s="304">
        <v>0</v>
      </c>
      <c r="E153" s="616">
        <v>0</v>
      </c>
    </row>
    <row r="154" spans="2:5">
      <c r="B154" s="305" t="s">
        <v>449</v>
      </c>
      <c r="C154" s="304">
        <v>28251</v>
      </c>
      <c r="D154" s="304">
        <v>0</v>
      </c>
      <c r="E154" s="616">
        <v>31958</v>
      </c>
    </row>
    <row r="155" spans="2:5">
      <c r="B155" s="305" t="s">
        <v>448</v>
      </c>
      <c r="C155" s="304">
        <v>0</v>
      </c>
      <c r="D155" s="304">
        <v>1487676</v>
      </c>
      <c r="E155" s="616">
        <v>2002898</v>
      </c>
    </row>
    <row r="156" spans="2:5">
      <c r="B156" s="303" t="s">
        <v>447</v>
      </c>
      <c r="C156" s="302">
        <f>SUM(C154:C155)</f>
        <v>28251</v>
      </c>
      <c r="D156" s="302">
        <f>SUM(D149:D155)</f>
        <v>1487676</v>
      </c>
      <c r="E156" s="302">
        <f>SUM(E154:E155)</f>
        <v>2034856</v>
      </c>
    </row>
    <row r="157" spans="2:5">
      <c r="B157" s="303" t="s">
        <v>446</v>
      </c>
      <c r="C157" s="302">
        <f>C102+C150+C156</f>
        <v>4780543</v>
      </c>
      <c r="D157" s="302">
        <f>D156+D102</f>
        <v>0</v>
      </c>
      <c r="E157" s="302">
        <f>E102+E150+E156</f>
        <v>5729072</v>
      </c>
    </row>
    <row r="158" spans="2:5">
      <c r="E158" s="617"/>
    </row>
    <row r="159" spans="2:5">
      <c r="E159" s="617"/>
    </row>
    <row r="160" spans="2:5">
      <c r="E160" s="617"/>
    </row>
    <row r="161" spans="5:5">
      <c r="E161" s="617"/>
    </row>
    <row r="162" spans="5:5">
      <c r="E162" s="617"/>
    </row>
    <row r="163" spans="5:5">
      <c r="E163" s="617"/>
    </row>
    <row r="164" spans="5:5">
      <c r="E164" s="617"/>
    </row>
    <row r="165" spans="5:5">
      <c r="E165" s="617"/>
    </row>
    <row r="166" spans="5:5">
      <c r="E166" s="617"/>
    </row>
    <row r="167" spans="5:5">
      <c r="E167" s="617"/>
    </row>
    <row r="168" spans="5:5">
      <c r="E168" s="617"/>
    </row>
    <row r="169" spans="5:5">
      <c r="E169" s="617"/>
    </row>
    <row r="170" spans="5:5">
      <c r="E170" s="617"/>
    </row>
    <row r="171" spans="5:5">
      <c r="E171" s="617"/>
    </row>
    <row r="172" spans="5:5">
      <c r="E172" s="617"/>
    </row>
    <row r="173" spans="5:5">
      <c r="E173" s="617"/>
    </row>
    <row r="174" spans="5:5">
      <c r="E174" s="617"/>
    </row>
    <row r="175" spans="5:5">
      <c r="E175" s="617"/>
    </row>
    <row r="176" spans="5:5">
      <c r="E176" s="617"/>
    </row>
    <row r="177" spans="5:5">
      <c r="E177" s="617"/>
    </row>
    <row r="178" spans="5:5">
      <c r="E178" s="617"/>
    </row>
    <row r="179" spans="5:5">
      <c r="E179" s="617"/>
    </row>
    <row r="180" spans="5:5">
      <c r="E180" s="617"/>
    </row>
    <row r="181" spans="5:5">
      <c r="E181" s="617"/>
    </row>
    <row r="182" spans="5:5">
      <c r="E182" s="617"/>
    </row>
    <row r="183" spans="5:5">
      <c r="E183" s="617"/>
    </row>
    <row r="184" spans="5:5">
      <c r="E184" s="617"/>
    </row>
    <row r="185" spans="5:5">
      <c r="E185" s="617"/>
    </row>
    <row r="186" spans="5:5">
      <c r="E186" s="617"/>
    </row>
    <row r="187" spans="5:5">
      <c r="E187" s="617"/>
    </row>
    <row r="188" spans="5:5">
      <c r="E188" s="617"/>
    </row>
    <row r="189" spans="5:5">
      <c r="E189" s="617"/>
    </row>
    <row r="190" spans="5:5">
      <c r="E190" s="617"/>
    </row>
    <row r="191" spans="5:5">
      <c r="E191" s="617"/>
    </row>
    <row r="192" spans="5:5">
      <c r="E192" s="617"/>
    </row>
    <row r="193" spans="5:5">
      <c r="E193" s="617"/>
    </row>
    <row r="194" spans="5:5">
      <c r="E194" s="617"/>
    </row>
    <row r="195" spans="5:5">
      <c r="E195" s="617"/>
    </row>
    <row r="196" spans="5:5">
      <c r="E196" s="617"/>
    </row>
    <row r="197" spans="5:5">
      <c r="E197" s="617"/>
    </row>
    <row r="198" spans="5:5">
      <c r="E198" s="617"/>
    </row>
    <row r="199" spans="5:5">
      <c r="E199" s="617"/>
    </row>
    <row r="200" spans="5:5">
      <c r="E200" s="617"/>
    </row>
    <row r="201" spans="5:5">
      <c r="E201" s="617"/>
    </row>
    <row r="202" spans="5:5">
      <c r="E202" s="617"/>
    </row>
    <row r="203" spans="5:5">
      <c r="E203" s="617"/>
    </row>
    <row r="204" spans="5:5">
      <c r="E204" s="617"/>
    </row>
    <row r="205" spans="5:5">
      <c r="E205" s="617"/>
    </row>
    <row r="206" spans="5:5">
      <c r="E206" s="617"/>
    </row>
    <row r="207" spans="5:5">
      <c r="E207" s="617"/>
    </row>
    <row r="208" spans="5:5">
      <c r="E208" s="617"/>
    </row>
    <row r="209" spans="5:5">
      <c r="E209" s="617"/>
    </row>
    <row r="210" spans="5:5">
      <c r="E210" s="617"/>
    </row>
    <row r="211" spans="5:5">
      <c r="E211" s="617"/>
    </row>
    <row r="212" spans="5:5">
      <c r="E212" s="617"/>
    </row>
    <row r="213" spans="5:5">
      <c r="E213" s="617"/>
    </row>
    <row r="214" spans="5:5">
      <c r="E214" s="617"/>
    </row>
    <row r="215" spans="5:5">
      <c r="E215" s="617"/>
    </row>
    <row r="216" spans="5:5">
      <c r="E216" s="617"/>
    </row>
    <row r="217" spans="5:5">
      <c r="E217" s="617"/>
    </row>
    <row r="218" spans="5:5">
      <c r="E218" s="617"/>
    </row>
    <row r="219" spans="5:5">
      <c r="E219" s="617"/>
    </row>
    <row r="220" spans="5:5">
      <c r="E220" s="617"/>
    </row>
    <row r="221" spans="5:5">
      <c r="E221" s="617"/>
    </row>
    <row r="222" spans="5:5">
      <c r="E222" s="617"/>
    </row>
    <row r="223" spans="5:5">
      <c r="E223" s="617"/>
    </row>
    <row r="224" spans="5:5">
      <c r="E224" s="617"/>
    </row>
    <row r="225" spans="5:5">
      <c r="E225" s="617"/>
    </row>
    <row r="226" spans="5:5">
      <c r="E226" s="617"/>
    </row>
    <row r="227" spans="5:5">
      <c r="E227" s="617"/>
    </row>
    <row r="228" spans="5:5">
      <c r="E228" s="617"/>
    </row>
    <row r="229" spans="5:5">
      <c r="E229" s="617"/>
    </row>
    <row r="230" spans="5:5">
      <c r="E230" s="617"/>
    </row>
    <row r="231" spans="5:5">
      <c r="E231" s="617"/>
    </row>
    <row r="232" spans="5:5">
      <c r="E232" s="617"/>
    </row>
    <row r="233" spans="5:5">
      <c r="E233" s="617"/>
    </row>
    <row r="234" spans="5:5">
      <c r="E234" s="617"/>
    </row>
    <row r="235" spans="5:5">
      <c r="E235" s="617"/>
    </row>
    <row r="236" spans="5:5">
      <c r="E236" s="617"/>
    </row>
    <row r="237" spans="5:5">
      <c r="E237" s="617"/>
    </row>
    <row r="238" spans="5:5">
      <c r="E238" s="617"/>
    </row>
    <row r="239" spans="5:5">
      <c r="E239" s="617"/>
    </row>
    <row r="240" spans="5:5">
      <c r="E240" s="617"/>
    </row>
    <row r="241" spans="5:5">
      <c r="E241" s="617"/>
    </row>
    <row r="242" spans="5:5">
      <c r="E242" s="617"/>
    </row>
    <row r="243" spans="5:5">
      <c r="E243" s="617"/>
    </row>
    <row r="244" spans="5:5">
      <c r="E244" s="617"/>
    </row>
    <row r="245" spans="5:5">
      <c r="E245" s="617"/>
    </row>
    <row r="246" spans="5:5">
      <c r="E246" s="617"/>
    </row>
    <row r="247" spans="5:5">
      <c r="E247" s="617"/>
    </row>
    <row r="248" spans="5:5">
      <c r="E248" s="617"/>
    </row>
    <row r="249" spans="5:5">
      <c r="E249" s="617"/>
    </row>
    <row r="250" spans="5:5">
      <c r="E250" s="617"/>
    </row>
    <row r="251" spans="5:5">
      <c r="E251" s="617"/>
    </row>
    <row r="252" spans="5:5">
      <c r="E252" s="617"/>
    </row>
    <row r="253" spans="5:5">
      <c r="E253" s="617"/>
    </row>
    <row r="254" spans="5:5">
      <c r="E254" s="617"/>
    </row>
    <row r="255" spans="5:5">
      <c r="E255" s="617"/>
    </row>
    <row r="256" spans="5:5">
      <c r="E256" s="617"/>
    </row>
    <row r="257" spans="5:5">
      <c r="E257" s="617"/>
    </row>
    <row r="258" spans="5:5">
      <c r="E258" s="617"/>
    </row>
    <row r="259" spans="5:5">
      <c r="E259" s="617"/>
    </row>
    <row r="260" spans="5:5">
      <c r="E260" s="617"/>
    </row>
    <row r="261" spans="5:5">
      <c r="E261" s="617"/>
    </row>
    <row r="262" spans="5:5">
      <c r="E262" s="617"/>
    </row>
    <row r="263" spans="5:5">
      <c r="E263" s="617"/>
    </row>
    <row r="264" spans="5:5">
      <c r="E264" s="617"/>
    </row>
    <row r="265" spans="5:5">
      <c r="E265" s="617"/>
    </row>
    <row r="266" spans="5:5">
      <c r="E266" s="617"/>
    </row>
    <row r="267" spans="5:5">
      <c r="E267" s="617"/>
    </row>
    <row r="268" spans="5:5">
      <c r="E268" s="617"/>
    </row>
  </sheetData>
  <mergeCells count="3">
    <mergeCell ref="B4:E4"/>
    <mergeCell ref="B5:E5"/>
    <mergeCell ref="B1:E1"/>
  </mergeCells>
  <pageMargins left="0.74803149606299213" right="0.74803149606299213" top="0.9055118110236221" bottom="0.98425196850393704" header="0.51181102362204722" footer="0.51181102362204722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5"/>
  <sheetViews>
    <sheetView workbookViewId="0">
      <pane ySplit="7" topLeftCell="A8" activePane="bottomLeft" state="frozen"/>
      <selection activeCell="B30" sqref="B30"/>
      <selection pane="bottomLeft" activeCell="B2" sqref="B2"/>
    </sheetView>
  </sheetViews>
  <sheetFormatPr defaultColWidth="8.85546875" defaultRowHeight="12.75"/>
  <cols>
    <col min="1" max="1" width="8.85546875" style="301"/>
    <col min="2" max="2" width="73.5703125" style="301" customWidth="1"/>
    <col min="3" max="3" width="14.140625" style="301" customWidth="1"/>
    <col min="4" max="4" width="14.7109375" style="301" customWidth="1"/>
    <col min="5" max="5" width="13.7109375" style="301" customWidth="1"/>
    <col min="6" max="16384" width="8.85546875" style="301"/>
  </cols>
  <sheetData>
    <row r="1" spans="2:5">
      <c r="B1" s="646" t="s">
        <v>926</v>
      </c>
      <c r="C1" s="646"/>
      <c r="D1" s="646"/>
      <c r="E1" s="646"/>
    </row>
    <row r="4" spans="2:5">
      <c r="B4" s="669" t="s">
        <v>880</v>
      </c>
      <c r="C4" s="669"/>
      <c r="D4" s="669"/>
      <c r="E4" s="669"/>
    </row>
    <row r="5" spans="2:5">
      <c r="B5" s="669" t="s">
        <v>890</v>
      </c>
      <c r="C5" s="669"/>
      <c r="D5" s="669"/>
      <c r="E5" s="669"/>
    </row>
    <row r="6" spans="2:5" ht="15.75">
      <c r="B6" s="313"/>
      <c r="C6" s="313"/>
      <c r="D6" s="313"/>
      <c r="E6" s="602" t="s">
        <v>878</v>
      </c>
    </row>
    <row r="7" spans="2:5" ht="38.25" customHeight="1">
      <c r="B7" s="310" t="s">
        <v>570</v>
      </c>
      <c r="C7" s="310" t="s">
        <v>569</v>
      </c>
      <c r="D7" s="310" t="s">
        <v>888</v>
      </c>
      <c r="E7" s="310" t="s">
        <v>568</v>
      </c>
    </row>
    <row r="8" spans="2:5" ht="17.100000000000001" customHeight="1">
      <c r="B8" s="312" t="s">
        <v>584</v>
      </c>
      <c r="C8" s="311">
        <v>109804</v>
      </c>
      <c r="D8" s="311">
        <v>0</v>
      </c>
      <c r="E8" s="311">
        <v>169628</v>
      </c>
    </row>
    <row r="9" spans="2:5" ht="17.100000000000001" customHeight="1">
      <c r="B9" s="305" t="s">
        <v>583</v>
      </c>
      <c r="C9" s="304">
        <v>32389</v>
      </c>
      <c r="D9" s="304">
        <v>0</v>
      </c>
      <c r="E9" s="304">
        <v>53465</v>
      </c>
    </row>
    <row r="10" spans="2:5" ht="17.100000000000001" customHeight="1">
      <c r="B10" s="305" t="s">
        <v>582</v>
      </c>
      <c r="C10" s="304">
        <v>16629</v>
      </c>
      <c r="D10" s="304">
        <v>0</v>
      </c>
      <c r="E10" s="304">
        <f>16757-36</f>
        <v>16721</v>
      </c>
    </row>
    <row r="11" spans="2:5" ht="17.100000000000001" customHeight="1">
      <c r="B11" s="303" t="s">
        <v>581</v>
      </c>
      <c r="C11" s="302">
        <f>SUM(C8:C10)</f>
        <v>158822</v>
      </c>
      <c r="D11" s="302">
        <v>0</v>
      </c>
      <c r="E11" s="302">
        <f>SUM(E8:E10)</f>
        <v>239814</v>
      </c>
    </row>
    <row r="12" spans="2:5" ht="17.100000000000001" customHeight="1">
      <c r="B12" s="305" t="s">
        <v>580</v>
      </c>
      <c r="C12" s="304">
        <v>0</v>
      </c>
      <c r="D12" s="304">
        <v>0</v>
      </c>
      <c r="E12" s="304">
        <v>0</v>
      </c>
    </row>
    <row r="13" spans="2:5" ht="17.100000000000001" customHeight="1">
      <c r="B13" s="305" t="s">
        <v>579</v>
      </c>
      <c r="C13" s="304">
        <v>0</v>
      </c>
      <c r="D13" s="304">
        <v>0</v>
      </c>
      <c r="E13" s="304">
        <v>0</v>
      </c>
    </row>
    <row r="14" spans="2:5" ht="17.100000000000001" customHeight="1">
      <c r="B14" s="303" t="s">
        <v>578</v>
      </c>
      <c r="C14" s="302">
        <v>0</v>
      </c>
      <c r="D14" s="302">
        <v>0</v>
      </c>
      <c r="E14" s="302">
        <v>0</v>
      </c>
    </row>
    <row r="15" spans="2:5" ht="17.100000000000001" customHeight="1">
      <c r="B15" s="305" t="s">
        <v>577</v>
      </c>
      <c r="C15" s="304">
        <v>682020</v>
      </c>
      <c r="D15" s="304">
        <v>0</v>
      </c>
      <c r="E15" s="304">
        <f>684264-1320</f>
        <v>682944</v>
      </c>
    </row>
    <row r="16" spans="2:5" ht="17.100000000000001" customHeight="1">
      <c r="B16" s="305" t="s">
        <v>576</v>
      </c>
      <c r="C16" s="304">
        <v>117690</v>
      </c>
      <c r="D16" s="304">
        <v>0</v>
      </c>
      <c r="E16" s="304">
        <v>121050</v>
      </c>
    </row>
    <row r="17" spans="2:6" ht="17.100000000000001" customHeight="1">
      <c r="B17" s="550" t="s">
        <v>854</v>
      </c>
      <c r="C17" s="304">
        <v>1213745</v>
      </c>
      <c r="D17" s="304"/>
      <c r="E17" s="304">
        <v>20750</v>
      </c>
    </row>
    <row r="18" spans="2:6" ht="17.100000000000001" customHeight="1">
      <c r="B18" s="550" t="s">
        <v>856</v>
      </c>
      <c r="C18" s="304">
        <v>190549</v>
      </c>
      <c r="D18" s="304">
        <v>0</v>
      </c>
      <c r="E18" s="304">
        <v>345156</v>
      </c>
    </row>
    <row r="19" spans="2:6" ht="17.100000000000001" customHeight="1">
      <c r="B19" s="303" t="s">
        <v>857</v>
      </c>
      <c r="C19" s="302">
        <f>SUM(C15:C18)</f>
        <v>2204004</v>
      </c>
      <c r="D19" s="302">
        <v>0</v>
      </c>
      <c r="E19" s="302">
        <f>SUM(E15:E18)</f>
        <v>1169900</v>
      </c>
    </row>
    <row r="20" spans="2:6" ht="17.100000000000001" customHeight="1">
      <c r="B20" s="550" t="s">
        <v>858</v>
      </c>
      <c r="C20" s="304">
        <v>13280</v>
      </c>
      <c r="D20" s="304">
        <v>0</v>
      </c>
      <c r="E20" s="304">
        <f>19553-11</f>
        <v>19542</v>
      </c>
    </row>
    <row r="21" spans="2:6" ht="17.100000000000001" customHeight="1">
      <c r="B21" s="550" t="s">
        <v>859</v>
      </c>
      <c r="C21" s="304">
        <v>117680</v>
      </c>
      <c r="D21" s="304">
        <v>0</v>
      </c>
      <c r="E21" s="304">
        <f>133115-252</f>
        <v>132863</v>
      </c>
    </row>
    <row r="22" spans="2:6" ht="17.100000000000001" customHeight="1">
      <c r="B22" s="550" t="s">
        <v>860</v>
      </c>
      <c r="C22" s="304">
        <v>0</v>
      </c>
      <c r="D22" s="304">
        <v>0</v>
      </c>
      <c r="E22" s="304">
        <v>0</v>
      </c>
    </row>
    <row r="23" spans="2:6" ht="17.100000000000001" customHeight="1">
      <c r="B23" s="550" t="s">
        <v>861</v>
      </c>
      <c r="C23" s="304">
        <v>5006</v>
      </c>
      <c r="D23" s="304">
        <v>0</v>
      </c>
      <c r="E23" s="304">
        <v>4829</v>
      </c>
    </row>
    <row r="24" spans="2:6" ht="17.100000000000001" customHeight="1">
      <c r="B24" s="303" t="s">
        <v>862</v>
      </c>
      <c r="C24" s="302">
        <f>SUM(C20:C23)</f>
        <v>135966</v>
      </c>
      <c r="D24" s="302">
        <v>0</v>
      </c>
      <c r="E24" s="302">
        <f>SUM(E20:E23)</f>
        <v>157234</v>
      </c>
    </row>
    <row r="25" spans="2:6" ht="17.100000000000001" customHeight="1">
      <c r="B25" s="550" t="s">
        <v>863</v>
      </c>
      <c r="C25" s="304">
        <v>267209</v>
      </c>
      <c r="D25" s="304">
        <v>0</v>
      </c>
      <c r="E25" s="304">
        <v>283191</v>
      </c>
    </row>
    <row r="26" spans="2:6" ht="17.100000000000001" customHeight="1">
      <c r="B26" s="550" t="s">
        <v>864</v>
      </c>
      <c r="C26" s="304">
        <v>33784</v>
      </c>
      <c r="D26" s="304">
        <v>0</v>
      </c>
      <c r="E26" s="304">
        <v>37112</v>
      </c>
    </row>
    <row r="27" spans="2:6" ht="21" customHeight="1">
      <c r="B27" s="550" t="s">
        <v>865</v>
      </c>
      <c r="C27" s="304">
        <v>72175</v>
      </c>
      <c r="D27" s="304">
        <v>0</v>
      </c>
      <c r="E27" s="304">
        <v>77914</v>
      </c>
    </row>
    <row r="28" spans="2:6" ht="17.100000000000001" customHeight="1">
      <c r="B28" s="303" t="s">
        <v>866</v>
      </c>
      <c r="C28" s="302">
        <f>SUM(C25:C27)</f>
        <v>373168</v>
      </c>
      <c r="D28" s="302">
        <v>0</v>
      </c>
      <c r="E28" s="302">
        <f>SUM(E25:E27)</f>
        <v>398217</v>
      </c>
    </row>
    <row r="29" spans="2:6" ht="17.100000000000001" customHeight="1">
      <c r="B29" s="303" t="s">
        <v>575</v>
      </c>
      <c r="C29" s="302">
        <v>125850</v>
      </c>
      <c r="D29" s="302">
        <v>0</v>
      </c>
      <c r="E29" s="302">
        <f>202004-32</f>
        <v>201972</v>
      </c>
    </row>
    <row r="30" spans="2:6" ht="17.100000000000001" customHeight="1">
      <c r="B30" s="303" t="s">
        <v>574</v>
      </c>
      <c r="C30" s="302">
        <v>848307</v>
      </c>
      <c r="D30" s="302">
        <v>0</v>
      </c>
      <c r="E30" s="302">
        <f>484644-48</f>
        <v>484596</v>
      </c>
      <c r="F30" s="306"/>
    </row>
    <row r="31" spans="2:6" ht="17.100000000000001" customHeight="1">
      <c r="B31" s="303" t="s">
        <v>573</v>
      </c>
      <c r="C31" s="302">
        <f>C11+C14+C19-C24-C28-C29-C30</f>
        <v>879535</v>
      </c>
      <c r="D31" s="302">
        <v>0</v>
      </c>
      <c r="E31" s="302">
        <f>E11+E14+E19-E24-E28-E29-E30</f>
        <v>167695</v>
      </c>
    </row>
    <row r="32" spans="2:6" ht="17.100000000000001" customHeight="1">
      <c r="B32" s="550" t="s">
        <v>867</v>
      </c>
      <c r="C32" s="304">
        <v>4</v>
      </c>
      <c r="D32" s="304">
        <v>0</v>
      </c>
      <c r="E32" s="304">
        <v>0</v>
      </c>
    </row>
    <row r="33" spans="2:5" ht="17.100000000000001" customHeight="1">
      <c r="B33" s="550" t="s">
        <v>855</v>
      </c>
      <c r="C33" s="304">
        <v>0</v>
      </c>
      <c r="D33" s="304">
        <v>0</v>
      </c>
      <c r="E33" s="304">
        <v>0</v>
      </c>
    </row>
    <row r="34" spans="2:5" ht="17.100000000000001" customHeight="1">
      <c r="B34" s="550" t="s">
        <v>868</v>
      </c>
      <c r="C34" s="304">
        <v>0</v>
      </c>
      <c r="D34" s="304"/>
      <c r="E34" s="304">
        <v>0</v>
      </c>
    </row>
    <row r="35" spans="2:5" ht="17.100000000000001" customHeight="1">
      <c r="B35" s="550" t="s">
        <v>869</v>
      </c>
      <c r="C35" s="304">
        <v>0</v>
      </c>
      <c r="D35" s="304">
        <v>0</v>
      </c>
      <c r="E35" s="304">
        <v>188</v>
      </c>
    </row>
    <row r="36" spans="2:5" ht="17.100000000000001" customHeight="1">
      <c r="B36" s="550" t="s">
        <v>870</v>
      </c>
      <c r="C36" s="304">
        <v>0</v>
      </c>
      <c r="D36" s="304">
        <v>0</v>
      </c>
      <c r="E36" s="304">
        <v>0</v>
      </c>
    </row>
    <row r="37" spans="2:5" ht="24.75" customHeight="1">
      <c r="B37" s="303" t="s">
        <v>871</v>
      </c>
      <c r="C37" s="302">
        <f>SUM(C32:C36)</f>
        <v>4</v>
      </c>
      <c r="D37" s="302">
        <v>0</v>
      </c>
      <c r="E37" s="302">
        <f>SUM(E32:E36)</f>
        <v>188</v>
      </c>
    </row>
    <row r="38" spans="2:5" ht="24.75" customHeight="1">
      <c r="B38" s="550" t="s">
        <v>872</v>
      </c>
      <c r="C38" s="302">
        <v>0</v>
      </c>
      <c r="D38" s="302"/>
      <c r="E38" s="302"/>
    </row>
    <row r="39" spans="2:5" ht="24.75" customHeight="1">
      <c r="B39" s="550" t="s">
        <v>873</v>
      </c>
      <c r="C39" s="302">
        <v>0</v>
      </c>
      <c r="D39" s="302"/>
      <c r="E39" s="302">
        <v>0</v>
      </c>
    </row>
    <row r="40" spans="2:5" ht="17.100000000000001" customHeight="1">
      <c r="B40" s="550" t="s">
        <v>874</v>
      </c>
      <c r="C40" s="304">
        <v>4530</v>
      </c>
      <c r="D40" s="304">
        <v>0</v>
      </c>
      <c r="E40" s="304">
        <v>13962</v>
      </c>
    </row>
    <row r="41" spans="2:5" ht="17.100000000000001" customHeight="1">
      <c r="B41" s="550" t="s">
        <v>875</v>
      </c>
      <c r="C41" s="304">
        <v>0</v>
      </c>
      <c r="D41" s="304">
        <v>0</v>
      </c>
      <c r="E41" s="304">
        <v>0</v>
      </c>
    </row>
    <row r="42" spans="2:5" ht="21" customHeight="1">
      <c r="B42" s="550" t="s">
        <v>876</v>
      </c>
      <c r="C42" s="304">
        <v>0</v>
      </c>
      <c r="D42" s="304">
        <v>0</v>
      </c>
      <c r="E42" s="304">
        <v>0</v>
      </c>
    </row>
    <row r="43" spans="2:5" ht="17.100000000000001" customHeight="1">
      <c r="B43" s="303" t="s">
        <v>877</v>
      </c>
      <c r="C43" s="302">
        <f>SUM(C40:C42)</f>
        <v>4530</v>
      </c>
      <c r="D43" s="302">
        <v>0</v>
      </c>
      <c r="E43" s="302">
        <f>SUM(E40:E42)</f>
        <v>13962</v>
      </c>
    </row>
    <row r="44" spans="2:5" ht="17.100000000000001" customHeight="1">
      <c r="B44" s="303" t="s">
        <v>572</v>
      </c>
      <c r="C44" s="302">
        <f>C37-C43</f>
        <v>-4526</v>
      </c>
      <c r="D44" s="302">
        <v>0</v>
      </c>
      <c r="E44" s="302">
        <f>E37-E43</f>
        <v>-13774</v>
      </c>
    </row>
    <row r="45" spans="2:5" ht="17.100000000000001" customHeight="1">
      <c r="B45" s="303" t="s">
        <v>891</v>
      </c>
      <c r="C45" s="302">
        <f>C31+C44</f>
        <v>875009</v>
      </c>
      <c r="D45" s="302">
        <v>0</v>
      </c>
      <c r="E45" s="302">
        <f>E31+E44</f>
        <v>153921</v>
      </c>
    </row>
  </sheetData>
  <mergeCells count="3">
    <mergeCell ref="B5:E5"/>
    <mergeCell ref="B4:E4"/>
    <mergeCell ref="B1:E1"/>
  </mergeCells>
  <pageMargins left="0.74803149606299213" right="0.74803149606299213" top="0.98425196850393704" bottom="0.98425196850393704" header="0.51181102362204722" footer="0.51181102362204722"/>
  <pageSetup paperSize="12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28"/>
  <sheetViews>
    <sheetView workbookViewId="0">
      <pane ySplit="9" topLeftCell="A10" activePane="bottomLeft" state="frozen"/>
      <selection pane="bottomLeft" activeCell="A2" sqref="A2"/>
    </sheetView>
  </sheetViews>
  <sheetFormatPr defaultColWidth="8.85546875" defaultRowHeight="12.75"/>
  <cols>
    <col min="1" max="1" width="71.140625" style="301" customWidth="1"/>
    <col min="2" max="2" width="18.140625" style="301" customWidth="1"/>
    <col min="3" max="31" width="0" style="301" hidden="1" customWidth="1"/>
    <col min="32" max="16384" width="8.85546875" style="301"/>
  </cols>
  <sheetData>
    <row r="1" spans="1:45">
      <c r="A1" s="646" t="s">
        <v>927</v>
      </c>
      <c r="B1" s="646"/>
      <c r="C1" s="646"/>
      <c r="D1" s="646"/>
    </row>
    <row r="4" spans="1:45">
      <c r="A4" s="669" t="s">
        <v>881</v>
      </c>
      <c r="B4" s="669"/>
      <c r="C4" s="669"/>
      <c r="D4" s="669"/>
    </row>
    <row r="5" spans="1:45">
      <c r="A5" s="669" t="s">
        <v>889</v>
      </c>
      <c r="B5" s="669"/>
      <c r="C5" s="669"/>
      <c r="D5" s="669"/>
    </row>
    <row r="7" spans="1:45" ht="17.100000000000001" customHeight="1">
      <c r="A7" s="670"/>
      <c r="B7" s="670"/>
    </row>
    <row r="8" spans="1:45" ht="17.100000000000001" customHeight="1">
      <c r="A8" s="326"/>
      <c r="B8" s="601" t="s">
        <v>878</v>
      </c>
    </row>
    <row r="9" spans="1:45" ht="17.100000000000001" customHeight="1">
      <c r="A9" s="310" t="s">
        <v>570</v>
      </c>
      <c r="B9" s="310" t="s">
        <v>606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</row>
    <row r="10" spans="1:45" ht="17.100000000000001" customHeight="1">
      <c r="A10" s="305" t="s">
        <v>605</v>
      </c>
      <c r="B10" s="304">
        <v>1116492</v>
      </c>
    </row>
    <row r="11" spans="1:45" ht="17.100000000000001" customHeight="1">
      <c r="A11" s="305" t="s">
        <v>604</v>
      </c>
      <c r="B11" s="304">
        <v>736772</v>
      </c>
    </row>
    <row r="12" spans="1:45" ht="17.100000000000001" customHeight="1">
      <c r="A12" s="303" t="s">
        <v>603</v>
      </c>
      <c r="B12" s="302">
        <f>B10-B11</f>
        <v>379720</v>
      </c>
    </row>
    <row r="13" spans="1:45" ht="17.100000000000001" customHeight="1">
      <c r="A13" s="305" t="s">
        <v>602</v>
      </c>
      <c r="B13" s="304">
        <v>420409</v>
      </c>
      <c r="AA13" s="306">
        <f>B10+B13</f>
        <v>1536901</v>
      </c>
      <c r="AB13" s="301">
        <v>-354579</v>
      </c>
      <c r="AC13" s="306">
        <f>SUM(AA13:AB13)</f>
        <v>1182322</v>
      </c>
    </row>
    <row r="14" spans="1:45" ht="17.100000000000001" customHeight="1">
      <c r="A14" s="305" t="s">
        <v>601</v>
      </c>
      <c r="B14" s="304">
        <v>726871</v>
      </c>
      <c r="AA14" s="306">
        <f>B11+B14</f>
        <v>1463643</v>
      </c>
    </row>
    <row r="15" spans="1:45" ht="17.100000000000001" customHeight="1">
      <c r="A15" s="303" t="s">
        <v>600</v>
      </c>
      <c r="B15" s="302">
        <f>B13-B14</f>
        <v>-306462</v>
      </c>
      <c r="AA15" s="306">
        <f>AA13-AA14</f>
        <v>73258</v>
      </c>
    </row>
    <row r="16" spans="1:45" ht="17.100000000000001" customHeight="1">
      <c r="A16" s="303" t="s">
        <v>599</v>
      </c>
      <c r="B16" s="302">
        <f>B15+B12</f>
        <v>73258</v>
      </c>
    </row>
    <row r="17" spans="1:2" ht="17.100000000000001" customHeight="1">
      <c r="A17" s="305" t="s">
        <v>598</v>
      </c>
      <c r="B17" s="304">
        <v>0</v>
      </c>
    </row>
    <row r="18" spans="1:2" ht="17.100000000000001" customHeight="1">
      <c r="A18" s="305" t="s">
        <v>597</v>
      </c>
      <c r="B18" s="304">
        <v>0</v>
      </c>
    </row>
    <row r="19" spans="1:2" ht="17.100000000000001" customHeight="1">
      <c r="A19" s="303" t="s">
        <v>596</v>
      </c>
      <c r="B19" s="302">
        <v>0</v>
      </c>
    </row>
    <row r="20" spans="1:2" ht="17.100000000000001" customHeight="1">
      <c r="A20" s="305" t="s">
        <v>595</v>
      </c>
      <c r="B20" s="304">
        <v>0</v>
      </c>
    </row>
    <row r="21" spans="1:2" ht="17.100000000000001" customHeight="1">
      <c r="A21" s="305" t="s">
        <v>594</v>
      </c>
      <c r="B21" s="304">
        <v>0</v>
      </c>
    </row>
    <row r="22" spans="1:2" ht="17.100000000000001" customHeight="1">
      <c r="A22" s="303" t="s">
        <v>593</v>
      </c>
      <c r="B22" s="302">
        <v>0</v>
      </c>
    </row>
    <row r="23" spans="1:2" ht="17.100000000000001" customHeight="1">
      <c r="A23" s="303" t="s">
        <v>592</v>
      </c>
      <c r="B23" s="302">
        <v>0</v>
      </c>
    </row>
    <row r="24" spans="1:2" ht="17.100000000000001" customHeight="1">
      <c r="A24" s="303" t="s">
        <v>591</v>
      </c>
      <c r="B24" s="302">
        <f>B16</f>
        <v>73258</v>
      </c>
    </row>
    <row r="25" spans="1:2" ht="17.100000000000001" customHeight="1">
      <c r="A25" s="303" t="s">
        <v>590</v>
      </c>
      <c r="B25" s="302">
        <v>0</v>
      </c>
    </row>
    <row r="26" spans="1:2" ht="17.100000000000001" customHeight="1">
      <c r="A26" s="303" t="s">
        <v>589</v>
      </c>
      <c r="B26" s="302">
        <f>B24-B25</f>
        <v>73258</v>
      </c>
    </row>
    <row r="27" spans="1:2" ht="17.100000000000001" customHeight="1">
      <c r="A27" s="303" t="s">
        <v>588</v>
      </c>
      <c r="B27" s="302">
        <v>0</v>
      </c>
    </row>
    <row r="28" spans="1:2" ht="17.100000000000001" customHeight="1">
      <c r="A28" s="303" t="s">
        <v>587</v>
      </c>
      <c r="B28" s="302">
        <v>0</v>
      </c>
    </row>
  </sheetData>
  <mergeCells count="4">
    <mergeCell ref="A7:B7"/>
    <mergeCell ref="A4:D4"/>
    <mergeCell ref="A5:D5"/>
    <mergeCell ref="A1:D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A2" sqref="A2"/>
    </sheetView>
  </sheetViews>
  <sheetFormatPr defaultRowHeight="12.75"/>
  <cols>
    <col min="1" max="1" width="60.28515625" customWidth="1"/>
    <col min="2" max="2" width="26.28515625" customWidth="1"/>
    <col min="3" max="3" width="22" customWidth="1"/>
    <col min="4" max="4" width="19.5703125" customWidth="1"/>
    <col min="5" max="5" width="20.140625" customWidth="1"/>
    <col min="7" max="7" width="13.7109375" bestFit="1" customWidth="1"/>
  </cols>
  <sheetData>
    <row r="1" spans="1:4" s="619" customFormat="1">
      <c r="A1" s="646" t="s">
        <v>928</v>
      </c>
      <c r="B1" s="646"/>
      <c r="C1" s="629"/>
      <c r="D1" s="629"/>
    </row>
    <row r="2" spans="1:4" s="619" customFormat="1"/>
    <row r="3" spans="1:4" ht="15">
      <c r="A3" s="624" t="s">
        <v>896</v>
      </c>
      <c r="B3" s="324"/>
      <c r="C3" s="323"/>
    </row>
    <row r="6" spans="1:4">
      <c r="A6" s="648" t="s">
        <v>809</v>
      </c>
      <c r="B6" s="648"/>
      <c r="C6" s="322"/>
    </row>
    <row r="7" spans="1:4">
      <c r="B7" s="624"/>
    </row>
    <row r="8" spans="1:4">
      <c r="B8" s="619"/>
    </row>
    <row r="9" spans="1:4">
      <c r="B9" s="321" t="s">
        <v>260</v>
      </c>
    </row>
    <row r="10" spans="1:4" ht="27.6" customHeight="1">
      <c r="A10" s="315" t="s">
        <v>810</v>
      </c>
      <c r="B10" s="320">
        <v>43406146</v>
      </c>
    </row>
    <row r="11" spans="1:4" ht="42.6" customHeight="1">
      <c r="A11" s="317" t="s">
        <v>586</v>
      </c>
      <c r="B11" s="316">
        <f>bevételek!D120</f>
        <v>1182322277</v>
      </c>
    </row>
    <row r="12" spans="1:4" ht="30" customHeight="1">
      <c r="A12" s="317" t="s">
        <v>585</v>
      </c>
      <c r="B12" s="316">
        <f>-kiadások!D103-kiadások!D106</f>
        <v>-1109063887</v>
      </c>
    </row>
    <row r="13" spans="1:4" ht="28.9" customHeight="1">
      <c r="A13" s="317" t="s">
        <v>811</v>
      </c>
      <c r="B13" s="316">
        <f>B11+B12</f>
        <v>73258390</v>
      </c>
    </row>
    <row r="14" spans="1:4" ht="29.45" customHeight="1">
      <c r="A14" s="319" t="s">
        <v>812</v>
      </c>
      <c r="B14" s="316">
        <f>-bevételek!D111</f>
        <v>-55661442</v>
      </c>
      <c r="C14" s="318"/>
    </row>
    <row r="15" spans="1:4" ht="44.25" customHeight="1">
      <c r="A15" s="317" t="s">
        <v>853</v>
      </c>
      <c r="B15" s="316">
        <v>47463215</v>
      </c>
    </row>
    <row r="16" spans="1:4" ht="30" customHeight="1">
      <c r="A16" s="315" t="s">
        <v>852</v>
      </c>
      <c r="B16" s="314">
        <f>B10+B13+B14+B15</f>
        <v>108466309</v>
      </c>
    </row>
    <row r="18" spans="1:7" hidden="1"/>
    <row r="19" spans="1:7" hidden="1"/>
    <row r="20" spans="1:7" hidden="1">
      <c r="B20" s="434" t="s">
        <v>850</v>
      </c>
      <c r="C20" s="434" t="s">
        <v>851</v>
      </c>
      <c r="D20" s="434" t="s">
        <v>850</v>
      </c>
      <c r="E20" s="434" t="s">
        <v>851</v>
      </c>
    </row>
    <row r="21" spans="1:7" hidden="1">
      <c r="A21" s="434" t="s">
        <v>849</v>
      </c>
      <c r="B21" s="434"/>
      <c r="C21" s="434"/>
      <c r="D21" s="434"/>
    </row>
    <row r="22" spans="1:7" hidden="1">
      <c r="A22" s="434">
        <v>361</v>
      </c>
      <c r="B22" s="299">
        <v>632082155</v>
      </c>
      <c r="C22" s="299">
        <v>623082155</v>
      </c>
      <c r="D22" s="229">
        <v>0</v>
      </c>
      <c r="E22" s="229">
        <v>0</v>
      </c>
    </row>
    <row r="23" spans="1:7" hidden="1">
      <c r="A23" s="434">
        <v>363</v>
      </c>
      <c r="B23" s="299">
        <v>1603983</v>
      </c>
      <c r="C23" s="299">
        <v>1603983</v>
      </c>
      <c r="D23" s="229">
        <v>0</v>
      </c>
      <c r="E23" s="229">
        <v>0</v>
      </c>
    </row>
    <row r="24" spans="1:7" hidden="1">
      <c r="A24" s="434">
        <v>3651</v>
      </c>
      <c r="B24" s="299">
        <v>26349034</v>
      </c>
      <c r="C24" s="299">
        <v>37477659</v>
      </c>
      <c r="D24" s="229">
        <v>90031</v>
      </c>
      <c r="E24" s="229">
        <v>0</v>
      </c>
      <c r="G24" s="231"/>
    </row>
    <row r="25" spans="1:7" hidden="1">
      <c r="A25" s="434">
        <v>3652</v>
      </c>
      <c r="B25" s="299">
        <v>0</v>
      </c>
      <c r="C25" s="299">
        <v>35154978</v>
      </c>
      <c r="D25" s="229">
        <v>0</v>
      </c>
      <c r="E25" s="229">
        <v>0</v>
      </c>
    </row>
    <row r="26" spans="1:7" s="552" customFormat="1" hidden="1">
      <c r="A26" s="434">
        <v>3654</v>
      </c>
      <c r="B26" s="299">
        <v>100000</v>
      </c>
      <c r="C26" s="299">
        <v>0</v>
      </c>
      <c r="D26" s="229">
        <v>400000</v>
      </c>
      <c r="E26" s="229">
        <v>0</v>
      </c>
    </row>
    <row r="27" spans="1:7" s="552" customFormat="1" hidden="1">
      <c r="A27" s="434">
        <v>366</v>
      </c>
      <c r="B27" s="299">
        <v>3776173</v>
      </c>
      <c r="C27" s="299">
        <v>7494271</v>
      </c>
      <c r="D27" s="229">
        <v>1063606</v>
      </c>
      <c r="E27" s="229">
        <v>0</v>
      </c>
    </row>
    <row r="28" spans="1:7" hidden="1">
      <c r="A28" s="434">
        <v>3671</v>
      </c>
      <c r="B28" s="299">
        <v>10839419</v>
      </c>
      <c r="C28" s="299">
        <v>8413799</v>
      </c>
      <c r="D28" s="229">
        <v>0</v>
      </c>
      <c r="E28" s="229">
        <v>8841699</v>
      </c>
    </row>
    <row r="29" spans="1:7" hidden="1">
      <c r="A29" s="434">
        <v>3673</v>
      </c>
      <c r="B29" s="299">
        <v>33469830</v>
      </c>
      <c r="C29" s="299">
        <v>33456964</v>
      </c>
      <c r="D29" s="229">
        <v>0</v>
      </c>
      <c r="E29" s="229">
        <v>409259</v>
      </c>
    </row>
    <row r="30" spans="1:7" hidden="1">
      <c r="A30" s="434">
        <v>3678</v>
      </c>
      <c r="B30" s="299">
        <v>0</v>
      </c>
      <c r="C30" s="299">
        <v>0</v>
      </c>
      <c r="D30" s="229">
        <v>0</v>
      </c>
      <c r="E30" s="229">
        <v>28049279</v>
      </c>
    </row>
    <row r="31" spans="1:7" hidden="1">
      <c r="A31" s="434"/>
      <c r="B31" s="299"/>
      <c r="C31" s="299"/>
      <c r="D31" s="229"/>
      <c r="E31" s="229"/>
    </row>
    <row r="32" spans="1:7" hidden="1">
      <c r="A32" s="434"/>
      <c r="B32" s="299"/>
      <c r="C32" s="299"/>
      <c r="D32" s="229"/>
      <c r="E32" s="229"/>
    </row>
    <row r="33" spans="1:5" hidden="1">
      <c r="A33" s="434"/>
      <c r="B33" s="299"/>
      <c r="C33" s="299"/>
      <c r="D33" s="229"/>
      <c r="E33" s="229"/>
    </row>
    <row r="34" spans="1:5" hidden="1">
      <c r="B34" s="229"/>
      <c r="C34" s="229"/>
      <c r="D34" s="229"/>
    </row>
    <row r="35" spans="1:5" hidden="1">
      <c r="B35" s="553">
        <f>SUM(B22:B34)</f>
        <v>708220594</v>
      </c>
      <c r="C35" s="553">
        <f>SUM(C22:C34)</f>
        <v>746683809</v>
      </c>
      <c r="D35" s="554">
        <f>SUM(D22:D34)</f>
        <v>1553637</v>
      </c>
      <c r="E35" s="554">
        <f>SUM(E22:E34)</f>
        <v>37300237</v>
      </c>
    </row>
    <row r="36" spans="1:5" ht="23.25" hidden="1" customHeight="1">
      <c r="A36" s="318">
        <f>B13</f>
        <v>73258390</v>
      </c>
      <c r="B36" s="553"/>
      <c r="C36" s="553">
        <f>C35-B35</f>
        <v>38463215</v>
      </c>
      <c r="D36" s="433"/>
      <c r="E36" s="433"/>
    </row>
    <row r="37" spans="1:5" hidden="1">
      <c r="A37" s="231">
        <f>+E30</f>
        <v>28049279</v>
      </c>
      <c r="B37" s="553"/>
      <c r="C37" s="553">
        <v>47463215</v>
      </c>
      <c r="D37" s="433"/>
      <c r="E37" s="433"/>
    </row>
    <row r="38" spans="1:5" hidden="1">
      <c r="A38" s="231">
        <f>E28</f>
        <v>8841699</v>
      </c>
      <c r="B38" s="229"/>
      <c r="C38" s="229">
        <f>C36-C37</f>
        <v>-9000000</v>
      </c>
    </row>
    <row r="39" spans="1:5" hidden="1">
      <c r="A39" s="231">
        <f>E29</f>
        <v>409259</v>
      </c>
      <c r="B39" s="229"/>
      <c r="C39" s="229"/>
    </row>
    <row r="40" spans="1:5" hidden="1">
      <c r="A40" s="231">
        <f>-D27</f>
        <v>-1063606</v>
      </c>
      <c r="B40" s="229"/>
      <c r="C40" s="229"/>
    </row>
    <row r="41" spans="1:5" hidden="1">
      <c r="A41" s="231">
        <f>-D24</f>
        <v>-90031</v>
      </c>
      <c r="B41" s="229"/>
      <c r="C41" s="229"/>
    </row>
    <row r="42" spans="1:5" hidden="1">
      <c r="B42" s="229"/>
      <c r="C42" s="229"/>
    </row>
    <row r="43" spans="1:5" hidden="1">
      <c r="B43" s="229"/>
      <c r="C43" s="229"/>
    </row>
    <row r="44" spans="1:5" hidden="1">
      <c r="A44" s="318">
        <f>SUM(A36:A43)</f>
        <v>109404990</v>
      </c>
      <c r="B44" s="229"/>
      <c r="C44" s="229"/>
    </row>
    <row r="45" spans="1:5" hidden="1">
      <c r="B45" s="229"/>
      <c r="C45" s="229"/>
    </row>
    <row r="46" spans="1:5" hidden="1">
      <c r="B46" s="229"/>
      <c r="C46" s="229"/>
    </row>
    <row r="47" spans="1:5" hidden="1">
      <c r="B47" s="229"/>
      <c r="C47" s="229"/>
    </row>
    <row r="48" spans="1:5" hidden="1">
      <c r="B48" s="229"/>
      <c r="C48" s="229"/>
    </row>
    <row r="49" spans="1:3" hidden="1">
      <c r="A49" s="229">
        <v>484405</v>
      </c>
      <c r="B49" s="229"/>
      <c r="C49" s="229"/>
    </row>
    <row r="50" spans="1:3" hidden="1">
      <c r="A50" s="229">
        <v>296670</v>
      </c>
      <c r="B50" s="229"/>
      <c r="C50" s="229"/>
    </row>
    <row r="51" spans="1:3" hidden="1">
      <c r="A51" s="229">
        <v>363145</v>
      </c>
      <c r="B51" s="229"/>
      <c r="C51" s="229"/>
    </row>
    <row r="52" spans="1:3" hidden="1">
      <c r="A52" s="229">
        <v>118015</v>
      </c>
      <c r="B52" s="229"/>
      <c r="C52" s="229"/>
    </row>
    <row r="53" spans="1:3" hidden="1">
      <c r="A53" s="229">
        <v>55937130</v>
      </c>
      <c r="B53" s="229"/>
      <c r="C53" s="229"/>
    </row>
    <row r="54" spans="1:3" hidden="1">
      <c r="A54" s="229">
        <v>9001126</v>
      </c>
      <c r="B54" s="229"/>
      <c r="C54" s="229"/>
    </row>
    <row r="55" spans="1:3" hidden="1">
      <c r="A55" s="229">
        <v>1427480</v>
      </c>
      <c r="B55" s="229"/>
      <c r="C55" s="229"/>
    </row>
    <row r="56" spans="1:3" hidden="1">
      <c r="A56" s="229">
        <v>349694</v>
      </c>
      <c r="B56" s="229"/>
      <c r="C56" s="229"/>
    </row>
    <row r="57" spans="1:3" hidden="1">
      <c r="A57" s="229">
        <v>28050000</v>
      </c>
      <c r="B57" s="229"/>
      <c r="C57" s="229"/>
    </row>
    <row r="58" spans="1:3" hidden="1">
      <c r="A58" s="229">
        <v>45003</v>
      </c>
      <c r="B58" s="229"/>
      <c r="C58" s="229"/>
    </row>
    <row r="59" spans="1:3" hidden="1">
      <c r="A59" s="229">
        <v>3680807</v>
      </c>
      <c r="B59" s="229"/>
      <c r="C59" s="229"/>
    </row>
    <row r="60" spans="1:3" hidden="1">
      <c r="A60" s="229">
        <v>3894052</v>
      </c>
      <c r="B60" s="229"/>
      <c r="C60" s="229"/>
    </row>
    <row r="61" spans="1:3" hidden="1">
      <c r="A61" s="229">
        <v>4818782</v>
      </c>
      <c r="B61" s="229"/>
      <c r="C61" s="229"/>
    </row>
    <row r="62" spans="1:3" hidden="1">
      <c r="A62" s="554">
        <f>SUM(A49:A61)</f>
        <v>108466309</v>
      </c>
      <c r="B62" s="229">
        <f>A62-A57</f>
        <v>80416309</v>
      </c>
      <c r="C62" s="229"/>
    </row>
    <row r="63" spans="1:3" hidden="1">
      <c r="B63" s="229"/>
      <c r="C63" s="229"/>
    </row>
    <row r="64" spans="1:3" hidden="1">
      <c r="B64" s="229"/>
      <c r="C64" s="229"/>
    </row>
    <row r="65" spans="2:3" hidden="1">
      <c r="B65" s="229"/>
      <c r="C65" s="229"/>
    </row>
    <row r="66" spans="2:3" hidden="1">
      <c r="B66" s="229"/>
      <c r="C66" s="229"/>
    </row>
    <row r="67" spans="2:3" hidden="1">
      <c r="B67" s="229"/>
      <c r="C67" s="229"/>
    </row>
    <row r="68" spans="2:3" hidden="1">
      <c r="B68" s="229"/>
      <c r="C68" s="229"/>
    </row>
    <row r="69" spans="2:3">
      <c r="B69" s="229"/>
      <c r="C69" s="229"/>
    </row>
    <row r="70" spans="2:3">
      <c r="B70" s="229"/>
      <c r="C70" s="229"/>
    </row>
    <row r="71" spans="2:3">
      <c r="B71" s="229"/>
      <c r="C71" s="229"/>
    </row>
  </sheetData>
  <mergeCells count="2">
    <mergeCell ref="A6:B6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</vt:lpstr>
      <vt:lpstr>kiadások</vt:lpstr>
      <vt:lpstr>3_melléklet</vt:lpstr>
      <vt:lpstr>4_ melléklet</vt:lpstr>
      <vt:lpstr>5_melléklet</vt:lpstr>
      <vt:lpstr>6_melléklet</vt:lpstr>
      <vt:lpstr>7_melléklet</vt:lpstr>
      <vt:lpstr>8_melléklet</vt:lpstr>
      <vt:lpstr>9_melléklet</vt:lpstr>
      <vt:lpstr>10_melléklet</vt:lpstr>
      <vt:lpstr>11_melléklet</vt:lpstr>
      <vt:lpstr>12_melléklet </vt:lpstr>
      <vt:lpstr>13_melléklet</vt:lpstr>
      <vt:lpstr>14_melléklet</vt:lpstr>
      <vt:lpstr>15_melléklet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Szaboné G. Ilona</cp:lastModifiedBy>
  <cp:lastPrinted>2017-04-25T07:56:52Z</cp:lastPrinted>
  <dcterms:created xsi:type="dcterms:W3CDTF">2010-01-06T13:04:50Z</dcterms:created>
  <dcterms:modified xsi:type="dcterms:W3CDTF">2017-05-08T09:43:59Z</dcterms:modified>
</cp:coreProperties>
</file>