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8\"/>
    </mc:Choice>
  </mc:AlternateContent>
  <bookViews>
    <workbookView xWindow="0" yWindow="0" windowWidth="19200" windowHeight="10695" tabRatio="878" firstSheet="12" activeTab="26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1. sz. mell." sheetId="112" r:id="rId24"/>
    <sheet name="12. sz. mell" sheetId="113" r:id="rId25"/>
    <sheet name="13. sz. mell." sheetId="115" r:id="rId26"/>
    <sheet name="14. sz. mell." sheetId="116" r:id="rId27"/>
    <sheet name="13.sz.mell" sheetId="89" state="hidden" r:id="rId28"/>
    <sheet name="2. sz tájékoztató t" sheetId="66" state="hidden" r:id="rId29"/>
    <sheet name="1a sz tájékoztató t." sheetId="106" state="hidden" r:id="rId30"/>
    <sheet name="1b. sz tájékoztató t." sheetId="105" state="hidden" r:id="rId31"/>
    <sheet name="1.sz tájékoztató t." sheetId="24" state="hidden" r:id="rId32"/>
    <sheet name="2.sz. tájékoztató tábla" sheetId="110" state="hidden" r:id="rId33"/>
    <sheet name="3. sz tájékoztató t." sheetId="88" state="hidden" r:id="rId34"/>
    <sheet name="3.sz tájékoztató t." sheetId="70" state="hidden" r:id="rId35"/>
    <sheet name="4.sz tájékoztató t." sheetId="109" state="hidden" r:id="rId36"/>
    <sheet name="5.sz.tájékoztató tábla" sheetId="111" state="hidden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a">[1]Háttéradatok!$C$29:$AG$32</definedName>
    <definedName name="adat" localSheetId="24">'12. sz. mell'!$A$1:$D$63</definedName>
    <definedName name="adat" localSheetId="25">'13. sz. mell.'!$A$1:$D$103</definedName>
    <definedName name="adat" localSheetId="26">'14. sz. mell.'!$A$11:$C$25</definedName>
    <definedName name="adat">'11. sz. mell.'!$A$1:$D$54</definedName>
    <definedName name="cccc" localSheetId="36">#REF!</definedName>
    <definedName name="cccc">#REF!</definedName>
    <definedName name="css" localSheetId="36">#REF!</definedName>
    <definedName name="css">#REF!</definedName>
    <definedName name="css_k">[2]Családsegítés!$C$27:$C$86</definedName>
    <definedName name="css_k_" localSheetId="36">#REF!</definedName>
    <definedName name="css_k_">#REF!</definedName>
    <definedName name="Excel_BuiltIn_Print_Area_1" localSheetId="36">#REF!</definedName>
    <definedName name="Excel_BuiltIn_Print_Area_1">#REF!</definedName>
    <definedName name="Excel_BuiltIn_Print_Titles_26" localSheetId="36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36">#REF!</definedName>
    <definedName name="gyj">#REF!</definedName>
    <definedName name="gyj_k">[2]Gyermekjóléti!$C$27:$C$86</definedName>
    <definedName name="gyj_k_" localSheetId="36">#REF!</definedName>
    <definedName name="gyj_k_">#REF!</definedName>
    <definedName name="intézmény">[3]Háttéradatok!$C$29:$AG$32</definedName>
    <definedName name="Kinga" localSheetId="36">#REF!</definedName>
    <definedName name="Kinga">#REF!</definedName>
    <definedName name="kjz" localSheetId="36">#REF!</definedName>
    <definedName name="kjz">#REF!</definedName>
    <definedName name="kjz_k">[2]körjegyzőség!$C$9:$C$28</definedName>
    <definedName name="kjz_k_" localSheetId="36">#REF!</definedName>
    <definedName name="kjz_k_">#REF!</definedName>
    <definedName name="más" localSheetId="36">#REF!,#REF!</definedName>
    <definedName name="más">#REF!,#REF!</definedName>
    <definedName name="nep">[3]Háttéradatok!$C$29:$AG$32</definedName>
    <definedName name="nép">[3]Háttéradatok!$C$29:$AG$32</definedName>
    <definedName name="nev_c" localSheetId="36">#REF!</definedName>
    <definedName name="nev_c">#REF!</definedName>
    <definedName name="nev_g" localSheetId="36">#REF!</definedName>
    <definedName name="nev_g">#REF!</definedName>
    <definedName name="nev_k" localSheetId="36">#REF!</definedName>
    <definedName name="nev_k">#REF!</definedName>
    <definedName name="_xlnm.Print_Titles" localSheetId="22">'10. sz. mell.'!$1:$5</definedName>
    <definedName name="_xlnm.Print_Titles" localSheetId="23">'11. sz. mell.'!$1:$7</definedName>
    <definedName name="_xlnm.Print_Titles" localSheetId="24">'12. sz. mell'!$1:$7</definedName>
    <definedName name="_xlnm.Print_Titles" localSheetId="25">'13. sz. mell.'!$1:$7</definedName>
    <definedName name="_xlnm.Print_Titles" localSheetId="26">'14. sz. mell.'!$3:$10</definedName>
    <definedName name="_xlnm.Print_Titles" localSheetId="29">'1a sz tájékoztató t.'!$1:$5</definedName>
    <definedName name="_xlnm.Print_Titles" localSheetId="30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'1.1.sz.mell.'!$A$1:$F$142</definedName>
    <definedName name="_xlnm.Print_Area" localSheetId="4">'1.2.sz.mell. _köt'!$A$1:$F$127</definedName>
    <definedName name="_xlnm.Print_Area" localSheetId="5">'1.3.sz.mell._önk'!$A$1:$F$127</definedName>
    <definedName name="_xlnm.Print_Area" localSheetId="6">'1.4.sz.mell._állig'!$A$1:$F$127</definedName>
    <definedName name="_xlnm.Print_Area" localSheetId="31">'1.sz tájékoztató t.'!$A$1:$O$28</definedName>
    <definedName name="_xlnm.Print_Area" localSheetId="29">'1a sz tájékoztató t.'!$A$1:$Q$109</definedName>
    <definedName name="_xlnm.Print_Area" localSheetId="30">'1b. sz tájékoztató t.'!$A$1:$Q$150</definedName>
    <definedName name="_xlnm.Print_Area" localSheetId="8">'2.2.sz.mell  '!$A$1:$L$36</definedName>
    <definedName name="_xlnm.Print_Area" localSheetId="32">'2.sz. tájékoztató tábla'!$A$1:$E$47</definedName>
    <definedName name="_xlnm.Print_Area" localSheetId="33">'3. sz tájékoztató t.'!$A$1:$D$37</definedName>
    <definedName name="_xlnm.Print_Area" localSheetId="12">'5.sz.mell.'!$A$1:$G$51</definedName>
    <definedName name="_xlnm.Print_Area" localSheetId="13">'6.sz.mell.'!$A$1:$G$28</definedName>
    <definedName name="_xlnm.Print_Area" localSheetId="14">'7. sz. mell.'!$A$1:$E$24</definedName>
    <definedName name="_xlnm.Print_Area" localSheetId="15">'8. sz. mell'!$A$1:$G$105</definedName>
    <definedName name="_xlnm.Print_Area" localSheetId="21">'9. sz. mell.'!$A$1:$G$49</definedName>
    <definedName name="szállítók" localSheetId="36">#REF!</definedName>
    <definedName name="szállítók">#REF!</definedName>
    <definedName name="számlaszám" localSheetId="36">#REF!</definedName>
    <definedName name="számlaszám">#REF!</definedName>
    <definedName name="Tűzoltóság">[6]Háttéradatok!$C$29:$AG$32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F67" i="92" l="1"/>
  <c r="F65" i="92"/>
  <c r="F51" i="92"/>
  <c r="F5" i="92"/>
  <c r="F6" i="92"/>
  <c r="F7" i="92"/>
  <c r="F73" i="92"/>
  <c r="F76" i="92"/>
  <c r="E122" i="92"/>
  <c r="E120" i="92"/>
  <c r="E101" i="92"/>
  <c r="E73" i="92"/>
  <c r="C104" i="115" l="1"/>
  <c r="C110" i="115"/>
  <c r="C103" i="115"/>
  <c r="C95" i="115"/>
  <c r="C93" i="115"/>
  <c r="C90" i="115"/>
  <c r="C87" i="115"/>
  <c r="C86" i="115"/>
  <c r="C84" i="115"/>
  <c r="C77" i="115"/>
  <c r="C69" i="115"/>
  <c r="C70" i="115"/>
  <c r="C71" i="115"/>
  <c r="C68" i="115"/>
  <c r="C50" i="115"/>
  <c r="C51" i="115"/>
  <c r="C45" i="115"/>
  <c r="C49" i="115"/>
  <c r="C43" i="115"/>
  <c r="C42" i="115"/>
  <c r="C39" i="115"/>
  <c r="C32" i="115"/>
  <c r="C17" i="115"/>
  <c r="C13" i="115"/>
  <c r="C12" i="115"/>
  <c r="C63" i="113"/>
  <c r="C64" i="113"/>
  <c r="C70" i="113"/>
  <c r="C58" i="113"/>
  <c r="C59" i="113"/>
  <c r="C62" i="113"/>
  <c r="C49" i="113"/>
  <c r="C54" i="113"/>
  <c r="C55" i="113"/>
  <c r="C56" i="113"/>
  <c r="C37" i="113"/>
  <c r="C38" i="113"/>
  <c r="C39" i="113"/>
  <c r="C40" i="113"/>
  <c r="C33" i="113"/>
  <c r="C34" i="113"/>
  <c r="C35" i="113"/>
  <c r="C25" i="113"/>
  <c r="C29" i="113"/>
  <c r="C30" i="113"/>
  <c r="C23" i="113"/>
  <c r="C22" i="113"/>
  <c r="C19" i="113"/>
  <c r="C22" i="112"/>
  <c r="C26" i="112"/>
  <c r="C20" i="112"/>
  <c r="C31" i="112"/>
  <c r="C32" i="112"/>
  <c r="C29" i="112"/>
  <c r="C41" i="112"/>
  <c r="C61" i="112"/>
  <c r="C51" i="112"/>
  <c r="C50" i="112"/>
  <c r="C19" i="112"/>
  <c r="C46" i="112"/>
  <c r="C47" i="112"/>
  <c r="C16" i="112"/>
  <c r="F19" i="61" l="1"/>
  <c r="F20" i="73"/>
  <c r="E31" i="61"/>
  <c r="E19" i="61"/>
  <c r="E19" i="73"/>
  <c r="E27" i="73"/>
  <c r="E76" i="91"/>
  <c r="E76" i="1" s="1"/>
  <c r="E97" i="91"/>
  <c r="E110" i="91"/>
  <c r="E110" i="1" s="1"/>
  <c r="E103" i="1" s="1"/>
  <c r="E102" i="1" s="1"/>
  <c r="E88" i="91"/>
  <c r="E87" i="91"/>
  <c r="E75" i="91"/>
  <c r="E74" i="91"/>
  <c r="E58" i="91"/>
  <c r="E58" i="1" s="1"/>
  <c r="E54" i="91"/>
  <c r="E48" i="91"/>
  <c r="E48" i="1" s="1"/>
  <c r="E45" i="91"/>
  <c r="E43" i="91" s="1"/>
  <c r="E32" i="91"/>
  <c r="E29" i="91"/>
  <c r="E29" i="1" s="1"/>
  <c r="E28" i="91"/>
  <c r="E24" i="91"/>
  <c r="E24" i="1" s="1"/>
  <c r="E20" i="91"/>
  <c r="E20" i="1" s="1"/>
  <c r="E19" i="91"/>
  <c r="E18" i="91"/>
  <c r="E17" i="91"/>
  <c r="E15" i="91"/>
  <c r="E14" i="91"/>
  <c r="E13" i="91"/>
  <c r="E12" i="91"/>
  <c r="E11" i="91" s="1"/>
  <c r="E9" i="91"/>
  <c r="E78" i="92"/>
  <c r="F78" i="92" s="1"/>
  <c r="E82" i="92"/>
  <c r="E83" i="1" s="1"/>
  <c r="F83" i="1" s="1"/>
  <c r="E8" i="73" l="1"/>
  <c r="E7" i="61"/>
  <c r="E46" i="1"/>
  <c r="J25" i="73"/>
  <c r="J27" i="73" s="1"/>
  <c r="J8" i="73"/>
  <c r="E53" i="91"/>
  <c r="E86" i="91"/>
  <c r="E103" i="91"/>
  <c r="E102" i="91" s="1"/>
  <c r="E13" i="1"/>
  <c r="E15" i="1"/>
  <c r="E18" i="1"/>
  <c r="E74" i="1"/>
  <c r="E87" i="1"/>
  <c r="F82" i="92"/>
  <c r="E46" i="91"/>
  <c r="E9" i="1"/>
  <c r="E12" i="1"/>
  <c r="E14" i="1"/>
  <c r="E17" i="1"/>
  <c r="E19" i="1"/>
  <c r="E28" i="1"/>
  <c r="E32" i="1"/>
  <c r="E45" i="1"/>
  <c r="E54" i="1"/>
  <c r="E75" i="1"/>
  <c r="E88" i="1"/>
  <c r="G21" i="64"/>
  <c r="G22" i="64"/>
  <c r="G20" i="64"/>
  <c r="F20" i="64"/>
  <c r="F28" i="64"/>
  <c r="F7" i="63"/>
  <c r="F47" i="63"/>
  <c r="G8" i="63"/>
  <c r="G10" i="63"/>
  <c r="G17" i="63"/>
  <c r="G18" i="63"/>
  <c r="G19" i="63"/>
  <c r="G21" i="63"/>
  <c r="G22" i="63"/>
  <c r="G23" i="63"/>
  <c r="G27" i="63"/>
  <c r="G28" i="63"/>
  <c r="G29" i="63"/>
  <c r="G30" i="63"/>
  <c r="G31" i="63"/>
  <c r="G35" i="63"/>
  <c r="G36" i="63"/>
  <c r="G6" i="63"/>
  <c r="E20" i="108"/>
  <c r="E12" i="108"/>
  <c r="D24" i="108"/>
  <c r="G23" i="3"/>
  <c r="G18" i="3"/>
  <c r="G20" i="3"/>
  <c r="G21" i="3"/>
  <c r="G22" i="3"/>
  <c r="F46" i="3"/>
  <c r="F49" i="3"/>
  <c r="F55" i="3"/>
  <c r="F14" i="3"/>
  <c r="F13" i="3"/>
  <c r="E10" i="91" s="1"/>
  <c r="F10" i="3"/>
  <c r="E7" i="91" s="1"/>
  <c r="F39" i="3"/>
  <c r="E36" i="91" s="1"/>
  <c r="F25" i="3"/>
  <c r="E22" i="91" s="1"/>
  <c r="F96" i="3"/>
  <c r="F79" i="3"/>
  <c r="E22" i="1" l="1"/>
  <c r="E21" i="91"/>
  <c r="E36" i="1"/>
  <c r="E6" i="91"/>
  <c r="E7" i="1"/>
  <c r="J7" i="73"/>
  <c r="E15" i="61"/>
  <c r="E43" i="1"/>
  <c r="E11" i="1"/>
  <c r="J6" i="61"/>
  <c r="E86" i="1"/>
  <c r="F24" i="3"/>
  <c r="F34" i="3"/>
  <c r="E10" i="1"/>
  <c r="J7" i="61"/>
  <c r="E53" i="1"/>
  <c r="E31" i="1"/>
  <c r="E31" i="91"/>
  <c r="J6" i="73"/>
  <c r="E52" i="91"/>
  <c r="E18" i="61"/>
  <c r="F33" i="3"/>
  <c r="F9" i="3"/>
  <c r="E10" i="73" l="1"/>
  <c r="E30" i="1"/>
  <c r="E52" i="1"/>
  <c r="E32" i="61"/>
  <c r="E30" i="91"/>
  <c r="J18" i="61"/>
  <c r="E7" i="73"/>
  <c r="E6" i="1"/>
  <c r="E21" i="1"/>
  <c r="E51" i="91"/>
  <c r="E5" i="91"/>
  <c r="F54" i="3"/>
  <c r="F8" i="3"/>
  <c r="F74" i="3"/>
  <c r="E82" i="91" s="1"/>
  <c r="F69" i="3"/>
  <c r="E77" i="91" s="1"/>
  <c r="F35" i="84"/>
  <c r="F48" i="84" s="1"/>
  <c r="G42" i="84"/>
  <c r="F41" i="84"/>
  <c r="G13" i="84"/>
  <c r="F7" i="84"/>
  <c r="F26" i="84" s="1"/>
  <c r="F27" i="84"/>
  <c r="G28" i="103"/>
  <c r="G42" i="103"/>
  <c r="G43" i="103"/>
  <c r="F36" i="103"/>
  <c r="F49" i="103" s="1"/>
  <c r="F27" i="103"/>
  <c r="F7" i="103"/>
  <c r="F26" i="103" s="1"/>
  <c r="E78" i="91" l="1"/>
  <c r="E82" i="1"/>
  <c r="E65" i="91"/>
  <c r="E9" i="73"/>
  <c r="E6" i="73"/>
  <c r="E51" i="1"/>
  <c r="E5" i="1"/>
  <c r="J32" i="61"/>
  <c r="E77" i="1"/>
  <c r="E73" i="91"/>
  <c r="E34" i="61"/>
  <c r="F31" i="84"/>
  <c r="F32" i="103"/>
  <c r="F70" i="3"/>
  <c r="F65" i="3" s="1"/>
  <c r="F95" i="3" s="1"/>
  <c r="F100" i="3" s="1"/>
  <c r="F60" i="3"/>
  <c r="D19" i="1"/>
  <c r="F19" i="1" s="1"/>
  <c r="E91" i="3"/>
  <c r="D98" i="91" s="1"/>
  <c r="F98" i="91" s="1"/>
  <c r="E68" i="3"/>
  <c r="G68" i="3" s="1"/>
  <c r="E51" i="3"/>
  <c r="G51" i="3" s="1"/>
  <c r="E16" i="3"/>
  <c r="G16" i="3" s="1"/>
  <c r="E15" i="3"/>
  <c r="G15" i="3" s="1"/>
  <c r="E13" i="3"/>
  <c r="G13" i="3" s="1"/>
  <c r="E12" i="3"/>
  <c r="G12" i="3" s="1"/>
  <c r="E10" i="3"/>
  <c r="G10" i="3" s="1"/>
  <c r="E57" i="3"/>
  <c r="E31" i="3"/>
  <c r="G31" i="3" s="1"/>
  <c r="E25" i="3"/>
  <c r="G25" i="3" s="1"/>
  <c r="E38" i="103"/>
  <c r="G38" i="103" s="1"/>
  <c r="E38" i="84"/>
  <c r="G38" i="84" s="1"/>
  <c r="E36" i="84"/>
  <c r="G36" i="84" s="1"/>
  <c r="E11" i="84"/>
  <c r="G11" i="84" s="1"/>
  <c r="E8" i="84"/>
  <c r="G8" i="84" s="1"/>
  <c r="E101" i="91" l="1"/>
  <c r="J34" i="61"/>
  <c r="E65" i="1"/>
  <c r="E18" i="73"/>
  <c r="E78" i="1"/>
  <c r="J9" i="73"/>
  <c r="E73" i="1"/>
  <c r="E67" i="91"/>
  <c r="E74" i="3"/>
  <c r="G74" i="3" s="1"/>
  <c r="J10" i="73" l="1"/>
  <c r="E28" i="73"/>
  <c r="E67" i="1"/>
  <c r="E120" i="91"/>
  <c r="E101" i="1"/>
  <c r="E36" i="61"/>
  <c r="E5" i="63"/>
  <c r="E11" i="63"/>
  <c r="G11" i="63" s="1"/>
  <c r="E32" i="63"/>
  <c r="G32" i="63" s="1"/>
  <c r="E120" i="1" l="1"/>
  <c r="E126" i="1"/>
  <c r="E30" i="73"/>
  <c r="J18" i="73"/>
  <c r="E131" i="1"/>
  <c r="E122" i="91"/>
  <c r="D23" i="73"/>
  <c r="F23" i="73" s="1"/>
  <c r="D29" i="91"/>
  <c r="F29" i="91" s="1"/>
  <c r="D19" i="91"/>
  <c r="F19" i="91" s="1"/>
  <c r="D58" i="1"/>
  <c r="F58" i="1" s="1"/>
  <c r="D58" i="91"/>
  <c r="F58" i="91" s="1"/>
  <c r="E55" i="3"/>
  <c r="G55" i="3" s="1"/>
  <c r="D29" i="1"/>
  <c r="E122" i="1" l="1"/>
  <c r="J28" i="73"/>
  <c r="J31" i="73"/>
  <c r="E26" i="63"/>
  <c r="G26" i="63" s="1"/>
  <c r="E25" i="63"/>
  <c r="G25" i="63" s="1"/>
  <c r="E20" i="63"/>
  <c r="G20" i="63" s="1"/>
  <c r="E15" i="63"/>
  <c r="E7" i="63"/>
  <c r="G7" i="63" s="1"/>
  <c r="E11" i="64"/>
  <c r="C22" i="108"/>
  <c r="E22" i="108" s="1"/>
  <c r="C19" i="108"/>
  <c r="E19" i="108" s="1"/>
  <c r="C16" i="108"/>
  <c r="C11" i="108"/>
  <c r="E11" i="108" s="1"/>
  <c r="J30" i="73" l="1"/>
  <c r="J32" i="73"/>
  <c r="E97" i="3"/>
  <c r="G97" i="3" s="1"/>
  <c r="E67" i="3"/>
  <c r="G67" i="3" s="1"/>
  <c r="E66" i="3"/>
  <c r="G66" i="3" s="1"/>
  <c r="E39" i="3" l="1"/>
  <c r="G39" i="3" l="1"/>
  <c r="D36" i="1"/>
  <c r="F36" i="1" s="1"/>
  <c r="E27" i="3"/>
  <c r="G27" i="3" s="1"/>
  <c r="E39" i="103"/>
  <c r="G39" i="103" s="1"/>
  <c r="E37" i="103"/>
  <c r="G37" i="103" s="1"/>
  <c r="E25" i="103"/>
  <c r="G25" i="103" s="1"/>
  <c r="E9" i="103"/>
  <c r="E7" i="103" s="1"/>
  <c r="E37" i="84"/>
  <c r="G37" i="84" s="1"/>
  <c r="E25" i="84"/>
  <c r="G25" i="84" s="1"/>
  <c r="E41" i="84"/>
  <c r="G41" i="84" s="1"/>
  <c r="E7" i="84"/>
  <c r="G7" i="84" s="1"/>
  <c r="D28" i="91" l="1"/>
  <c r="F28" i="91" s="1"/>
  <c r="D24" i="91"/>
  <c r="F24" i="91" s="1"/>
  <c r="D28" i="1"/>
  <c r="D24" i="1"/>
  <c r="F24" i="1" s="1"/>
  <c r="E92" i="3"/>
  <c r="F48" i="63" l="1"/>
  <c r="D7" i="92" l="1"/>
  <c r="D78" i="92"/>
  <c r="D82" i="92"/>
  <c r="E75" i="3"/>
  <c r="G75" i="3" s="1"/>
  <c r="D19" i="61"/>
  <c r="D31" i="61" s="1"/>
  <c r="D19" i="73"/>
  <c r="D83" i="1"/>
  <c r="D8" i="1"/>
  <c r="D23" i="1"/>
  <c r="D25" i="1"/>
  <c r="D26" i="1"/>
  <c r="D27" i="1"/>
  <c r="D38" i="1"/>
  <c r="D39" i="1"/>
  <c r="D42" i="1"/>
  <c r="D85" i="91"/>
  <c r="D85" i="1" s="1"/>
  <c r="F85" i="1" s="1"/>
  <c r="D110" i="91"/>
  <c r="D110" i="1" s="1"/>
  <c r="I25" i="73" s="1"/>
  <c r="I27" i="73" s="1"/>
  <c r="D74" i="91"/>
  <c r="D75" i="91"/>
  <c r="D76" i="91"/>
  <c r="D84" i="91"/>
  <c r="D84" i="1" s="1"/>
  <c r="D89" i="91"/>
  <c r="D90" i="91"/>
  <c r="D91" i="91"/>
  <c r="D92" i="91"/>
  <c r="D93" i="91"/>
  <c r="D94" i="91"/>
  <c r="D95" i="91"/>
  <c r="D99" i="91"/>
  <c r="D111" i="91"/>
  <c r="D54" i="91"/>
  <c r="F54" i="91" s="1"/>
  <c r="D15" i="91"/>
  <c r="D16" i="91"/>
  <c r="D16" i="1" s="1"/>
  <c r="D17" i="91"/>
  <c r="D18" i="91"/>
  <c r="D20" i="91"/>
  <c r="D22" i="91"/>
  <c r="D36" i="91"/>
  <c r="F36" i="91" s="1"/>
  <c r="D40" i="91"/>
  <c r="F40" i="91" s="1"/>
  <c r="D41" i="91"/>
  <c r="D41" i="1" s="1"/>
  <c r="D44" i="91"/>
  <c r="D73" i="92"/>
  <c r="D101" i="92" s="1"/>
  <c r="D120" i="92" s="1"/>
  <c r="D122" i="92" s="1"/>
  <c r="D6" i="92"/>
  <c r="D5" i="92" s="1"/>
  <c r="E96" i="3"/>
  <c r="G96" i="3" s="1"/>
  <c r="D48" i="91"/>
  <c r="E48" i="3"/>
  <c r="E40" i="3"/>
  <c r="E36" i="3"/>
  <c r="D33" i="91" s="1"/>
  <c r="D33" i="1" s="1"/>
  <c r="E37" i="3"/>
  <c r="D34" i="91" s="1"/>
  <c r="D34" i="1" s="1"/>
  <c r="E38" i="3"/>
  <c r="D35" i="91" s="1"/>
  <c r="D35" i="1" s="1"/>
  <c r="E35" i="3"/>
  <c r="G35" i="3" s="1"/>
  <c r="E24" i="3"/>
  <c r="G24" i="3" s="1"/>
  <c r="D13" i="91"/>
  <c r="F13" i="91" s="1"/>
  <c r="D12" i="91"/>
  <c r="E11" i="3"/>
  <c r="D9" i="91"/>
  <c r="D10" i="91"/>
  <c r="D7" i="91"/>
  <c r="E94" i="3"/>
  <c r="G94" i="3" s="1"/>
  <c r="E90" i="3"/>
  <c r="E69" i="3"/>
  <c r="E71" i="3"/>
  <c r="E72" i="3"/>
  <c r="D80" i="91" s="1"/>
  <c r="D80" i="1" s="1"/>
  <c r="E73" i="3"/>
  <c r="D81" i="91" s="1"/>
  <c r="D81" i="1" s="1"/>
  <c r="D82" i="91"/>
  <c r="E36" i="103"/>
  <c r="E27" i="103"/>
  <c r="E26" i="103"/>
  <c r="E35" i="84"/>
  <c r="E27" i="84"/>
  <c r="E26" i="84"/>
  <c r="D28" i="64"/>
  <c r="C24" i="108"/>
  <c r="E24" i="108" s="1"/>
  <c r="E10" i="64"/>
  <c r="E7" i="64"/>
  <c r="E28" i="64" s="1"/>
  <c r="G28" i="64" s="1"/>
  <c r="E16" i="63"/>
  <c r="G16" i="63" s="1"/>
  <c r="D7" i="1" l="1"/>
  <c r="F7" i="1" s="1"/>
  <c r="F7" i="91"/>
  <c r="D9" i="1"/>
  <c r="F9" i="1" s="1"/>
  <c r="F9" i="91"/>
  <c r="D12" i="1"/>
  <c r="F12" i="1" s="1"/>
  <c r="F12" i="91"/>
  <c r="D20" i="1"/>
  <c r="F20" i="91"/>
  <c r="D17" i="1"/>
  <c r="F17" i="1" s="1"/>
  <c r="F17" i="91"/>
  <c r="D15" i="1"/>
  <c r="F15" i="1" s="1"/>
  <c r="F15" i="91"/>
  <c r="D76" i="1"/>
  <c r="F76" i="91"/>
  <c r="D74" i="1"/>
  <c r="F74" i="91"/>
  <c r="D27" i="73"/>
  <c r="F27" i="73" s="1"/>
  <c r="F19" i="73"/>
  <c r="D82" i="1"/>
  <c r="F82" i="1" s="1"/>
  <c r="F82" i="91"/>
  <c r="D10" i="1"/>
  <c r="F10" i="1" s="1"/>
  <c r="F10" i="91"/>
  <c r="D46" i="91"/>
  <c r="F46" i="91" s="1"/>
  <c r="F48" i="91"/>
  <c r="D22" i="1"/>
  <c r="F22" i="1" s="1"/>
  <c r="F22" i="91"/>
  <c r="D18" i="1"/>
  <c r="F18" i="1" s="1"/>
  <c r="F18" i="91"/>
  <c r="D99" i="1"/>
  <c r="I16" i="61" s="1"/>
  <c r="K16" i="61" s="1"/>
  <c r="F99" i="91"/>
  <c r="D75" i="1"/>
  <c r="F75" i="91"/>
  <c r="D21" i="1"/>
  <c r="F21" i="1" s="1"/>
  <c r="E32" i="103"/>
  <c r="G32" i="103" s="1"/>
  <c r="G26" i="103"/>
  <c r="E49" i="103"/>
  <c r="G49" i="103" s="1"/>
  <c r="G36" i="103"/>
  <c r="E70" i="3"/>
  <c r="G70" i="3" s="1"/>
  <c r="D45" i="91"/>
  <c r="F45" i="91" s="1"/>
  <c r="G48" i="3"/>
  <c r="D51" i="92"/>
  <c r="D65" i="92" s="1"/>
  <c r="D67" i="92" s="1"/>
  <c r="E31" i="84"/>
  <c r="G31" i="84" s="1"/>
  <c r="G26" i="84"/>
  <c r="E48" i="84"/>
  <c r="G48" i="84" s="1"/>
  <c r="G35" i="84"/>
  <c r="D77" i="91"/>
  <c r="G69" i="3"/>
  <c r="E81" i="3"/>
  <c r="G81" i="3" s="1"/>
  <c r="E26" i="64"/>
  <c r="D54" i="1"/>
  <c r="F54" i="1" s="1"/>
  <c r="D53" i="91"/>
  <c r="E47" i="63"/>
  <c r="G47" i="63" s="1"/>
  <c r="D37" i="91"/>
  <c r="F37" i="91" s="1"/>
  <c r="E65" i="3"/>
  <c r="G65" i="3" s="1"/>
  <c r="D32" i="91"/>
  <c r="E34" i="3"/>
  <c r="G34" i="3" s="1"/>
  <c r="E46" i="3"/>
  <c r="G46" i="3" s="1"/>
  <c r="E49" i="3"/>
  <c r="G49" i="3" s="1"/>
  <c r="D45" i="1"/>
  <c r="D103" i="91"/>
  <c r="D102" i="91" s="1"/>
  <c r="D79" i="91"/>
  <c r="D79" i="1" s="1"/>
  <c r="E9" i="3"/>
  <c r="G9" i="3" s="1"/>
  <c r="D6" i="1"/>
  <c r="D48" i="1"/>
  <c r="F48" i="1" s="1"/>
  <c r="D40" i="1"/>
  <c r="D103" i="1"/>
  <c r="D102" i="1" s="1"/>
  <c r="F102" i="1" s="1"/>
  <c r="D13" i="1"/>
  <c r="F13" i="1" s="1"/>
  <c r="D97" i="91"/>
  <c r="F97" i="91" s="1"/>
  <c r="E33" i="3"/>
  <c r="G33" i="3" s="1"/>
  <c r="D31" i="91"/>
  <c r="D9" i="73"/>
  <c r="F9" i="73" s="1"/>
  <c r="D21" i="91"/>
  <c r="F21" i="91" s="1"/>
  <c r="D6" i="91"/>
  <c r="F6" i="91" s="1"/>
  <c r="D98" i="1"/>
  <c r="I20" i="111"/>
  <c r="I21" i="111"/>
  <c r="I23" i="111"/>
  <c r="I24" i="111"/>
  <c r="I25" i="111"/>
  <c r="D6" i="73" l="1"/>
  <c r="F6" i="73" s="1"/>
  <c r="F6" i="1"/>
  <c r="D15" i="61"/>
  <c r="F15" i="61" s="1"/>
  <c r="F45" i="1"/>
  <c r="D32" i="1"/>
  <c r="F32" i="91"/>
  <c r="D37" i="1"/>
  <c r="F40" i="1"/>
  <c r="D43" i="91"/>
  <c r="F43" i="91" s="1"/>
  <c r="D77" i="1"/>
  <c r="F77" i="91"/>
  <c r="D30" i="91"/>
  <c r="F30" i="91" s="1"/>
  <c r="F31" i="91"/>
  <c r="D52" i="91"/>
  <c r="F52" i="91" s="1"/>
  <c r="F53" i="91"/>
  <c r="I7" i="73"/>
  <c r="K7" i="73" s="1"/>
  <c r="F75" i="1"/>
  <c r="I6" i="73"/>
  <c r="K6" i="73" s="1"/>
  <c r="F74" i="1"/>
  <c r="I8" i="73"/>
  <c r="K8" i="73" s="1"/>
  <c r="F76" i="1"/>
  <c r="D8" i="73"/>
  <c r="F8" i="73" s="1"/>
  <c r="F20" i="1"/>
  <c r="E27" i="64"/>
  <c r="G27" i="64" s="1"/>
  <c r="G26" i="64"/>
  <c r="E80" i="3"/>
  <c r="G80" i="3" s="1"/>
  <c r="E45" i="63"/>
  <c r="D53" i="1"/>
  <c r="D78" i="91"/>
  <c r="D43" i="1"/>
  <c r="F43" i="1" s="1"/>
  <c r="D7" i="61"/>
  <c r="D46" i="1"/>
  <c r="F46" i="1" s="1"/>
  <c r="D73" i="91"/>
  <c r="F73" i="91" s="1"/>
  <c r="D97" i="1"/>
  <c r="I11" i="73"/>
  <c r="K11" i="73" s="1"/>
  <c r="T25" i="24"/>
  <c r="K20" i="24"/>
  <c r="J20" i="24"/>
  <c r="F20" i="24"/>
  <c r="E20" i="24"/>
  <c r="C20" i="24"/>
  <c r="O5" i="24"/>
  <c r="D9" i="24"/>
  <c r="C9" i="24"/>
  <c r="C11" i="24"/>
  <c r="C83" i="1"/>
  <c r="C82" i="91"/>
  <c r="C82" i="1" s="1"/>
  <c r="E114" i="111"/>
  <c r="E107" i="111"/>
  <c r="F83" i="111"/>
  <c r="E83" i="111"/>
  <c r="F80" i="111"/>
  <c r="E80" i="111"/>
  <c r="F79" i="111"/>
  <c r="E79" i="111"/>
  <c r="F74" i="111"/>
  <c r="E74" i="111"/>
  <c r="F71" i="111"/>
  <c r="E71" i="111"/>
  <c r="F68" i="111"/>
  <c r="E68" i="111"/>
  <c r="F67" i="111"/>
  <c r="E67" i="111"/>
  <c r="F66" i="111"/>
  <c r="E66" i="111"/>
  <c r="G57" i="111"/>
  <c r="G86" i="111" s="1"/>
  <c r="F57" i="111"/>
  <c r="E57" i="111"/>
  <c r="E86" i="111" s="1"/>
  <c r="E53" i="111"/>
  <c r="G52" i="111"/>
  <c r="E52" i="111"/>
  <c r="E40" i="111"/>
  <c r="E39" i="111" s="1"/>
  <c r="G39" i="111"/>
  <c r="F39" i="111"/>
  <c r="F56" i="111" s="1"/>
  <c r="E38" i="111"/>
  <c r="F34" i="111"/>
  <c r="E34" i="111"/>
  <c r="E26" i="111"/>
  <c r="G22" i="111"/>
  <c r="I22" i="111" s="1"/>
  <c r="E22" i="111"/>
  <c r="G19" i="111"/>
  <c r="I19" i="111" s="1"/>
  <c r="E19" i="111"/>
  <c r="G18" i="111"/>
  <c r="G37" i="111" s="1"/>
  <c r="F18" i="111"/>
  <c r="F37" i="111" s="1"/>
  <c r="E18" i="111"/>
  <c r="E37" i="111" s="1"/>
  <c r="G5" i="111"/>
  <c r="G17" i="111" s="1"/>
  <c r="F5" i="111"/>
  <c r="F17" i="111" s="1"/>
  <c r="E5" i="111"/>
  <c r="E17" i="111" s="1"/>
  <c r="E18" i="109"/>
  <c r="D18" i="109"/>
  <c r="D13" i="70"/>
  <c r="E9" i="110"/>
  <c r="E47" i="110" s="1"/>
  <c r="D52" i="1" l="1"/>
  <c r="F52" i="1" s="1"/>
  <c r="F53" i="1"/>
  <c r="I9" i="73"/>
  <c r="K9" i="73" s="1"/>
  <c r="F77" i="1"/>
  <c r="F7" i="61"/>
  <c r="D78" i="1"/>
  <c r="F78" i="1" s="1"/>
  <c r="F78" i="91"/>
  <c r="D13" i="61"/>
  <c r="F13" i="61" s="1"/>
  <c r="F37" i="1"/>
  <c r="D31" i="1"/>
  <c r="F32" i="1"/>
  <c r="E46" i="63"/>
  <c r="G46" i="63" s="1"/>
  <c r="G45" i="63"/>
  <c r="E79" i="3"/>
  <c r="G79" i="3" s="1"/>
  <c r="D87" i="91"/>
  <c r="F87" i="91" s="1"/>
  <c r="I10" i="73"/>
  <c r="E56" i="111"/>
  <c r="E88" i="111" s="1"/>
  <c r="G56" i="111"/>
  <c r="F86" i="111"/>
  <c r="F88" i="111" s="1"/>
  <c r="G88" i="111"/>
  <c r="F31" i="1" l="1"/>
  <c r="D10" i="73"/>
  <c r="F10" i="73" s="1"/>
  <c r="D30" i="1"/>
  <c r="F30" i="1" s="1"/>
  <c r="D73" i="1"/>
  <c r="F73" i="1" s="1"/>
  <c r="I18" i="73"/>
  <c r="K10" i="73"/>
  <c r="D18" i="61"/>
  <c r="E95" i="3"/>
  <c r="E100" i="3" s="1"/>
  <c r="G100" i="3" s="1"/>
  <c r="C45" i="1"/>
  <c r="C15" i="61" s="1"/>
  <c r="C137" i="1"/>
  <c r="C136" i="1" s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D32" i="61" l="1"/>
  <c r="F18" i="61"/>
  <c r="I28" i="73"/>
  <c r="K18" i="73"/>
  <c r="G95" i="3"/>
  <c r="C43" i="1"/>
  <c r="C11" i="109" s="1"/>
  <c r="C40" i="91"/>
  <c r="C40" i="1" s="1"/>
  <c r="C36" i="91"/>
  <c r="C41" i="91"/>
  <c r="C41" i="1" s="1"/>
  <c r="C74" i="91"/>
  <c r="C74" i="1" s="1"/>
  <c r="C75" i="91"/>
  <c r="C75" i="1" s="1"/>
  <c r="C77" i="91"/>
  <c r="C77" i="1" s="1"/>
  <c r="C79" i="91"/>
  <c r="C79" i="1" s="1"/>
  <c r="C80" i="9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" i="91"/>
  <c r="C6" i="92"/>
  <c r="C51" i="92" s="1"/>
  <c r="C76" i="92"/>
  <c r="C73" i="92" s="1"/>
  <c r="C101" i="92" s="1"/>
  <c r="C120" i="92" s="1"/>
  <c r="C122" i="92" s="1"/>
  <c r="E6" i="77"/>
  <c r="D9" i="77"/>
  <c r="D5" i="77"/>
  <c r="K28" i="73" l="1"/>
  <c r="I30" i="73"/>
  <c r="K30" i="73" s="1"/>
  <c r="D34" i="61"/>
  <c r="F34" i="61" s="1"/>
  <c r="F32" i="61"/>
  <c r="C5" i="92"/>
  <c r="C7" i="1"/>
  <c r="C102" i="91"/>
  <c r="C126" i="92"/>
  <c r="C65" i="92"/>
  <c r="C67" i="92" s="1"/>
  <c r="C76" i="91"/>
  <c r="C76" i="1" s="1"/>
  <c r="C19" i="109" s="1"/>
  <c r="C8" i="109"/>
  <c r="C8" i="73"/>
  <c r="C6" i="91"/>
  <c r="C46" i="1"/>
  <c r="C12" i="109" s="1"/>
  <c r="C7" i="61"/>
  <c r="C97" i="91"/>
  <c r="C99" i="1"/>
  <c r="H16" i="61" s="1"/>
  <c r="C78" i="91"/>
  <c r="C78" i="1" s="1"/>
  <c r="H10" i="73" s="1"/>
  <c r="C80" i="1"/>
  <c r="C6" i="1"/>
  <c r="C9" i="109"/>
  <c r="C9" i="73"/>
  <c r="C21" i="91"/>
  <c r="C31" i="91"/>
  <c r="C33" i="1"/>
  <c r="C31" i="1" s="1"/>
  <c r="C43" i="91"/>
  <c r="C12" i="73"/>
  <c r="C46" i="91"/>
  <c r="H11" i="73"/>
  <c r="C37" i="91"/>
  <c r="C37" i="1"/>
  <c r="C13" i="61" s="1"/>
  <c r="C20" i="109"/>
  <c r="H9" i="73"/>
  <c r="C18" i="109"/>
  <c r="H7" i="73"/>
  <c r="H8" i="73"/>
  <c r="C17" i="109"/>
  <c r="H6" i="73"/>
  <c r="D17" i="3"/>
  <c r="E17" i="3" s="1"/>
  <c r="G17" i="3" s="1"/>
  <c r="D90" i="3"/>
  <c r="D81" i="3"/>
  <c r="D47" i="63"/>
  <c r="D70" i="3"/>
  <c r="D65" i="3" s="1"/>
  <c r="D55" i="3"/>
  <c r="D46" i="3"/>
  <c r="D34" i="3"/>
  <c r="D40" i="3"/>
  <c r="D24" i="3"/>
  <c r="D80" i="3" l="1"/>
  <c r="D79" i="3" s="1"/>
  <c r="D45" i="63"/>
  <c r="D14" i="91"/>
  <c r="F14" i="91" s="1"/>
  <c r="E14" i="3"/>
  <c r="G14" i="3" s="1"/>
  <c r="D14" i="3"/>
  <c r="D33" i="3"/>
  <c r="C73" i="91"/>
  <c r="C88" i="91"/>
  <c r="D88" i="91"/>
  <c r="C97" i="1"/>
  <c r="C25" i="109" s="1"/>
  <c r="C30" i="91"/>
  <c r="C73" i="1"/>
  <c r="C21" i="109"/>
  <c r="H18" i="73"/>
  <c r="H28" i="73" s="1"/>
  <c r="D26" i="64"/>
  <c r="C6" i="109"/>
  <c r="C6" i="73"/>
  <c r="C88" i="1"/>
  <c r="C14" i="91"/>
  <c r="D6" i="77"/>
  <c r="C30" i="1"/>
  <c r="C10" i="109" s="1"/>
  <c r="C10" i="73"/>
  <c r="C18" i="61"/>
  <c r="D88" i="1" l="1"/>
  <c r="F88" i="91"/>
  <c r="C87" i="91"/>
  <c r="C87" i="1" s="1"/>
  <c r="C22" i="109" s="1"/>
  <c r="D14" i="1"/>
  <c r="D11" i="91"/>
  <c r="F11" i="91" s="1"/>
  <c r="E8" i="3"/>
  <c r="G8" i="3" s="1"/>
  <c r="E54" i="3"/>
  <c r="D86" i="91"/>
  <c r="D87" i="1"/>
  <c r="F87" i="1" s="1"/>
  <c r="C23" i="109"/>
  <c r="H7" i="61"/>
  <c r="C32" i="61"/>
  <c r="C34" i="61" s="1"/>
  <c r="C14" i="1"/>
  <c r="C11" i="1" s="1"/>
  <c r="C11" i="91"/>
  <c r="H30" i="73"/>
  <c r="D9" i="3"/>
  <c r="D101" i="91" l="1"/>
  <c r="F86" i="91"/>
  <c r="D11" i="1"/>
  <c r="F11" i="1" s="1"/>
  <c r="F14" i="1"/>
  <c r="I7" i="61"/>
  <c r="K7" i="61" s="1"/>
  <c r="F88" i="1"/>
  <c r="E60" i="3"/>
  <c r="G60" i="3" s="1"/>
  <c r="G54" i="3"/>
  <c r="H6" i="61"/>
  <c r="H18" i="61" s="1"/>
  <c r="H32" i="61" s="1"/>
  <c r="H34" i="61" s="1"/>
  <c r="C36" i="61" s="1"/>
  <c r="C131" i="1" s="1"/>
  <c r="C86" i="91"/>
  <c r="C101" i="91" s="1"/>
  <c r="C120" i="91" s="1"/>
  <c r="C122" i="91" s="1"/>
  <c r="C86" i="1"/>
  <c r="C101" i="1" s="1"/>
  <c r="C120" i="1" s="1"/>
  <c r="C122" i="1" s="1"/>
  <c r="D5" i="91"/>
  <c r="F5" i="91" s="1"/>
  <c r="D51" i="91"/>
  <c r="D7" i="73"/>
  <c r="D5" i="1"/>
  <c r="F5" i="1" s="1"/>
  <c r="D51" i="1"/>
  <c r="I6" i="61"/>
  <c r="D86" i="1"/>
  <c r="C5" i="91"/>
  <c r="C51" i="91"/>
  <c r="C7" i="109"/>
  <c r="C5" i="1"/>
  <c r="C7" i="73"/>
  <c r="C18" i="73" s="1"/>
  <c r="C51" i="1"/>
  <c r="D8" i="3"/>
  <c r="D101" i="1" l="1"/>
  <c r="F86" i="1"/>
  <c r="D18" i="73"/>
  <c r="F7" i="73"/>
  <c r="D65" i="91"/>
  <c r="F51" i="91"/>
  <c r="I18" i="61"/>
  <c r="K6" i="61"/>
  <c r="G61" i="3"/>
  <c r="D65" i="1"/>
  <c r="D126" i="1"/>
  <c r="F51" i="1"/>
  <c r="D120" i="91"/>
  <c r="F101" i="91"/>
  <c r="H35" i="61"/>
  <c r="H36" i="61"/>
  <c r="D28" i="73"/>
  <c r="I32" i="73"/>
  <c r="C65" i="1"/>
  <c r="C67" i="1" s="1"/>
  <c r="C126" i="1"/>
  <c r="C65" i="91"/>
  <c r="C67" i="91" s="1"/>
  <c r="C126" i="91"/>
  <c r="C28" i="73"/>
  <c r="C30" i="73" s="1"/>
  <c r="H32" i="73"/>
  <c r="H31" i="73"/>
  <c r="D49" i="3"/>
  <c r="D54" i="3" s="1"/>
  <c r="D60" i="3" s="1"/>
  <c r="D7" i="103"/>
  <c r="D36" i="103"/>
  <c r="D49" i="103" s="1"/>
  <c r="D25" i="103" s="1"/>
  <c r="D26" i="103" s="1"/>
  <c r="D67" i="1" l="1"/>
  <c r="F67" i="1" s="1"/>
  <c r="F65" i="1"/>
  <c r="D30" i="73"/>
  <c r="F30" i="73" s="1"/>
  <c r="F28" i="73"/>
  <c r="D122" i="91"/>
  <c r="F122" i="91" s="1"/>
  <c r="F120" i="91"/>
  <c r="I32" i="61"/>
  <c r="K18" i="61"/>
  <c r="D67" i="91"/>
  <c r="F67" i="91" s="1"/>
  <c r="F65" i="91"/>
  <c r="I31" i="73"/>
  <c r="F18" i="73"/>
  <c r="D120" i="1"/>
  <c r="F101" i="1"/>
  <c r="D32" i="103"/>
  <c r="D7" i="84"/>
  <c r="D35" i="84"/>
  <c r="D48" i="84" s="1"/>
  <c r="D25" i="84" s="1"/>
  <c r="D94" i="3" s="1"/>
  <c r="D95" i="3" s="1"/>
  <c r="D100" i="3" s="1"/>
  <c r="D122" i="1" l="1"/>
  <c r="F122" i="1" s="1"/>
  <c r="F120" i="1"/>
  <c r="I34" i="61"/>
  <c r="K32" i="61"/>
  <c r="D26" i="84"/>
  <c r="D31" i="84" s="1"/>
  <c r="E7" i="70"/>
  <c r="D7" i="70"/>
  <c r="E13" i="70"/>
  <c r="D36" i="61" l="1"/>
  <c r="K34" i="61"/>
  <c r="E11" i="77"/>
  <c r="D131" i="1" l="1"/>
  <c r="F36" i="61"/>
  <c r="B24" i="108"/>
  <c r="D11" i="77" l="1"/>
  <c r="O19" i="24" l="1"/>
  <c r="D46" i="63" l="1"/>
  <c r="D14" i="70" l="1"/>
  <c r="E14" i="70"/>
  <c r="D28" i="109" l="1"/>
  <c r="D15" i="109"/>
  <c r="P2" i="24" l="1"/>
  <c r="E15" i="109"/>
  <c r="L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D27" i="64" l="1"/>
  <c r="F11" i="62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C126" i="93" l="1"/>
  <c r="D120" i="93"/>
  <c r="D122" i="93" s="1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<sst xmlns="http://schemas.openxmlformats.org/spreadsheetml/2006/main" count="4136" uniqueCount="1500">
  <si>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</si>
  <si>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</si>
  <si>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</si>
  <si>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</si>
  <si>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</si>
  <si>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</si>
  <si>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</si>
  <si>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</si>
  <si>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</si>
  <si>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</si>
  <si>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</si>
  <si>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</si>
  <si>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</si>
  <si>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</si>
  <si>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</si>
  <si>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</si>
  <si>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</si>
  <si>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</si>
  <si>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</si>
  <si>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</si>
  <si>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</si>
  <si>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</si>
  <si>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</si>
  <si>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</si>
  <si>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</si>
  <si>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</si>
  <si>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</si>
  <si>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</si>
  <si>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</si>
  <si>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</si>
  <si>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</si>
  <si>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</si>
  <si>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</si>
  <si>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</si>
  <si>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</si>
  <si>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</si>
  <si>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</si>
  <si>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</si>
  <si>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</si>
  <si>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</si>
  <si>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</si>
  <si>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</si>
  <si>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</si>
  <si>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</si>
  <si>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</si>
  <si>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</si>
  <si>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</si>
  <si>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</si>
  <si>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</si>
  <si>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</si>
  <si>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</si>
  <si>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</si>
  <si>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</si>
  <si>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</si>
  <si>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</si>
  <si>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</si>
  <si>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</si>
  <si>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</si>
  <si>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</si>
  <si>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</si>
  <si>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</si>
  <si>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</si>
  <si>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</si>
  <si>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</si>
  <si>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</si>
  <si>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</si>
  <si>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</si>
  <si>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</si>
  <si>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</si>
  <si>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</si>
  <si>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</si>
  <si>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</si>
  <si>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</si>
  <si>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</si>
  <si>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</si>
  <si>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</si>
  <si>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</si>
  <si>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</si>
  <si>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</si>
  <si>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</si>
  <si>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</si>
  <si>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</si>
  <si>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</si>
  <si>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</si>
  <si>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</si>
  <si>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</si>
  <si>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</si>
  <si>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</si>
  <si>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</si>
  <si>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</si>
  <si>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</si>
  <si>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</si>
  <si>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</si>
  <si>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</si>
  <si>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</si>
  <si>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</si>
  <si>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</si>
  <si>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</si>
  <si>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</si>
  <si>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</si>
  <si>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</si>
  <si>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</si>
  <si>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</si>
  <si>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</si>
  <si>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</si>
  <si>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</si>
  <si>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</si>
  <si>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</si>
  <si>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</si>
  <si>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</si>
  <si>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</si>
  <si>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</si>
  <si>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</si>
  <si>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</si>
  <si>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</si>
  <si>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</si>
  <si>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</si>
  <si>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</si>
  <si>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</si>
  <si>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</si>
  <si>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</si>
  <si>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</si>
  <si>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</si>
  <si>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</si>
  <si>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</si>
  <si>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</si>
  <si>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</si>
  <si>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</si>
  <si>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</si>
  <si>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</si>
  <si>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</si>
  <si>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</si>
  <si>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</si>
  <si>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</si>
  <si>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</si>
  <si>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</si>
  <si>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</si>
  <si>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</si>
  <si>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</si>
  <si>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</si>
  <si>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</si>
  <si>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</si>
  <si>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</si>
  <si>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</si>
  <si>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</si>
  <si>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</si>
  <si>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</si>
  <si>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</si>
  <si>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</si>
  <si>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</si>
  <si>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</si>
  <si>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</si>
  <si>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</si>
  <si>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</si>
  <si>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</si>
  <si>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</si>
  <si>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</si>
  <si>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</si>
  <si>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</si>
  <si>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</si>
  <si>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</si>
  <si>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</si>
  <si>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</si>
  <si>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</si>
  <si>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</si>
  <si>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</si>
  <si>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</si>
  <si>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</si>
  <si>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</si>
  <si>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</si>
  <si>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</si>
  <si>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</si>
  <si>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</si>
  <si>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</si>
  <si>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</si>
  <si>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</si>
  <si>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</si>
  <si>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</si>
  <si>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</si>
  <si>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</si>
  <si>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</si>
  <si>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</si>
  <si>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</si>
  <si>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</si>
  <si>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</si>
  <si>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</si>
  <si>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</si>
  <si>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</si>
  <si>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</si>
  <si>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</si>
  <si>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</si>
  <si>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</si>
  <si>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</si>
  <si>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</si>
  <si>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</si>
  <si>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</si>
  <si>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</si>
  <si>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</si>
  <si>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</si>
  <si>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</si>
  <si>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</si>
  <si>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</si>
  <si>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</si>
  <si>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</si>
  <si>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</si>
  <si>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</si>
  <si>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</si>
  <si>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</si>
  <si>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</si>
  <si>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</si>
  <si>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</si>
  <si>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</si>
  <si>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</si>
  <si>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</si>
  <si>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</si>
  <si>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</si>
  <si>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</si>
  <si>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</si>
  <si>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</si>
  <si>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</si>
  <si>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</si>
  <si>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</si>
  <si>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</si>
  <si>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</si>
  <si>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</si>
  <si>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</si>
  <si>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</si>
  <si>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</si>
  <si>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</si>
  <si>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</si>
  <si>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</si>
  <si>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</si>
  <si>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</si>
  <si>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</si>
  <si>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</si>
  <si>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</si>
  <si>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</si>
  <si>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</si>
  <si>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</si>
  <si>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</si>
  <si>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</si>
  <si>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</si>
  <si>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</si>
  <si>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</si>
  <si>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</si>
  <si>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</si>
  <si>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</si>
  <si>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</si>
  <si>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</si>
  <si>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</si>
  <si>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</si>
  <si>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</si>
  <si>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</si>
  <si>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</si>
  <si>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</si>
  <si>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</si>
  <si>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</si>
  <si>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</si>
  <si>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</si>
  <si>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</si>
  <si>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</si>
  <si>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</si>
  <si>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</si>
  <si>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</si>
  <si>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</si>
  <si>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</si>
  <si>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</si>
  <si>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</si>
  <si>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</si>
  <si>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</si>
  <si>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</si>
  <si>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</si>
  <si>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</si>
  <si>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</si>
  <si>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</si>
  <si>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</si>
  <si>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</si>
  <si>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</si>
  <si>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</si>
  <si>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</si>
  <si>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</si>
  <si>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</si>
  <si>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</si>
  <si>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</si>
  <si>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</si>
  <si>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</si>
  <si>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</si>
  <si>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</si>
  <si>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</si>
  <si>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</si>
  <si>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</si>
  <si>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</si>
  <si>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</si>
  <si>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</si>
  <si>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</si>
  <si>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</si>
  <si>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</si>
  <si>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</si>
  <si>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</si>
  <si>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</si>
  <si>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</si>
  <si>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</si>
  <si>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</si>
  <si>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</si>
  <si>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</si>
  <si>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</si>
  <si>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</si>
  <si>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</si>
  <si>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</si>
  <si>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</si>
  <si>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</si>
  <si>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</si>
  <si>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</si>
  <si>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</si>
  <si>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</si>
  <si>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</si>
  <si>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</si>
  <si>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</si>
  <si>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</si>
  <si>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</si>
  <si>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</si>
  <si>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</si>
  <si>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</si>
  <si>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</si>
  <si>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</si>
  <si>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</si>
  <si>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</si>
  <si>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</si>
  <si>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</si>
  <si>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</si>
  <si>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</si>
  <si>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</si>
  <si>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</si>
  <si>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</si>
  <si>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</si>
  <si>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</si>
  <si>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</si>
  <si>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</si>
  <si>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</si>
  <si>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</si>
  <si>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</si>
  <si>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</si>
  <si>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</si>
  <si>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</si>
  <si>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</si>
  <si>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</si>
  <si>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</si>
  <si>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</si>
  <si>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</si>
  <si>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</si>
  <si>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</si>
  <si>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</si>
  <si>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</si>
  <si>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</si>
  <si>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</si>
  <si>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</si>
  <si>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</si>
  <si>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</si>
  <si>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</si>
  <si>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</si>
  <si>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</si>
  <si>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</si>
  <si>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</si>
  <si>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</si>
  <si>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</si>
  <si>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</si>
  <si>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</si>
  <si>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</si>
  <si>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</si>
  <si>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</si>
  <si>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</si>
  <si>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</si>
  <si>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</si>
  <si>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</si>
  <si>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</si>
  <si>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</si>
  <si>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</si>
  <si>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</si>
  <si>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</si>
  <si>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</si>
  <si>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</si>
  <si>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</si>
  <si>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</si>
  <si>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</si>
  <si>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</si>
  <si>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</si>
  <si>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</si>
  <si>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</si>
  <si>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</si>
  <si>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</si>
  <si>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</si>
  <si>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</si>
  <si>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</si>
  <si>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</si>
  <si>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</si>
  <si>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</si>
  <si>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</si>
  <si>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</si>
  <si>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</si>
  <si>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</si>
  <si>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</si>
  <si>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</si>
  <si>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</si>
  <si>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</si>
  <si>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</si>
  <si>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</si>
  <si>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</si>
  <si>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</si>
  <si>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</si>
  <si>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</si>
  <si>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</si>
  <si>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</si>
  <si>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</si>
  <si>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</si>
  <si>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</si>
  <si>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</si>
  <si>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</si>
  <si>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</si>
  <si>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</si>
  <si>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</si>
  <si>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</si>
  <si>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</si>
  <si>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</si>
  <si>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</si>
  <si>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</si>
  <si>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</si>
  <si>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</si>
  <si>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</si>
  <si>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</si>
  <si>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</si>
  <si>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</si>
  <si>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</si>
  <si>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</si>
  <si>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</si>
  <si>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</si>
  <si>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</si>
  <si>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</si>
  <si>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</si>
  <si>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</si>
  <si>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</si>
  <si>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</si>
  <si>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</si>
  <si>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</si>
  <si>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</si>
  <si>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</si>
  <si>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</si>
  <si>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</si>
  <si>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</si>
  <si>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</si>
  <si>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</si>
  <si>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</si>
  <si>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</si>
  <si>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</si>
  <si>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</si>
  <si>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</si>
  <si>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</si>
  <si>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</si>
  <si>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</si>
  <si>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</si>
  <si>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</si>
  <si>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</si>
  <si>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</si>
  <si>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</si>
  <si>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</si>
  <si>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</si>
  <si>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</si>
  <si>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</si>
  <si>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</si>
  <si>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</si>
  <si>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</si>
  <si>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</si>
  <si>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</si>
  <si>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</si>
  <si>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</si>
  <si>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</si>
  <si>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</si>
  <si>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</si>
  <si>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</si>
  <si>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</si>
  <si>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</si>
  <si>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</si>
  <si>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</si>
  <si>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</si>
  <si>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</si>
  <si>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</si>
  <si>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</si>
  <si>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</si>
  <si>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</si>
  <si>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</si>
  <si>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</si>
  <si>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</si>
  <si>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</si>
  <si>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</si>
  <si>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</si>
  <si>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</si>
  <si>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</si>
  <si>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</si>
  <si>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</si>
  <si>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</si>
  <si>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</si>
  <si>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</si>
  <si>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</si>
  <si>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</si>
  <si>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</si>
  <si>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</si>
  <si>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</si>
  <si>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</si>
  <si>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</si>
  <si>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</si>
  <si>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</si>
  <si>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</si>
  <si>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</si>
  <si>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</si>
  <si>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</si>
  <si>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</si>
  <si>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</si>
  <si>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</si>
  <si>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</si>
  <si>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</si>
  <si>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</si>
  <si>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</si>
  <si>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</si>
  <si>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</si>
  <si>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</si>
  <si>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</si>
  <si>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</si>
  <si>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</si>
  <si>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</si>
  <si>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</si>
  <si>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</si>
  <si>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</si>
  <si>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</si>
  <si>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</si>
  <si>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</si>
  <si>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</si>
  <si>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</si>
  <si>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</si>
  <si>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</si>
  <si>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</si>
  <si>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</si>
  <si>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</si>
  <si>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</si>
  <si>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</si>
  <si>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</si>
  <si>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</si>
  <si>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</si>
  <si>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</si>
  <si>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</si>
  <si>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</si>
  <si>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</si>
  <si>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</si>
  <si>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</si>
  <si>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</si>
  <si>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</si>
  <si>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</si>
  <si>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</si>
  <si>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</si>
  <si>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</si>
  <si>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</si>
  <si>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</si>
  <si>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</si>
  <si>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</si>
  <si>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</si>
  <si>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</si>
  <si>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</si>
  <si>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</si>
  <si>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</si>
  <si>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</si>
  <si>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</si>
  <si>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</si>
  <si>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</si>
  <si>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</si>
  <si>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</si>
  <si>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</si>
  <si>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</si>
  <si>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</si>
  <si>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</si>
  <si>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</si>
  <si>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</si>
  <si>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</si>
  <si>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</si>
  <si>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</si>
  <si>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</si>
  <si>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</si>
  <si>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</si>
  <si>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</si>
  <si>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</si>
  <si>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</si>
  <si>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</si>
  <si>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</si>
  <si>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</si>
  <si>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</si>
  <si>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</si>
  <si>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</si>
  <si>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</si>
  <si>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</si>
  <si>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</si>
  <si>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</si>
  <si>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</si>
  <si>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</si>
  <si>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</si>
  <si>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</si>
  <si>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</si>
  <si>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</si>
  <si>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</si>
  <si>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</si>
  <si>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</si>
  <si>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</si>
  <si>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</si>
  <si>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</si>
  <si>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</si>
  <si>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</si>
  <si>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</si>
  <si>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</si>
  <si>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</si>
  <si>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</si>
  <si>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</si>
  <si>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</si>
  <si>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</si>
  <si>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</si>
  <si>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</si>
  <si>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</si>
  <si>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</si>
  <si>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</si>
  <si>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</si>
  <si>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</si>
  <si>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</si>
  <si>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</si>
  <si>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</si>
  <si>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</si>
  <si>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</si>
  <si>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</si>
  <si>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</si>
  <si>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</si>
  <si>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</si>
  <si>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</si>
  <si>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</si>
  <si>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</si>
  <si>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</si>
  <si>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</si>
  <si>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</si>
  <si>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</si>
  <si>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</si>
  <si>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</si>
  <si>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</si>
  <si>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</si>
  <si>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</si>
  <si>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</si>
  <si>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</si>
  <si>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</si>
  <si>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</si>
  <si>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</si>
  <si>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</si>
  <si>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</si>
  <si>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</si>
  <si>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</si>
  <si>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</si>
  <si>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</si>
  <si>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</si>
  <si>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</si>
  <si>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</si>
  <si>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</si>
  <si>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</si>
  <si>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</si>
  <si>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</si>
  <si>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</si>
  <si>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</si>
  <si>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</si>
  <si>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</si>
  <si>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</si>
  <si>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</si>
  <si>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</si>
  <si>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</si>
  <si>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</si>
  <si>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</si>
  <si>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</si>
  <si>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</si>
  <si>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</si>
  <si>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</si>
  <si>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</si>
  <si>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</si>
  <si>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</si>
  <si>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</si>
  <si>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</si>
  <si>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</si>
  <si>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</si>
  <si>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</si>
  <si>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</si>
  <si>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</si>
  <si>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</si>
  <si>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</si>
  <si>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</si>
  <si>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</si>
  <si>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</si>
  <si>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</si>
  <si>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</si>
  <si>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</si>
  <si>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</si>
  <si>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</si>
  <si>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</si>
  <si>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</si>
  <si>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</si>
  <si>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</si>
  <si>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</si>
  <si>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</si>
  <si>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</si>
  <si>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</si>
  <si>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</si>
  <si>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</si>
  <si>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</si>
  <si>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</si>
  <si>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</si>
  <si>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</si>
  <si>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</si>
  <si>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</si>
  <si>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</si>
  <si>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</si>
  <si>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</si>
  <si>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</si>
  <si>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</si>
  <si>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</si>
  <si>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</si>
  <si>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</si>
  <si>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</si>
  <si>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</si>
  <si>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</si>
  <si>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</si>
  <si>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</si>
  <si>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</si>
  <si>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</si>
  <si>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</si>
  <si>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</si>
  <si>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</si>
  <si>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</si>
  <si>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</si>
  <si>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</si>
  <si>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</si>
  <si>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</si>
  <si>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</si>
  <si>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</si>
  <si>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</si>
  <si>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</si>
  <si>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</si>
  <si>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</si>
  <si>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</si>
  <si>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</si>
  <si>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</si>
  <si>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</si>
  <si>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</si>
  <si>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</si>
  <si>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</si>
  <si>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</si>
  <si>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</si>
  <si>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</si>
  <si>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</si>
  <si>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</si>
  <si>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</si>
  <si>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</si>
  <si>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</si>
  <si>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</si>
  <si>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</si>
  <si>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</si>
  <si>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</si>
  <si>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</si>
  <si>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</si>
  <si>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</si>
  <si>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</si>
  <si>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</si>
  <si>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</si>
  <si>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</si>
  <si>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</si>
  <si>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</si>
  <si>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</si>
  <si>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</si>
  <si>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</si>
  <si>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</si>
  <si>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</si>
  <si>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</si>
  <si>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</si>
  <si>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</si>
  <si>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</si>
  <si>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</si>
  <si>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</si>
  <si>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</si>
  <si>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</si>
  <si>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</si>
  <si>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</si>
  <si>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</si>
  <si>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</si>
  <si>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</si>
  <si>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</si>
  <si>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</si>
  <si>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</si>
  <si>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</si>
  <si>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</si>
  <si>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</si>
  <si>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</si>
  <si>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</si>
  <si>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</si>
  <si>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</si>
  <si>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</si>
  <si>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</si>
  <si>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</si>
  <si>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</si>
  <si>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</si>
  <si>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</si>
  <si>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</si>
  <si>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</si>
  <si>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</si>
  <si>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</si>
  <si>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</si>
  <si>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</si>
  <si>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</si>
  <si>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</si>
  <si>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</si>
  <si>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</si>
  <si>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</si>
  <si>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</si>
  <si>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</si>
  <si>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</si>
  <si>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</si>
  <si>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</si>
  <si>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</si>
  <si>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</si>
  <si>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</si>
  <si>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</si>
  <si>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</si>
  <si>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</si>
  <si>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</si>
  <si>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</si>
  <si>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</si>
  <si>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</si>
  <si>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</si>
  <si>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</si>
  <si>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</si>
  <si>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</si>
  <si>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</si>
  <si>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</si>
  <si>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</si>
  <si>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</si>
  <si>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</si>
  <si>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</si>
  <si>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</si>
  <si>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</si>
  <si>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</si>
  <si>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</si>
  <si>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</si>
  <si>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</si>
  <si>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</si>
  <si>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</si>
  <si>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</si>
  <si>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</si>
  <si>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</si>
  <si>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</si>
  <si>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</si>
  <si>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</si>
  <si>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</si>
  <si>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</si>
  <si>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</si>
  <si>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</si>
  <si>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</si>
  <si>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</si>
  <si>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</si>
  <si>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</si>
  <si>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</si>
  <si>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</si>
  <si>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</si>
  <si>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</si>
  <si>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</si>
  <si>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</si>
  <si>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</si>
  <si>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</si>
  <si>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</si>
  <si>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</si>
  <si>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</si>
  <si>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</si>
  <si>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</si>
  <si>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</si>
  <si>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</si>
  <si>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</si>
  <si>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</si>
  <si>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</si>
  <si>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</si>
  <si>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</si>
  <si>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</si>
  <si>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</si>
  <si>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</si>
  <si>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</si>
  <si>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</si>
  <si>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</si>
  <si>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</si>
  <si>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</si>
  <si>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</si>
  <si>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</si>
  <si>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</si>
  <si>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</si>
  <si>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</si>
  <si>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</si>
  <si>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</si>
  <si>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</si>
  <si>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</si>
  <si>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</si>
  <si>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</si>
  <si>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</si>
  <si>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</si>
  <si>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</si>
  <si>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</si>
  <si>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</si>
  <si>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</si>
  <si>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</si>
  <si>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</si>
  <si>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</si>
  <si>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</si>
  <si>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</si>
  <si>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</si>
  <si>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</si>
  <si>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</si>
  <si>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</si>
  <si>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</si>
  <si>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</si>
  <si>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</si>
  <si>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</si>
  <si>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</si>
  <si>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</si>
  <si>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</si>
  <si>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</si>
  <si>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</si>
  <si>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</si>
  <si>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</si>
  <si>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</si>
  <si>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</si>
  <si>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</si>
  <si>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</si>
  <si>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</si>
  <si>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</si>
  <si>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</si>
  <si>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</si>
  <si>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</si>
  <si>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</si>
  <si>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</si>
  <si>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</si>
  <si>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</si>
  <si>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</si>
  <si>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</si>
  <si>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</si>
  <si>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</si>
  <si>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</si>
  <si>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</si>
  <si>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</si>
  <si>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</si>
  <si>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</si>
  <si>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tető javítás</t>
  </si>
  <si>
    <t>lépcsők javítása</t>
  </si>
  <si>
    <t>Települési önkormányzatok köznevelési feladatainak egyéb támogatása</t>
  </si>
  <si>
    <t>4. számú tájékoztató tábla</t>
  </si>
  <si>
    <t>3. számú tájékoztató tábla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</si>
  <si>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</si>
  <si>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</si>
  <si>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</si>
  <si>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</si>
  <si>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</si>
  <si>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</si>
  <si>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</si>
  <si>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</si>
  <si>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</si>
  <si>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</si>
  <si>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kémény bontás</t>
  </si>
  <si>
    <t>szigetelés</t>
  </si>
  <si>
    <t>Csobogó sétány játszótér (391/2 hrsz)</t>
  </si>
  <si>
    <t xml:space="preserve">térfigyelő kamera </t>
  </si>
  <si>
    <t>karbantartás</t>
  </si>
  <si>
    <t>Közösségi ház és könyvtár -  Béke út 4. (961/3 hrsz)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</si>
  <si>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</si>
  <si>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</si>
  <si>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</si>
  <si>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</si>
  <si>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</si>
  <si>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</si>
  <si>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</si>
  <si>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</si>
  <si>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</si>
  <si>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</si>
  <si>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</si>
  <si>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</si>
  <si>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</si>
  <si>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</si>
  <si>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</si>
  <si>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</si>
  <si>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</si>
  <si>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</si>
  <si>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</si>
  <si>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</si>
  <si>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</si>
  <si>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</si>
  <si>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</si>
  <si>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</si>
  <si>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</si>
  <si>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</si>
  <si>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</si>
  <si>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</si>
  <si>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</si>
  <si>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</si>
  <si>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</si>
  <si>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</si>
  <si>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</si>
  <si>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</si>
  <si>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</si>
  <si>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</si>
  <si>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</si>
  <si>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</si>
  <si>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</si>
  <si>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</si>
  <si>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</si>
  <si>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</si>
  <si>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</si>
  <si>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</si>
  <si>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</si>
  <si>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</si>
  <si>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</si>
  <si>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</si>
  <si>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</si>
  <si>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</si>
  <si>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</si>
  <si>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</si>
  <si>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</si>
  <si>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</si>
  <si>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</si>
  <si>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</si>
  <si>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</si>
  <si>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</si>
  <si>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</si>
  <si>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</si>
  <si>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</si>
  <si>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</si>
  <si>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</si>
  <si>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</si>
  <si>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</si>
  <si>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</si>
  <si>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</si>
  <si>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</si>
  <si>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belső ajtók cseréje</t>
  </si>
  <si>
    <t>udvaron lévő szőlőprés felújítás</t>
  </si>
  <si>
    <t>térkövezés</t>
  </si>
  <si>
    <t>hátsó udvar kialakítása</t>
  </si>
  <si>
    <t>főlépcső és korlát</t>
  </si>
  <si>
    <t>kőház előtti korlát</t>
  </si>
  <si>
    <t>udvar térkövezés</t>
  </si>
  <si>
    <t>funkció rendezés</t>
  </si>
  <si>
    <t>felülvizsgálatok</t>
  </si>
  <si>
    <t>parkoló fejlesztés Fő út mellett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</si>
  <si>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</si>
  <si>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</si>
  <si>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</si>
  <si>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</si>
  <si>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</si>
  <si>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</si>
  <si>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</si>
  <si>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</si>
  <si>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</si>
  <si>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</si>
  <si>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</si>
  <si>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</si>
  <si>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</si>
  <si>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</si>
  <si>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</si>
  <si>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</si>
  <si>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</si>
  <si>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</si>
  <si>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</si>
  <si>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</si>
  <si>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</si>
  <si>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b/1. Az Ök. 2016. évi fejlesztési, felújítási, karbantartási terve szerinti kiadásokra</t>
  </si>
  <si>
    <t>2017. évi 
terv</t>
  </si>
  <si>
    <t>2019. évi előirányzat</t>
  </si>
  <si>
    <t>a 2017. évi költségvetés Környezetvédelmi Alapjának felhasználására</t>
  </si>
  <si>
    <t>Áru- és készletértékesítés / közvetett szolgáltatás</t>
  </si>
  <si>
    <t>Költségvetési szerv
megnevezése</t>
  </si>
  <si>
    <t>új játék vásárlás</t>
  </si>
  <si>
    <t>karácsonyi díszvilágítás meglévő</t>
  </si>
  <si>
    <t>karácsonyi díszvilágítás új</t>
  </si>
  <si>
    <t>díszkút és padok</t>
  </si>
  <si>
    <t>főbejárati ajtó csere</t>
  </si>
  <si>
    <t>Nádas utcai híd</t>
  </si>
  <si>
    <t>vasbeton szerkezet építése</t>
  </si>
  <si>
    <t>Mogyoró, Barackvirág utca</t>
  </si>
  <si>
    <t>vízbevezetés</t>
  </si>
  <si>
    <t>2017</t>
  </si>
  <si>
    <t>Teleplésrendezési funkciók</t>
  </si>
  <si>
    <t>Polgármesteri Hivatal - Fő út 1. (618/1 hrsz)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</si>
  <si>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</si>
  <si>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</si>
  <si>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</si>
  <si>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</si>
  <si>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villám- és érintésvédelem felülvizsgálata</t>
  </si>
  <si>
    <t>b/3. Rágcsálómentesítés</t>
  </si>
  <si>
    <t>c/1. Turisztikai táblák karbantartása, újak telepítése, utcatáblák pótlása</t>
  </si>
  <si>
    <t>2017. évi Környezetvédelmi Alap</t>
  </si>
  <si>
    <t>2019.</t>
  </si>
  <si>
    <t>Csobánka Község Önkormányzat adósságot keletkeztető ügyletekből 
és kezességvállalásokból fennálló kötelezettségei</t>
  </si>
  <si>
    <t>2017.01.01-jétől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</si>
  <si>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</si>
  <si>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</si>
  <si>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</si>
  <si>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</si>
  <si>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</si>
  <si>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</si>
  <si>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Előirányzat-felhasználási terv
2017. évre</t>
  </si>
  <si>
    <t>Komplex felújítási-fejlesztési terv - 2017.</t>
  </si>
  <si>
    <t>Önkormányzati tulajdonú bérlakás</t>
  </si>
  <si>
    <t>sorszám</t>
  </si>
  <si>
    <t>hrsz.</t>
  </si>
  <si>
    <t>munkanem</t>
  </si>
  <si>
    <t>javasolt előirányzat</t>
  </si>
  <si>
    <t>Fő út 63. II. lakás</t>
  </si>
  <si>
    <t>664/2</t>
  </si>
  <si>
    <t>Középületek, közösségi terek</t>
  </si>
  <si>
    <t>Csobogó sétány</t>
  </si>
  <si>
    <t>391/2</t>
  </si>
  <si>
    <t>(játszótér)</t>
  </si>
  <si>
    <t xml:space="preserve">vízbevezetés </t>
  </si>
  <si>
    <t xml:space="preserve">Fő út 11. </t>
  </si>
  <si>
    <t>festés (csoportszobák)</t>
  </si>
  <si>
    <t>(óvoda)</t>
  </si>
  <si>
    <t>Fő út 1.</t>
  </si>
  <si>
    <t>618/1</t>
  </si>
  <si>
    <t xml:space="preserve">belső ajtók cseréje (8) </t>
  </si>
  <si>
    <t>(hivatal)</t>
  </si>
  <si>
    <t xml:space="preserve">festés </t>
  </si>
  <si>
    <t>udvaron lévő szőlőprés felújítása</t>
  </si>
  <si>
    <t xml:space="preserve">címerek, feliratok </t>
  </si>
  <si>
    <t>Garázs köz</t>
  </si>
  <si>
    <t>661/1</t>
  </si>
  <si>
    <t>Mese lépcső</t>
  </si>
  <si>
    <t>Béke út 8.</t>
  </si>
  <si>
    <t>8/1</t>
  </si>
  <si>
    <t>(iskola)</t>
  </si>
  <si>
    <t>(Nemzetiségek Háza)</t>
  </si>
  <si>
    <t>Sportpálya</t>
  </si>
  <si>
    <t>406/125</t>
  </si>
  <si>
    <t>kerítés mázolás</t>
  </si>
  <si>
    <t>padok, kapuk karbantartás</t>
  </si>
  <si>
    <t>hidak</t>
  </si>
  <si>
    <t>Béke út 4.</t>
  </si>
  <si>
    <t>961/3</t>
  </si>
  <si>
    <t>(Közösségi Ház)</t>
  </si>
  <si>
    <t>tornaszoba önerő</t>
  </si>
  <si>
    <t>településrendezési funkcíók</t>
  </si>
  <si>
    <t>villám- és érintésvédelem</t>
  </si>
  <si>
    <t>parkoló fejlesztés</t>
  </si>
  <si>
    <t>Fő út mellett</t>
  </si>
  <si>
    <t>K I M U T A T Á S
a 2017. évi működési célú pénzeszközátadásokról, céljellegű támogatásokról</t>
  </si>
  <si>
    <t>2016. évi   teljesítés</t>
  </si>
  <si>
    <t>Civil Alap</t>
  </si>
  <si>
    <t>Önszerveződő közösségek támogatása</t>
  </si>
  <si>
    <t>Sportfeladatok ellátása</t>
  </si>
  <si>
    <t>Gördülő költségvetési terv 2017-2019 évekre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</si>
  <si>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</si>
  <si>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</si>
  <si>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</si>
  <si>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</si>
  <si>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</si>
  <si>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r>
      <t>Borostyán Természetvédő Óvoda - Fő út 11.</t>
    </r>
    <r>
      <rPr>
        <sz val="10"/>
        <color rgb="FFFF0000"/>
        <rFont val="Times New Roman"/>
        <family val="1"/>
        <charset val="238"/>
      </rPr>
      <t xml:space="preserve"> </t>
    </r>
  </si>
  <si>
    <t>Csobogó sétány - játszótér (391/2 hrsz)</t>
  </si>
  <si>
    <r>
      <t>Nemzetiségek háza - Béke út 8.</t>
    </r>
    <r>
      <rPr>
        <sz val="10"/>
        <color rgb="FFFF0000"/>
        <rFont val="Times New Roman"/>
        <family val="1"/>
        <charset val="238"/>
      </rPr>
      <t xml:space="preserve"> </t>
    </r>
  </si>
  <si>
    <t>2017. évi 
eredeti előirányzat</t>
  </si>
  <si>
    <t>2017. évi módosított előirányzat</t>
  </si>
  <si>
    <t>Kelta-árok</t>
  </si>
  <si>
    <t>közvilágítás</t>
  </si>
  <si>
    <t>telekvásárlás</t>
  </si>
  <si>
    <t>munkatársi székek</t>
  </si>
  <si>
    <t>Vízügyi engedélyezési terv</t>
  </si>
  <si>
    <t>Mogyoró utca (607/17 hrsz)</t>
  </si>
  <si>
    <t>vízellátás</t>
  </si>
  <si>
    <t>térfigyelő kamera</t>
  </si>
  <si>
    <t>mobilszínpad</t>
  </si>
  <si>
    <t>Mogyoró, Barackvirág, Akácos utca</t>
  </si>
  <si>
    <t>5 db közterületi kamera</t>
  </si>
  <si>
    <t>2 db fedett buszmegálló</t>
  </si>
  <si>
    <t>informatikai beszerzés internethez</t>
  </si>
  <si>
    <t>fűnyíró, fűkasza, eszközök beszerzése</t>
  </si>
  <si>
    <t>Pulzus Plusz Kft. Települési térfigyelő hálózat fejlesztése</t>
  </si>
  <si>
    <t>hivatal világítás csere</t>
  </si>
  <si>
    <t>hátsó bejárati lépcső</t>
  </si>
  <si>
    <t>kerékpártároló</t>
  </si>
  <si>
    <t>fűtés korszerűsítés, éves karbantartási díj</t>
  </si>
  <si>
    <t>2017. évi eredeti előirányzat</t>
  </si>
  <si>
    <t xml:space="preserve">  Államháztartáson belüli megelőlegezés visszafizetése</t>
  </si>
  <si>
    <t xml:space="preserve">   Államháztartáson belüli megelőlegezés visszafizetése</t>
  </si>
  <si>
    <t>Államháztartáson belüli megelőlegezés visszafizetése</t>
  </si>
  <si>
    <t>díszsírkert bővítése</t>
  </si>
  <si>
    <t>Egyéb működési bevétel</t>
  </si>
  <si>
    <t>Általános Iskola - Vörösvári út 10.</t>
  </si>
  <si>
    <t>konyha felújítás</t>
  </si>
  <si>
    <t>hűtőszekrény</t>
  </si>
  <si>
    <t>irattartó szekrény</t>
  </si>
  <si>
    <t>DMRV Zrt. Szivattyúátemelő</t>
  </si>
  <si>
    <t>ÁSP kártyaolvasó</t>
  </si>
  <si>
    <t>multifunkciónális gép</t>
  </si>
  <si>
    <t>kis traktor</t>
  </si>
  <si>
    <t>Közösségi tér és könyvtár -  Béke út 4. (961/3 hrsz)</t>
  </si>
  <si>
    <t>Államháztartáson belüli megelőlegezés</t>
  </si>
  <si>
    <t>11.3.</t>
  </si>
  <si>
    <t>Felhalmozási célú finanszírozási bevételek</t>
  </si>
  <si>
    <t xml:space="preserve">Egyéb támogatás </t>
  </si>
  <si>
    <t>utak FAE technológiás javítása</t>
  </si>
  <si>
    <t>PM­_EUALAPELLATAS_2017 önerő</t>
  </si>
  <si>
    <t>PM¬_CSAPVÍZGAZD_2017 önerő</t>
  </si>
  <si>
    <t>mikrohullámú sütő</t>
  </si>
  <si>
    <t>2017. évi teljesítés
(Ft)</t>
  </si>
  <si>
    <t>2017. évi teljesítés
(%)</t>
  </si>
  <si>
    <t>hómok- és sótároló</t>
  </si>
  <si>
    <t>karácsonyi díszkivilágítás</t>
  </si>
  <si>
    <t>magasnyomású mosó</t>
  </si>
  <si>
    <t>Padok, kerékpártároló, hulladékgyűjtő, ivókút beszerzés</t>
  </si>
  <si>
    <t>pendrive</t>
  </si>
  <si>
    <t>bojler beszerzés</t>
  </si>
  <si>
    <t>kazán csere</t>
  </si>
  <si>
    <t>térkövezés*</t>
  </si>
  <si>
    <t>* A Polgármesteri Hivatal térkővezés teljesítési adata a felújítások között szerepel.</t>
  </si>
  <si>
    <t>udvar térkövezés**</t>
  </si>
  <si>
    <t>** A Közösségi Tér és Könyvtár térkövezés teljesítési adata a felújítások között szerepel.</t>
  </si>
  <si>
    <t>Fő tér 7. (Csepp Tanoda) felújítás kompenzáció</t>
  </si>
  <si>
    <t>Értéktípus: Forint</t>
  </si>
  <si>
    <t>Előző időszak</t>
  </si>
  <si>
    <t>Módosítások</t>
  </si>
  <si>
    <t>Tárgyidőszak</t>
  </si>
  <si>
    <t>1</t>
  </si>
  <si>
    <t>3</t>
  </si>
  <si>
    <t>4</t>
  </si>
  <si>
    <t>5</t>
  </si>
  <si>
    <t>A/I/1 Vagyoni értékű jogok (111,118-ból,119-ből)</t>
  </si>
  <si>
    <t/>
  </si>
  <si>
    <t>A/I/2 Szellemi termékek (112,118-ból,119-ből)</t>
  </si>
  <si>
    <t>A/I/3 Immateriális javak értékhelyesbítése (116)</t>
  </si>
  <si>
    <t>A/I Immateriális javak (=A/I/1+A/I/2+A/I/3) (11)  (=01+02+03)</t>
  </si>
  <si>
    <t>A/II/1 Ingatlanok és a kapcsolódó vagyoni értékű jogok (121,122,128,129)</t>
  </si>
  <si>
    <t>A/II/2 Gépek, berendezések, felszerelések, járművek (131,138,139)</t>
  </si>
  <si>
    <t>6</t>
  </si>
  <si>
    <t>A/II/3 Tenyészállatok (141,148,149)</t>
  </si>
  <si>
    <t>7</t>
  </si>
  <si>
    <t>A/II/4 Beruházások, felújítások (15)</t>
  </si>
  <si>
    <t>8</t>
  </si>
  <si>
    <t>A/II/5 Tárgyi eszközök értékhelyesbítése (126,136,146)</t>
  </si>
  <si>
    <t>9</t>
  </si>
  <si>
    <t>A/II Tárgyi eszközök (=A/II/1+...+A/II/5) (12-15) (=05+..+09)</t>
  </si>
  <si>
    <t>10</t>
  </si>
  <si>
    <t>A/III/1 Tartós részesedések (=A/III/1a+...+A/III/1e) (161,162,163,164,165,168) (=12+...+16)</t>
  </si>
  <si>
    <t>11</t>
  </si>
  <si>
    <t>A/III/1a - ebből: tartós részesedések jegybankban (161, 168-ból)</t>
  </si>
  <si>
    <t>12</t>
  </si>
  <si>
    <t>A/III/1b - ebből: tartós részesedések nem pénzügyi vállalkozásban (162, 168-ból)</t>
  </si>
  <si>
    <t>13</t>
  </si>
  <si>
    <t>A/III/1c - ebből: tartós részesedésel pénzügyi vállalkozásban (163, 168-ból)</t>
  </si>
  <si>
    <t>14</t>
  </si>
  <si>
    <t>A/III/1d - ebből: tartós részesedések társulásban (164, 168-ból)</t>
  </si>
  <si>
    <t>15</t>
  </si>
  <si>
    <t>A/III/1e - ebből: egyéb tartós részesedések (165, 168-ból)</t>
  </si>
  <si>
    <t>A/III/2 Tartós hitelviszonyt megtestesítő értékpapírok (&gt;=A/III/2a+A/III/2/b) (17, 178-ból)</t>
  </si>
  <si>
    <t>A/III Befektetett pénzügyi eszközök (=A/III/1+A/III/2+A/III/3) (16,17)   (=11+17+20)</t>
  </si>
  <si>
    <t>A/IV/1 Koncesszióba, vagyonkezelésbe adott eszközök (=A/IV/1a+A/IV/1b+A/IV/1c) (181,182,183,184,185,187,188,189) (=23+24+25)</t>
  </si>
  <si>
    <t>A/IV/1a - ebből: immateriális javak (181, 188-ból, 189-ből)</t>
  </si>
  <si>
    <t>A/IV/1b - ebből: tárgyi eszközök (182, 183, 184, 187-ből, 188-ból, 189-ből)</t>
  </si>
  <si>
    <t>A/IV/1c - ebből: tartós részesedések, tartós hitelviszonyt megtestesítő értékpapírok (185, 187-ből)</t>
  </si>
  <si>
    <t>A/IV/2 Koncesszióba, vagyonkezelésbe adott eszközök értékhelyesbítése (186)</t>
  </si>
  <si>
    <t>A/IV Koncesszióba, vagyonkezelésbe adott eszközök (=A/IV/1+A/IV/2) (18)  (=22+26)</t>
  </si>
  <si>
    <t>A) NEMZETI VAGYONBA TARTOZÓ BEFEKTETETT ESZKÖZÖK (=A/I+A/II+A/III+A/IV) (1)  (=04+10+21+27)</t>
  </si>
  <si>
    <t>B/I Készletek (=B/I/1+...+B/I/5) (21,22,23)  (=29+...+33)</t>
  </si>
  <si>
    <t>B/II Értékpapírok (=B/II/1+B/II/2) (24)  (=35+36)</t>
  </si>
  <si>
    <t>B) NEMZETI VAGYONBA TARTOZÓ FORGÓESZKÖZÖK (= B/I+B/II) (2)  (=34+42)</t>
  </si>
  <si>
    <t>C/I/1 Éven túli lejáratú forint lekötött bankbetétek (3111, 318-ból)</t>
  </si>
  <si>
    <t>C/I/2 Éven túli lejáratú deviza lekötött bankbetétek (3112, 318-ból)</t>
  </si>
  <si>
    <t>C/I Lekötött bankbetétek (=C/I/1+C/I/2) (311) (=44+45)</t>
  </si>
  <si>
    <t>C/II/1 Forintpénztár (321)</t>
  </si>
  <si>
    <t>36 595</t>
  </si>
  <si>
    <t>15 060</t>
  </si>
  <si>
    <t>C/II/2 Valutapénztár (322)</t>
  </si>
  <si>
    <t>C/II/3 Betétkönyvek, csekkek, elektronikus pénzeszközök (323)</t>
  </si>
  <si>
    <t>C/II Pénztárak, csekkek, betétkönyvek (=C/II/1+C/II/2+C/II/3) (32)  (=47+48+49)</t>
  </si>
  <si>
    <t>C/III/1 Kincstáron kívüli forintszámlák (3311, 3318)</t>
  </si>
  <si>
    <t>91 131</t>
  </si>
  <si>
    <t>184 777</t>
  </si>
  <si>
    <t>C/III/2 Kincstárban vezetett forintszámlák (3312)</t>
  </si>
  <si>
    <t>C/III Forintszámlák (=C/III/1+C/III/2) (331) (=51+52)</t>
  </si>
  <si>
    <t>C/IV/1 Kincstáron kívüli devizaszámlák (3321, 3328)</t>
  </si>
  <si>
    <t>C/IV/2 Kincstárban vezetett devizaszámlák (3322)</t>
  </si>
  <si>
    <t>C/IV Devizaszámlák (=CIV/1+C/IV/2) (33) (=54+55)</t>
  </si>
  <si>
    <t>C) PÉNZESZKÖZÖK (=C/I+...+C/IV) (31,32,33,34)  (=46+50+53+56)</t>
  </si>
  <si>
    <t>127 726</t>
  </si>
  <si>
    <t>199 837</t>
  </si>
  <si>
    <t>D/I/4 Költségvetési évben esedékes követelések működési bevételre (=D/I/4a+...+D/I/4i) (3514, 3582-ből) (=70+...+78)</t>
  </si>
  <si>
    <t>D/I/4a - ebből: költségvetési évben esedékes követelések készletértékesítés ellenértékére, szolgáltatások ellenértékére, közvetített szolgáltatások ellenértékére (3514-ből, 3582-ből, illetve 094012, 094022, 094032 számlákból a költségvetési évben esedékes követelés)</t>
  </si>
  <si>
    <t>D/I/4b - ebből: költségvetési évben esedékes követelések tulajdonosi bevételekre (3514-ből, 3582-ből, illetve 094042-ből a költségvetési évben esedékes követelés)</t>
  </si>
  <si>
    <t>D/I/4c - ebből: költségvetési évben esedékes követelések ellátási díjakra (3514-ből, 3582-ből, illetve 094052-ből a költségvetési évben esedékes követelés)</t>
  </si>
  <si>
    <t>D/I/4d - ebből: költségvetési évben esedékes követelések kiszámlázott általános forgalmi adóra (3514-ből, 3582-ből, illetve 094062-ből a költségvetési évben esedékes követelés)</t>
  </si>
  <si>
    <t>D/I/5 Költségvetési évben esedékes követelések felhalmozási bevételre (=D/I/5a+...+D/I/5e) (3515, 3583-ból) (=80+...+84)</t>
  </si>
  <si>
    <t>D/I/6 Költségvetési évben esedékes követelések működési célú átvett pénzeszközre (&gt;=D/I/6a+D/I/6b+D/I/6c) (3516, 3584-ből)</t>
  </si>
  <si>
    <t>D/I/7 Költségvetési évben esedékes követelések felhalmozási célú átvett pénzeszközre (&gt;=D/I/7a+D/I/7b+D/I/7c) (3517, 3585-ből)</t>
  </si>
  <si>
    <t>D/I/8 Költségvetési évben esedékes követelések finanszírozási bevételekre (&gt;=D/I/8a+...+D/I/8g) (3518, 3586-ból) (&gt;=94+...100)</t>
  </si>
  <si>
    <t>D/I Költségvetési évben esedékes követelések (=D/I/1+...+D/I/8) (351)  (=58+60+62+69+79+85+89+93)</t>
  </si>
  <si>
    <t>D/II/1 Költségvetési évet követően esedékes követelések működési célú támogatások bevételeire államháztartáson belülről (&gt;=D/II/1a) (3521)</t>
  </si>
  <si>
    <t>D/II/2 Költségvetési évet követően esedékes követelések felhalmozási célú támogatások bevételeire államháztartáson belülről (&gt;=D/II/2a) (3522)</t>
  </si>
  <si>
    <t>D/II/3 Költségvetési évet követően esedékes követelések közhatalmi bevételre (=D/II/3a+...+D/II/3f) (3523, 3581-ből) (=107+...+112)</t>
  </si>
  <si>
    <t>D/II/4 Költségvetési évet követően esedékes követelések működési bevételre (=D/II/4a+...+D/II/4i) (3524, 3582-ből) (=114+...+122)</t>
  </si>
  <si>
    <t>D/II/5 Költségvetési évet követően esedékes követelések felhalmozási bevételre (=D/II/5a+...+D/II/5e) (3525, 3583-ból) (=124+...+128)</t>
  </si>
  <si>
    <t>D/II/6 Költségvetési évet követően esedékes követelések működési célú átvett pénzeszközre (&gt;=D/II/6a+D/II/6b+D/II/6c) (3526, 3584-ből)</t>
  </si>
  <si>
    <t>D/II/7 Költségvetési évet követően esedékes követelések felhalmozási célú átvett pénzeszközre (&gt;=D/II/7a+D/II/7b+D/II/7c) (3527, 3585-ből)</t>
  </si>
  <si>
    <t>D/II/8 Költségvetési évet követően esedékes követelések finanszírozási bevételekre (=D/II/8a+D/II/8b+D/II/8c+D/II/8d) (3528, 3586-ból) (=138+...+141)</t>
  </si>
  <si>
    <t>D/II Költségvetési évet követően esedékes követelések (=D/II/1+...+D/II/8) (352) (=102+104+106+113+123+129+133+137)</t>
  </si>
  <si>
    <t>D/III/1 Adott előlegek (=D/III/1a+...+D/III/1f) (3651) (=144+...+149)</t>
  </si>
  <si>
    <t>19 354</t>
  </si>
  <si>
    <t>1 000</t>
  </si>
  <si>
    <t>D/III/1e - ebből: foglalkoztatottaknak adott előlegek (36515, 365185)</t>
  </si>
  <si>
    <t>D/III Követelés jellegű sajátos elszámolások (=D/III/1+...+D/III/9) (365) (=143+150+...+157)</t>
  </si>
  <si>
    <t>D) KÖVETELÉSEK  (=D/I+D/II+D/III) (35,365) (=102+142+158)</t>
  </si>
  <si>
    <t>E/I Előzetesen felszámított általános forgalmi adó elszámolása (3641) (=E/I/1+...+E/I/4) (=160+...+163)</t>
  </si>
  <si>
    <t>E/II Fizetendő általános forgalmi adó elszámolása (3642) (=E/II/1+E/II/2) (=165+166)</t>
  </si>
  <si>
    <t>E/III Egyéb sajátos eszközoldali elszámolások (366) (=E/III/1+E/III2) (=168+169)</t>
  </si>
  <si>
    <t>E) EGYÉB SAJÁTOS ESZKÖZOLDALI  ELSZÁMOLÁSOK (=E/I+E/II+E/III)(364,366) (=164+167+170)</t>
  </si>
  <si>
    <t>F/1  Eredményszemléletű bevételek aktív időbeli elhatárolása (371)</t>
  </si>
  <si>
    <t>F/2 Költségek, ráfordítások aktív időbeli elhatárolása (372)</t>
  </si>
  <si>
    <t>F/3 Halasztott ráfordítások (373)</t>
  </si>
  <si>
    <t>F) AKTÍV IDŐBELI  ELHATÁROLÁSOK  (=F/1+F/2+F/3) (37)  (=172+173+174)</t>
  </si>
  <si>
    <t>ESZKÖZÖK ÖSSZESEN (=A+B+C+D+E+F) (=28+43+57+159+171+175)</t>
  </si>
  <si>
    <t>147 080</t>
  </si>
  <si>
    <t>200 837</t>
  </si>
  <si>
    <t>G/I  Nemzeti vagyon induláskori értéke (411)</t>
  </si>
  <si>
    <t>G/II Nemzeti vagyon változásai (412)</t>
  </si>
  <si>
    <t>G/III/1 Megszűnés miatt átvett lekötött betétek könyv szerinti értéke és változása (4131)</t>
  </si>
  <si>
    <t>G/III/2 Megszűnés miatt átvett egyéb pénzeszközök könyv szerinti értéke és változása (4132)</t>
  </si>
  <si>
    <t xml:space="preserve">G/III/3 Pénzeszközön kívüli egyéb eszközök induláskori értéke és változásai (4133)
</t>
  </si>
  <si>
    <t>71 000</t>
  </si>
  <si>
    <t xml:space="preserve">G/III Egyéb eszközök induláskori értéke és változásai (413) (=G/III/1+G/III/2+/G/III/3) (179+180+181)
</t>
  </si>
  <si>
    <t>G/IV Felhalmozott eredmény (414)</t>
  </si>
  <si>
    <t>-359 000</t>
  </si>
  <si>
    <t>76 080</t>
  </si>
  <si>
    <t>G/V Eszközök értékhelyesbítésének forrása (415)</t>
  </si>
  <si>
    <t>G/VI Mérleg szerinti eredmény (416 illetve eredményszámlákból)</t>
  </si>
  <si>
    <t>435 080</t>
  </si>
  <si>
    <t>-3 657 117</t>
  </si>
  <si>
    <t>G) SAJÁT TŐKE  (= G/I+...+G/VI) (41) (=177+178+182+...+185)</t>
  </si>
  <si>
    <t>-3 510 037</t>
  </si>
  <si>
    <t>H/I Költségvetési évben esedékes kötelezettségek (=H/I/1+...+H/I/9) (421) (=187+...+191+194+195+196+199)</t>
  </si>
  <si>
    <t>H/II/1 Költségvetési évet követően esedékes kötelezettségek személyi juttatásokra (4221)</t>
  </si>
  <si>
    <t>H/II/9 Költségvetési évet követően esedékes kötelezettségek finanszírozási kiadásokra (&gt;=H/II/9a+...+H/II/9j) (4229) (&gt;=226+...+235)</t>
  </si>
  <si>
    <t>H/II/9e - ebből: költségvetési évet követően esedékes kötelezettségek államháztartáson belüli megelőlegezések visszafizetésére
 (4229-ből, illetve 059142-ből a költségvetési évben esedékes kötelezettség)</t>
  </si>
  <si>
    <t>H/III/1 Kapott előlegek (3671)</t>
  </si>
  <si>
    <t>H/III/2 Továbbadási célból folyósított támogatások, ellátások elszámolása (3672)</t>
  </si>
  <si>
    <t>H/III/3 Más szervezetet megillető bevételek elszámolása (3673)</t>
  </si>
  <si>
    <t>H/III/4 Forgótőke elszámolása (Kincstár) (3674)</t>
  </si>
  <si>
    <t>H/III/5 Nemzeti vagyonba tartozó befektetett eszközökkel kapcsolatos egyes kötelezettség jellegű sajátos elszámolások
 (3675)</t>
  </si>
  <si>
    <t>H/III/6 Nem társadalombiztosítás pénzügyi alapjait terhelő kifizetett ellátások megtérítésének elszámolása (3676)</t>
  </si>
  <si>
    <t>H/III/7 Munkáltató által korengedményes nyugdíjhoz megfizetett hozzájárulás elszámolása (3677)</t>
  </si>
  <si>
    <t>H/III/8 Letétre, megőrzésre, fedezetkezelésre átvett pénzeszközök, biztosítékok (3678)</t>
  </si>
  <si>
    <t>H/III/9 Nemzetközi támogatási programok pénzeszközei (36791)</t>
  </si>
  <si>
    <t>H/III/10 Államadósság Kezelő Központ Zrt.-nél elhelyezett fedezeti betétek (36792)</t>
  </si>
  <si>
    <t>H/III Kötelezettség jellegű sajátos elszámolások (=H/III/1+...+H/III/10) (367) (=237+...+246)</t>
  </si>
  <si>
    <t>H) KÖTELEZETTSÉGEK (=H/I+H/II+H/III) (=212+236+247)</t>
  </si>
  <si>
    <t>I) KINCSTÁRI SZÁMLAVEZETÉSSEL KAPCSOLATOS ELSZÁMOLÁSOK  (43)</t>
  </si>
  <si>
    <t>J/1 Eredményszemléletű bevételek passzív időbeli elhatárolása (441)</t>
  </si>
  <si>
    <t>J/2 Költségek, ráfordítások passzív időbeli elhatárolása (442)</t>
  </si>
  <si>
    <t>3 710 874</t>
  </si>
  <si>
    <t>J/3 Halasztott eredményszemléletű bevételek (443)</t>
  </si>
  <si>
    <t>J) PASSZÍV IDŐBELI ELHATÁROLÁSOK (=J/1+J/2+J/3) (44) (=250+251+252)</t>
  </si>
  <si>
    <t>FORRÁSOK ÖSSZESEN (=G+H+I+J) (=188+251+249+253)</t>
  </si>
  <si>
    <t xml:space="preserve">D/I Költségvetési évben esedékes követelések (=D/I/1+...+D/I/8) (351) </t>
  </si>
  <si>
    <t xml:space="preserve">D/II Költségvetési évet követően esedékes követelések (=D/II/1+...+D/II/8) (352) </t>
  </si>
  <si>
    <t xml:space="preserve">H/I Költségvetési évben esedékes kötelezettségek (=H/I/1+...+H/I/9) (421) </t>
  </si>
  <si>
    <t>H/II Költségvetési évet követően esedékes kötelezettségek (=H/II/1+...+H/II/9) (422)</t>
  </si>
  <si>
    <t xml:space="preserve">H/III Kötelezettség jellegű sajátos elszámolások (=H/III/1+...+H/III/10) (367) </t>
  </si>
  <si>
    <t>G/III Egyéb eszközök induláskori értéke és változásai (413) (=G/III/1+G/III/2+/G/III/3) (179+180+181)</t>
  </si>
  <si>
    <t>40 700</t>
  </si>
  <si>
    <t>2 445</t>
  </si>
  <si>
    <t>99 119</t>
  </si>
  <si>
    <t>187 196</t>
  </si>
  <si>
    <t>139 819</t>
  </si>
  <si>
    <t>189 641</t>
  </si>
  <si>
    <t>14 644</t>
  </si>
  <si>
    <t>112 550</t>
  </si>
  <si>
    <t>28 909</t>
  </si>
  <si>
    <t>11 531</t>
  </si>
  <si>
    <t>60 863</t>
  </si>
  <si>
    <t>3 113</t>
  </si>
  <si>
    <t>22 778</t>
  </si>
  <si>
    <t>3 240</t>
  </si>
  <si>
    <t>5 000</t>
  </si>
  <si>
    <t>17 884</t>
  </si>
  <si>
    <t>117 550</t>
  </si>
  <si>
    <t>157 703</t>
  </si>
  <si>
    <t>307 191</t>
  </si>
  <si>
    <t>336 000</t>
  </si>
  <si>
    <t>-623 000</t>
  </si>
  <si>
    <t>-186 871</t>
  </si>
  <si>
    <t>436 129</t>
  </si>
  <si>
    <t>-6 667 860</t>
  </si>
  <si>
    <t>149 129</t>
  </si>
  <si>
    <t>-6 518 731</t>
  </si>
  <si>
    <t>8 574</t>
  </si>
  <si>
    <t>16 536</t>
  </si>
  <si>
    <t>6 809 386</t>
  </si>
  <si>
    <t xml:space="preserve">D/I Költségvetési évben esedékes követelések (=D/I/1+...+D/I/8) (351)  </t>
  </si>
  <si>
    <t xml:space="preserve">H/II Költségvetési évet követően esedékes kötelezettségek (=H/II/1+...+H/II/9) (422) </t>
  </si>
  <si>
    <t>3 813 900</t>
  </si>
  <si>
    <t>3 390 006 186</t>
  </si>
  <si>
    <t>2 962 611 703</t>
  </si>
  <si>
    <t>2 074 897</t>
  </si>
  <si>
    <t>13 574 799</t>
  </si>
  <si>
    <t>96 513 457</t>
  </si>
  <si>
    <t>3 488 594 540</t>
  </si>
  <si>
    <t>2 976 186 502</t>
  </si>
  <si>
    <t>11 000</t>
  </si>
  <si>
    <t>3 492 419 440</t>
  </si>
  <si>
    <t>2 976 197 502</t>
  </si>
  <si>
    <t>141 350</t>
  </si>
  <si>
    <t>18 775</t>
  </si>
  <si>
    <t>185 783 397</t>
  </si>
  <si>
    <t>226 784 342</t>
  </si>
  <si>
    <t>185 924 747</t>
  </si>
  <si>
    <t>226 803 117</t>
  </si>
  <si>
    <t>1 948 094</t>
  </si>
  <si>
    <t>130 466</t>
  </si>
  <si>
    <t>1 739 349</t>
  </si>
  <si>
    <t>78 279</t>
  </si>
  <si>
    <t>533 567</t>
  </si>
  <si>
    <t>50 000</t>
  </si>
  <si>
    <t>533 568</t>
  </si>
  <si>
    <t>1 998 094</t>
  </si>
  <si>
    <t>3 678 877 755</t>
  </si>
  <si>
    <t>3 204 998 713</t>
  </si>
  <si>
    <t>3 559 077 327</t>
  </si>
  <si>
    <t>15 234 616</t>
  </si>
  <si>
    <t>-40 677 470</t>
  </si>
  <si>
    <t>83 050 201</t>
  </si>
  <si>
    <t>123 670 872</t>
  </si>
  <si>
    <t>-481 879 855</t>
  </si>
  <si>
    <t>3 657 305 345</t>
  </si>
  <si>
    <t>3 175 482 289</t>
  </si>
  <si>
    <t>6 704 413</t>
  </si>
  <si>
    <t>7 307 830</t>
  </si>
  <si>
    <t>6 065 211</t>
  </si>
  <si>
    <t>10 260 793</t>
  </si>
  <si>
    <t>460 448</t>
  </si>
  <si>
    <t>985 150</t>
  </si>
  <si>
    <t>8 285 538</t>
  </si>
  <si>
    <t>14 811 197</t>
  </si>
  <si>
    <t>19 531 481</t>
  </si>
  <si>
    <t>21 515 610</t>
  </si>
  <si>
    <t>26 839 311</t>
  </si>
  <si>
    <t>2 677 113</t>
  </si>
  <si>
    <t>3 678 820 955</t>
  </si>
  <si>
    <t xml:space="preserve">Csobánka Község Önkormányat
eszközeinek és forrásainak alakulása 
2017. december 31. </t>
  </si>
  <si>
    <t xml:space="preserve">Borostyán Természetvédő Óvoda
eszközeinek és forrásainak alakulása 
2017. december 31. </t>
  </si>
  <si>
    <t xml:space="preserve">Csobánkai Polgármesteri Hivatal
eszközeinek és forrásainak alakulása 
2017. december 31. </t>
  </si>
  <si>
    <t xml:space="preserve">A) NEMZETI VAGYONBA TARTOZÓ BEFEKTETETT ESZKÖZÖK (=A/I+A/II+A/III+A/IV) (1)  </t>
  </si>
  <si>
    <t xml:space="preserve">C/II Pénztárak, csekkek, betétkönyvek (=C/II/1+C/II/2+C/II/3) (32)  </t>
  </si>
  <si>
    <t xml:space="preserve">C/III Forintszámlák (=C/III/1+C/III/2) (331) </t>
  </si>
  <si>
    <t>Összeg</t>
  </si>
  <si>
    <t>Sorszám</t>
  </si>
  <si>
    <t>01. Alaptevékenység költségvetési bevételei</t>
  </si>
  <si>
    <t>393 777 005</t>
  </si>
  <si>
    <t>02. Alaptevékenység költségvetési kiadásai</t>
  </si>
  <si>
    <t>209 874 465</t>
  </si>
  <si>
    <t>I. Alaptevékenység költségvetési egyenlege (=01-02)</t>
  </si>
  <si>
    <t>183 902 540</t>
  </si>
  <si>
    <t>03. Alaptevékenység finanszírozási bevételei</t>
  </si>
  <si>
    <t>170 019 311</t>
  </si>
  <si>
    <t>04. Alaptevékenység finanszírozási kiadásai</t>
  </si>
  <si>
    <t>166 596 415</t>
  </si>
  <si>
    <t>II. Alaptevékenység finanszírozási egyenlege (=03-04)</t>
  </si>
  <si>
    <t>3 422 896</t>
  </si>
  <si>
    <t>A/ Alaptevékenység maradványa (=+-I+-II)</t>
  </si>
  <si>
    <t>187 325 436</t>
  </si>
  <si>
    <t>05. Vállalkozási tevékenység költségvetési bevételei</t>
  </si>
  <si>
    <t>06. Vállalkozási tevékenység költségvetési kiadásai</t>
  </si>
  <si>
    <t>III. Vállalkozási tevékenység költségvetési egyenlege (=05-06)</t>
  </si>
  <si>
    <t>07. Vállalkozási tevékenység finanszírozási bevételei</t>
  </si>
  <si>
    <t>08. Vállalkozási tevékenység finanszírozási kiadásai</t>
  </si>
  <si>
    <t>IV. Vállalkozási tevékenység finanszírozási egyenlege (=07-08)</t>
  </si>
  <si>
    <t>B/ Vállalkozási tevékenység maradványa (=+-III+-IV)</t>
  </si>
  <si>
    <t>C/ Összes maradvány (=A+B)</t>
  </si>
  <si>
    <t>Önkormányzat</t>
  </si>
  <si>
    <t>Óvoda</t>
  </si>
  <si>
    <t>Hivatal</t>
  </si>
  <si>
    <t>142 592</t>
  </si>
  <si>
    <t>57 327 470</t>
  </si>
  <si>
    <t>-57 184 878</t>
  </si>
  <si>
    <t>65 949 990</t>
  </si>
  <si>
    <t>8 765 112</t>
  </si>
  <si>
    <t>2 722 302</t>
  </si>
  <si>
    <t>94 214 685</t>
  </si>
  <si>
    <t>-91 492 383</t>
  </si>
  <si>
    <t>101 595 817</t>
  </si>
  <si>
    <t>10 103 434</t>
  </si>
  <si>
    <t>Csobánka Község Önkormányzatának és Intézményeinek
MARADVÁNYKIMUTATÁSA
2017 december 31.</t>
  </si>
  <si>
    <t>1. melléklet a 4/2018. (IV.27.) önkormányzati rendelethez</t>
  </si>
  <si>
    <t xml:space="preserve">2.1. melléklet a 4/2018. (IV.27.) önkormányzati rendelethez     </t>
  </si>
  <si>
    <t xml:space="preserve">2.2. melléklet a 4/2018. (IV.27.) önkormányzati rendelethez     </t>
  </si>
  <si>
    <r>
      <rPr>
        <b/>
        <sz val="12"/>
        <color indexed="8"/>
        <rFont val="Times New Roman"/>
        <family val="1"/>
        <charset val="238"/>
      </rPr>
      <t>11. melléklet a 4/2018. (IV.27.) önkormányzati rendelethez</t>
    </r>
    <r>
      <rPr>
        <i/>
        <sz val="12"/>
        <color indexed="8"/>
        <rFont val="Times New Roman"/>
        <family val="1"/>
        <charset val="238"/>
      </rPr>
      <t xml:space="preserve">
</t>
    </r>
  </si>
  <si>
    <r>
      <rPr>
        <b/>
        <sz val="12"/>
        <color indexed="8"/>
        <rFont val="Times New Roman"/>
        <family val="1"/>
        <charset val="238"/>
      </rPr>
      <t>12. melléklet a 4/2018. (IV.27.) önkormányzati rendelethez</t>
    </r>
    <r>
      <rPr>
        <i/>
        <sz val="12"/>
        <color indexed="8"/>
        <rFont val="Times New Roman"/>
        <family val="1"/>
        <charset val="238"/>
      </rPr>
      <t xml:space="preserve">
</t>
    </r>
  </si>
  <si>
    <r>
      <rPr>
        <b/>
        <sz val="12"/>
        <color indexed="8"/>
        <rFont val="Times New Roman"/>
        <family val="1"/>
        <charset val="238"/>
      </rPr>
      <t>13. melléklet a 4/2018. (IV.27.) önkormányzati rendelethez</t>
    </r>
    <r>
      <rPr>
        <i/>
        <sz val="12"/>
        <color indexed="8"/>
        <rFont val="Times New Roman"/>
        <family val="1"/>
        <charset val="238"/>
      </rPr>
      <t xml:space="preserve">
</t>
    </r>
  </si>
  <si>
    <r>
      <rPr>
        <b/>
        <sz val="12"/>
        <color indexed="8"/>
        <rFont val="Times New Roman"/>
        <family val="1"/>
        <charset val="238"/>
      </rPr>
      <t>14. melléklet a 4/2018. (IV.27.) önkormányzati rendelethez</t>
    </r>
    <r>
      <rPr>
        <i/>
        <sz val="12"/>
        <color indexed="8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</si>
</sst>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0.0%"/>
  </numFmts>
  <fonts count="13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2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b/>
      <sz val="12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b/>
      <sz val="13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0"/>
      <name val="Arial CE"/>
      <charset val="238"/>
    </font>
    <font>
      <b/>
      <sz val="10"/>
      <color theme="5" tint="-0.499984740745262"/>
      <name val="Arial CE"/>
      <charset val="238"/>
    </font>
    <font>
      <b/>
      <sz val="10"/>
      <color theme="4" tint="-0.499984740745262"/>
      <name val="Arial CE"/>
      <charset val="238"/>
    </font>
    <font>
      <b/>
      <i/>
      <sz val="10"/>
      <color theme="1"/>
      <name val="Arial CE"/>
      <charset val="238"/>
    </font>
    <font>
      <sz val="10"/>
      <name val="Arial CE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77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16" fillId="0" borderId="0"/>
    <xf numFmtId="0" fontId="116" fillId="0" borderId="0"/>
  </cellStyleXfs>
  <cellXfs count="1446">
    <xf numFmtId="0" fontId="0" fillId="0" borderId="0" xfId="0"/>
    <xf numFmtId="0" fontId="17" fillId="0" borderId="0" xfId="4" applyFont="1" applyFill="1"/>
    <xf numFmtId="164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horizontal="right"/>
    </xf>
    <xf numFmtId="0" fontId="9" fillId="0" borderId="0" xfId="4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 applyProtection="1">
      <alignment vertical="center" wrapTex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1"/>
    </xf>
    <xf numFmtId="0" fontId="24" fillId="0" borderId="4" xfId="4" applyFont="1" applyFill="1" applyBorder="1" applyAlignment="1" applyProtection="1">
      <alignment horizontal="left" vertical="center" wrapText="1" indent="1"/>
    </xf>
    <xf numFmtId="0" fontId="24" fillId="0" borderId="5" xfId="4" applyFont="1" applyFill="1" applyBorder="1" applyAlignment="1" applyProtection="1">
      <alignment horizontal="left" vertical="center" wrapText="1" indent="1"/>
    </xf>
    <xf numFmtId="0" fontId="24" fillId="0" borderId="6" xfId="4" applyFont="1" applyFill="1" applyBorder="1" applyAlignment="1" applyProtection="1">
      <alignment horizontal="left" vertical="center" wrapText="1" indent="1"/>
    </xf>
    <xf numFmtId="0" fontId="24" fillId="0" borderId="7" xfId="4" applyFont="1" applyFill="1" applyBorder="1" applyAlignment="1" applyProtection="1">
      <alignment horizontal="left" vertical="center" wrapText="1" indent="1"/>
    </xf>
    <xf numFmtId="49" fontId="24" fillId="0" borderId="8" xfId="4" applyNumberFormat="1" applyFont="1" applyFill="1" applyBorder="1" applyAlignment="1" applyProtection="1">
      <alignment horizontal="left" vertical="center" wrapText="1" indent="1"/>
    </xf>
    <xf numFmtId="49" fontId="24" fillId="0" borderId="9" xfId="4" applyNumberFormat="1" applyFont="1" applyFill="1" applyBorder="1" applyAlignment="1" applyProtection="1">
      <alignment horizontal="left" vertical="center" wrapText="1" indent="1"/>
    </xf>
    <xf numFmtId="49" fontId="24" fillId="0" borderId="10" xfId="4" applyNumberFormat="1" applyFont="1" applyFill="1" applyBorder="1" applyAlignment="1" applyProtection="1">
      <alignment horizontal="left" vertical="center" wrapText="1" indent="1"/>
    </xf>
    <xf numFmtId="49" fontId="24" fillId="0" borderId="11" xfId="4" applyNumberFormat="1" applyFont="1" applyFill="1" applyBorder="1" applyAlignment="1" applyProtection="1">
      <alignment horizontal="left" vertical="center" wrapText="1" indent="1"/>
    </xf>
    <xf numFmtId="49" fontId="24" fillId="0" borderId="12" xfId="4" applyNumberFormat="1" applyFont="1" applyFill="1" applyBorder="1" applyAlignment="1" applyProtection="1">
      <alignment horizontal="left" vertical="center" wrapText="1" indent="1"/>
    </xf>
    <xf numFmtId="49" fontId="24" fillId="0" borderId="13" xfId="4" applyNumberFormat="1" applyFont="1" applyFill="1" applyBorder="1" applyAlignment="1" applyProtection="1">
      <alignment horizontal="left" vertical="center" wrapText="1" indent="1"/>
    </xf>
    <xf numFmtId="49" fontId="24" fillId="0" borderId="14" xfId="4" applyNumberFormat="1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2" fillId="0" borderId="15" xfId="4" applyFont="1" applyFill="1" applyBorder="1" applyAlignment="1" applyProtection="1">
      <alignment horizontal="left" vertical="center" wrapText="1" indent="1"/>
    </xf>
    <xf numFmtId="0" fontId="22" fillId="0" borderId="16" xfId="4" applyFont="1" applyFill="1" applyBorder="1" applyAlignment="1" applyProtection="1">
      <alignment horizontal="left" vertical="center" wrapText="1" indent="1"/>
    </xf>
    <xf numFmtId="0" fontId="22" fillId="0" borderId="17" xfId="4" applyFont="1" applyFill="1" applyBorder="1" applyAlignment="1" applyProtection="1">
      <alignment horizontal="left" vertical="center" wrapText="1" indent="1"/>
    </xf>
    <xf numFmtId="0" fontId="22" fillId="0" borderId="18" xfId="4" applyFont="1" applyFill="1" applyBorder="1" applyAlignment="1" applyProtection="1">
      <alignment horizontal="left" vertical="center" wrapText="1" indent="1"/>
    </xf>
    <xf numFmtId="0" fontId="25" fillId="0" borderId="16" xfId="4" applyFont="1" applyFill="1" applyBorder="1" applyAlignment="1" applyProtection="1">
      <alignment horizontal="left" vertical="center" wrapText="1" indent="1"/>
    </xf>
    <xf numFmtId="0" fontId="10" fillId="0" borderId="15" xfId="4" applyFont="1" applyFill="1" applyBorder="1" applyAlignment="1" applyProtection="1">
      <alignment horizontal="center" vertical="center" wrapText="1"/>
    </xf>
    <xf numFmtId="0" fontId="10" fillId="0" borderId="16" xfId="4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  <protection locked="0"/>
    </xf>
    <xf numFmtId="164" fontId="24" fillId="0" borderId="20" xfId="0" applyNumberFormat="1" applyFont="1" applyFill="1" applyBorder="1" applyAlignment="1" applyProtection="1">
      <alignment vertical="center" wrapText="1"/>
      <protection locked="0"/>
    </xf>
    <xf numFmtId="164" fontId="24" fillId="0" borderId="21" xfId="0" applyNumberFormat="1" applyFont="1" applyFill="1" applyBorder="1" applyAlignment="1" applyProtection="1">
      <alignment vertical="center" wrapText="1"/>
      <protection locked="0"/>
    </xf>
    <xf numFmtId="164" fontId="24" fillId="0" borderId="2" xfId="0" applyNumberFormat="1" applyFont="1" applyFill="1" applyBorder="1" applyAlignment="1" applyProtection="1">
      <alignment vertical="center" wrapText="1"/>
      <protection locked="0"/>
    </xf>
    <xf numFmtId="164" fontId="24" fillId="0" borderId="7" xfId="0" applyNumberFormat="1" applyFont="1" applyFill="1" applyBorder="1" applyAlignment="1" applyProtection="1">
      <alignment vertical="center" wrapText="1"/>
      <protection locked="0"/>
    </xf>
    <xf numFmtId="0" fontId="22" fillId="0" borderId="16" xfId="4" applyFont="1" applyFill="1" applyBorder="1" applyAlignment="1" applyProtection="1">
      <alignment vertical="center" wrapText="1"/>
    </xf>
    <xf numFmtId="0" fontId="22" fillId="0" borderId="18" xfId="4" applyFont="1" applyFill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22" fillId="0" borderId="15" xfId="4" applyFont="1" applyFill="1" applyBorder="1" applyAlignment="1" applyProtection="1">
      <alignment horizontal="center" vertical="center" wrapText="1"/>
    </xf>
    <xf numFmtId="0" fontId="22" fillId="0" borderId="16" xfId="4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10" fillId="0" borderId="16" xfId="5" applyFont="1" applyFill="1" applyBorder="1" applyAlignment="1" applyProtection="1">
      <alignment horizontal="left" vertical="center" indent="1"/>
    </xf>
    <xf numFmtId="0" fontId="14" fillId="0" borderId="0" xfId="4" applyFill="1"/>
    <xf numFmtId="0" fontId="24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 wrapTex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4" fillId="0" borderId="25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6" xfId="0" applyNumberFormat="1" applyFont="1" applyFill="1" applyBorder="1" applyAlignment="1" applyProtection="1">
      <alignment vertical="center" wrapText="1"/>
      <protection locked="0"/>
    </xf>
    <xf numFmtId="164" fontId="24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7" xfId="0" applyNumberFormat="1" applyFont="1" applyFill="1" applyBorder="1" applyAlignment="1" applyProtection="1">
      <alignment vertical="center" wrapText="1"/>
      <protection locked="0"/>
    </xf>
    <xf numFmtId="164" fontId="24" fillId="0" borderId="12" xfId="0" applyNumberFormat="1" applyFont="1" applyFill="1" applyBorder="1" applyAlignment="1" applyProtection="1">
      <alignment vertical="center" wrapText="1"/>
      <protection locked="0"/>
    </xf>
    <xf numFmtId="164" fontId="24" fillId="0" borderId="25" xfId="0" applyNumberFormat="1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  <protection locked="0"/>
    </xf>
    <xf numFmtId="164" fontId="24" fillId="0" borderId="16" xfId="0" applyNumberFormat="1" applyFont="1" applyFill="1" applyBorder="1" applyAlignment="1" applyProtection="1">
      <alignment vertical="center" wrapText="1"/>
      <protection locked="0"/>
    </xf>
    <xf numFmtId="164" fontId="24" fillId="0" borderId="23" xfId="0" applyNumberFormat="1" applyFont="1" applyFill="1" applyBorder="1" applyAlignment="1" applyProtection="1">
      <alignment vertical="center" wrapText="1"/>
      <protection locked="0"/>
    </xf>
    <xf numFmtId="164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30" xfId="0" applyNumberFormat="1" applyFont="1" applyFill="1" applyBorder="1" applyAlignment="1" applyProtection="1">
      <alignment vertical="center" wrapText="1"/>
      <protection locked="0"/>
    </xf>
    <xf numFmtId="164" fontId="24" fillId="0" borderId="8" xfId="0" applyNumberFormat="1" applyFont="1" applyFill="1" applyBorder="1" applyAlignment="1" applyProtection="1">
      <alignment vertical="center" wrapText="1"/>
      <protection locked="0"/>
    </xf>
    <xf numFmtId="164" fontId="24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3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9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32" fillId="0" borderId="32" xfId="0" applyFont="1" applyFill="1" applyBorder="1" applyAlignment="1" applyProtection="1">
      <alignment vertical="center" wrapText="1"/>
      <protection locked="0"/>
    </xf>
    <xf numFmtId="164" fontId="3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3" fillId="0" borderId="17" xfId="5" applyFont="1" applyFill="1" applyBorder="1" applyAlignment="1" applyProtection="1">
      <alignment horizontal="center" vertical="center" wrapText="1"/>
    </xf>
    <xf numFmtId="0" fontId="33" fillId="0" borderId="18" xfId="5" applyFont="1" applyFill="1" applyBorder="1" applyAlignment="1" applyProtection="1">
      <alignment horizontal="center" vertical="center"/>
    </xf>
    <xf numFmtId="0" fontId="33" fillId="0" borderId="34" xfId="5" applyFont="1" applyFill="1" applyBorder="1" applyAlignment="1" applyProtection="1">
      <alignment horizontal="center" vertical="center"/>
    </xf>
    <xf numFmtId="0" fontId="14" fillId="0" borderId="0" xfId="5" applyFill="1" applyProtection="1"/>
    <xf numFmtId="0" fontId="24" fillId="0" borderId="15" xfId="5" applyFont="1" applyFill="1" applyBorder="1" applyAlignment="1" applyProtection="1">
      <alignment horizontal="left" vertical="center" indent="1"/>
    </xf>
    <xf numFmtId="0" fontId="14" fillId="0" borderId="0" xfId="5" applyFill="1" applyAlignment="1" applyProtection="1">
      <alignment vertical="center"/>
    </xf>
    <xf numFmtId="0" fontId="24" fillId="0" borderId="8" xfId="5" applyFont="1" applyFill="1" applyBorder="1" applyAlignment="1" applyProtection="1">
      <alignment horizontal="left" vertical="center" indent="1"/>
    </xf>
    <xf numFmtId="0" fontId="24" fillId="0" borderId="1" xfId="5" applyFont="1" applyFill="1" applyBorder="1" applyAlignment="1" applyProtection="1">
      <alignment horizontal="left" vertical="center" indent="1"/>
    </xf>
    <xf numFmtId="164" fontId="24" fillId="0" borderId="1" xfId="5" applyNumberFormat="1" applyFont="1" applyFill="1" applyBorder="1" applyAlignment="1" applyProtection="1">
      <alignment vertical="center"/>
      <protection locked="0"/>
    </xf>
    <xf numFmtId="164" fontId="24" fillId="0" borderId="20" xfId="5" applyNumberFormat="1" applyFont="1" applyFill="1" applyBorder="1" applyAlignment="1" applyProtection="1">
      <alignment vertical="center"/>
    </xf>
    <xf numFmtId="0" fontId="24" fillId="0" borderId="9" xfId="5" applyFont="1" applyFill="1" applyBorder="1" applyAlignment="1" applyProtection="1">
      <alignment horizontal="left" vertical="center" indent="1"/>
    </xf>
    <xf numFmtId="164" fontId="24" fillId="0" borderId="2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</xf>
    <xf numFmtId="0" fontId="14" fillId="0" borderId="0" xfId="5" applyFill="1" applyAlignment="1" applyProtection="1">
      <alignment vertical="center"/>
      <protection locked="0"/>
    </xf>
    <xf numFmtId="164" fontId="24" fillId="0" borderId="4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164" fontId="22" fillId="0" borderId="23" xfId="5" applyNumberFormat="1" applyFont="1" applyFill="1" applyBorder="1" applyAlignment="1" applyProtection="1">
      <alignment vertical="center"/>
    </xf>
    <xf numFmtId="0" fontId="24" fillId="0" borderId="11" xfId="5" applyFont="1" applyFill="1" applyBorder="1" applyAlignment="1" applyProtection="1">
      <alignment horizontal="left" vertical="center" indent="1"/>
    </xf>
    <xf numFmtId="0" fontId="22" fillId="0" borderId="15" xfId="5" applyFont="1" applyFill="1" applyBorder="1" applyAlignment="1" applyProtection="1">
      <alignment horizontal="left" vertical="center" indent="1"/>
    </xf>
    <xf numFmtId="164" fontId="22" fillId="0" borderId="16" xfId="5" applyNumberFormat="1" applyFont="1" applyFill="1" applyBorder="1" applyProtection="1"/>
    <xf numFmtId="164" fontId="22" fillId="0" borderId="23" xfId="5" applyNumberFormat="1" applyFont="1" applyFill="1" applyBorder="1" applyProtection="1"/>
    <xf numFmtId="0" fontId="14" fillId="0" borderId="0" xfId="5" applyFill="1" applyProtection="1">
      <protection locked="0"/>
    </xf>
    <xf numFmtId="0" fontId="17" fillId="0" borderId="0" xfId="5" applyFont="1" applyFill="1" applyProtection="1"/>
    <xf numFmtId="164" fontId="17" fillId="2" borderId="35" xfId="0" applyNumberFormat="1" applyFont="1" applyFill="1" applyBorder="1" applyAlignment="1" applyProtection="1">
      <alignment horizontal="left" vertical="center" wrapText="1" indent="2"/>
    </xf>
    <xf numFmtId="3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16" xfId="4" applyFont="1" applyFill="1" applyBorder="1" applyAlignment="1" applyProtection="1">
      <alignment horizontal="left" vertical="center" wrapText="1" indent="1"/>
    </xf>
    <xf numFmtId="0" fontId="26" fillId="0" borderId="0" xfId="4" applyFont="1" applyFill="1"/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horizontal="right" indent="1"/>
    </xf>
    <xf numFmtId="0" fontId="27" fillId="0" borderId="0" xfId="0" applyFont="1" applyAlignment="1">
      <alignment horizontal="center"/>
    </xf>
    <xf numFmtId="164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41" fillId="0" borderId="0" xfId="0" applyFont="1" applyFill="1"/>
    <xf numFmtId="3" fontId="41" fillId="0" borderId="0" xfId="0" applyNumberFormat="1" applyFont="1" applyFill="1" applyAlignment="1">
      <alignment horizontal="right" indent="1"/>
    </xf>
    <xf numFmtId="3" fontId="33" fillId="0" borderId="0" xfId="0" applyNumberFormat="1" applyFont="1" applyFill="1" applyAlignment="1">
      <alignment horizontal="right" indent="1"/>
    </xf>
    <xf numFmtId="0" fontId="41" fillId="0" borderId="0" xfId="0" applyFont="1" applyFill="1" applyAlignment="1">
      <alignment horizontal="right" indent="1"/>
    </xf>
    <xf numFmtId="0" fontId="8" fillId="0" borderId="37" xfId="0" applyFont="1" applyFill="1" applyBorder="1" applyAlignment="1" applyProtection="1">
      <alignment horizontal="right"/>
    </xf>
    <xf numFmtId="0" fontId="32" fillId="0" borderId="5" xfId="4" applyFont="1" applyFill="1" applyBorder="1" applyAlignment="1" applyProtection="1">
      <alignment horizontal="left" vertical="center" wrapText="1" indent="1"/>
    </xf>
    <xf numFmtId="0" fontId="32" fillId="0" borderId="3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indent="6"/>
    </xf>
    <xf numFmtId="0" fontId="24" fillId="0" borderId="2" xfId="4" applyFont="1" applyFill="1" applyBorder="1" applyAlignment="1" applyProtection="1">
      <alignment horizontal="left" vertical="center" wrapText="1" indent="6"/>
    </xf>
    <xf numFmtId="0" fontId="24" fillId="0" borderId="7" xfId="4" applyFont="1" applyFill="1" applyBorder="1" applyAlignment="1" applyProtection="1">
      <alignment horizontal="left" vertical="center" wrapText="1" indent="6"/>
    </xf>
    <xf numFmtId="0" fontId="24" fillId="0" borderId="32" xfId="4" applyFont="1" applyFill="1" applyBorder="1" applyAlignment="1" applyProtection="1">
      <alignment horizontal="left" vertical="center" wrapText="1" indent="6"/>
    </xf>
    <xf numFmtId="0" fontId="48" fillId="0" borderId="0" xfId="0" applyFont="1" applyFill="1"/>
    <xf numFmtId="0" fontId="49" fillId="0" borderId="0" xfId="0" applyFont="1"/>
    <xf numFmtId="49" fontId="24" fillId="0" borderId="2" xfId="4" applyNumberFormat="1" applyFont="1" applyFill="1" applyBorder="1" applyAlignment="1" applyProtection="1">
      <alignment horizontal="left" vertical="center" wrapText="1" indent="1"/>
    </xf>
    <xf numFmtId="0" fontId="4" fillId="0" borderId="0" xfId="4" applyFont="1" applyFill="1"/>
    <xf numFmtId="164" fontId="7" fillId="0" borderId="0" xfId="4" applyNumberFormat="1" applyFont="1" applyFill="1" applyBorder="1" applyAlignment="1" applyProtection="1">
      <alignment horizontal="centerContinuous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/>
    <xf numFmtId="0" fontId="17" fillId="0" borderId="12" xfId="4" applyFont="1" applyFill="1" applyBorder="1" applyAlignment="1">
      <alignment horizontal="center" vertical="center"/>
    </xf>
    <xf numFmtId="0" fontId="35" fillId="0" borderId="16" xfId="4" applyFont="1" applyFill="1" applyBorder="1"/>
    <xf numFmtId="166" fontId="17" fillId="0" borderId="31" xfId="1" applyNumberFormat="1" applyFont="1" applyFill="1" applyBorder="1"/>
    <xf numFmtId="166" fontId="17" fillId="0" borderId="19" xfId="1" applyNumberFormat="1" applyFont="1" applyFill="1" applyBorder="1"/>
    <xf numFmtId="166" fontId="17" fillId="0" borderId="16" xfId="4" applyNumberFormat="1" applyFont="1" applyFill="1" applyBorder="1"/>
    <xf numFmtId="166" fontId="17" fillId="0" borderId="23" xfId="4" applyNumberFormat="1" applyFont="1" applyFill="1" applyBorder="1"/>
    <xf numFmtId="0" fontId="25" fillId="0" borderId="0" xfId="0" applyFont="1" applyFill="1" applyBorder="1" applyAlignment="1" applyProtection="1">
      <alignment horizontal="right"/>
    </xf>
    <xf numFmtId="49" fontId="24" fillId="0" borderId="4" xfId="4" applyNumberFormat="1" applyFont="1" applyFill="1" applyBorder="1" applyAlignment="1" applyProtection="1">
      <alignment horizontal="left" vertical="center" wrapText="1" indent="1"/>
    </xf>
    <xf numFmtId="49" fontId="24" fillId="0" borderId="5" xfId="4" applyNumberFormat="1" applyFont="1" applyFill="1" applyBorder="1" applyAlignment="1" applyProtection="1">
      <alignment horizontal="left" vertical="center" wrapText="1" indent="1"/>
    </xf>
    <xf numFmtId="49" fontId="24" fillId="0" borderId="32" xfId="4" applyNumberFormat="1" applyFont="1" applyFill="1" applyBorder="1" applyAlignment="1" applyProtection="1">
      <alignment horizontal="left" vertical="center" wrapText="1" indent="1"/>
    </xf>
    <xf numFmtId="49" fontId="31" fillId="0" borderId="16" xfId="4" applyNumberFormat="1" applyFont="1" applyFill="1" applyBorder="1" applyAlignment="1" applyProtection="1">
      <alignment horizontal="left" vertical="center" wrapText="1" indent="1"/>
    </xf>
    <xf numFmtId="49" fontId="24" fillId="0" borderId="7" xfId="4" applyNumberFormat="1" applyFont="1" applyFill="1" applyBorder="1" applyAlignment="1" applyProtection="1">
      <alignment horizontal="left" vertical="center" wrapText="1" indent="1"/>
    </xf>
    <xf numFmtId="0" fontId="46" fillId="0" borderId="0" xfId="0" applyFont="1" applyFill="1" applyProtection="1"/>
    <xf numFmtId="0" fontId="5" fillId="0" borderId="0" xfId="0" applyFont="1" applyFill="1" applyProtection="1"/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7" fillId="0" borderId="0" xfId="0" applyFont="1" applyFill="1"/>
    <xf numFmtId="164" fontId="32" fillId="0" borderId="4" xfId="0" applyNumberFormat="1" applyFont="1" applyFill="1" applyBorder="1" applyAlignment="1" applyProtection="1">
      <alignment vertical="center"/>
      <protection locked="0"/>
    </xf>
    <xf numFmtId="164" fontId="32" fillId="0" borderId="2" xfId="0" applyNumberFormat="1" applyFont="1" applyFill="1" applyBorder="1" applyAlignment="1" applyProtection="1">
      <alignment vertical="center"/>
      <protection locked="0"/>
    </xf>
    <xf numFmtId="164" fontId="32" fillId="0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49" fontId="24" fillId="0" borderId="16" xfId="4" applyNumberFormat="1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Protection="1">
      <protection locked="0"/>
    </xf>
    <xf numFmtId="166" fontId="17" fillId="0" borderId="4" xfId="1" applyNumberFormat="1" applyFont="1" applyFill="1" applyBorder="1" applyProtection="1">
      <protection locked="0"/>
    </xf>
    <xf numFmtId="0" fontId="17" fillId="0" borderId="2" xfId="4" applyFont="1" applyFill="1" applyBorder="1" applyProtection="1">
      <protection locked="0"/>
    </xf>
    <xf numFmtId="166" fontId="17" fillId="0" borderId="2" xfId="1" applyNumberFormat="1" applyFont="1" applyFill="1" applyBorder="1" applyProtection="1">
      <protection locked="0"/>
    </xf>
    <xf numFmtId="0" fontId="17" fillId="0" borderId="7" xfId="4" applyFont="1" applyFill="1" applyBorder="1" applyProtection="1">
      <protection locked="0"/>
    </xf>
    <xf numFmtId="166" fontId="17" fillId="0" borderId="7" xfId="1" applyNumberFormat="1" applyFont="1" applyFill="1" applyBorder="1" applyProtection="1">
      <protection locked="0"/>
    </xf>
    <xf numFmtId="0" fontId="31" fillId="0" borderId="13" xfId="4" applyFont="1" applyFill="1" applyBorder="1" applyAlignment="1" applyProtection="1">
      <alignment horizontal="center" vertical="center" wrapText="1"/>
    </xf>
    <xf numFmtId="0" fontId="32" fillId="0" borderId="15" xfId="4" applyFont="1" applyFill="1" applyBorder="1" applyAlignment="1" applyProtection="1">
      <alignment horizontal="center" vertical="center"/>
    </xf>
    <xf numFmtId="0" fontId="32" fillId="0" borderId="16" xfId="4" applyFont="1" applyFill="1" applyBorder="1" applyAlignment="1" applyProtection="1">
      <alignment horizontal="center" vertical="center"/>
    </xf>
    <xf numFmtId="0" fontId="32" fillId="0" borderId="23" xfId="4" applyFont="1" applyFill="1" applyBorder="1" applyAlignment="1" applyProtection="1">
      <alignment horizontal="center" vertical="center"/>
    </xf>
    <xf numFmtId="0" fontId="32" fillId="0" borderId="13" xfId="4" applyFont="1" applyFill="1" applyBorder="1" applyAlignment="1" applyProtection="1">
      <alignment horizontal="center" vertical="center"/>
    </xf>
    <xf numFmtId="0" fontId="32" fillId="0" borderId="9" xfId="4" applyFont="1" applyFill="1" applyBorder="1" applyAlignment="1" applyProtection="1">
      <alignment horizontal="center" vertical="center"/>
    </xf>
    <xf numFmtId="0" fontId="32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0" fontId="29" fillId="0" borderId="3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8"/>
    </xf>
    <xf numFmtId="0" fontId="32" fillId="0" borderId="4" xfId="0" applyFont="1" applyFill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vertical="center" wrapText="1"/>
    </xf>
    <xf numFmtId="164" fontId="31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5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10" fillId="0" borderId="39" xfId="0" applyFont="1" applyFill="1" applyBorder="1" applyAlignment="1" applyProtection="1">
      <alignment vertical="center"/>
    </xf>
    <xf numFmtId="0" fontId="10" fillId="0" borderId="4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164" fontId="10" fillId="0" borderId="43" xfId="0" applyNumberFormat="1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left" vertical="center" wrapText="1" indent="1"/>
    </xf>
    <xf numFmtId="0" fontId="22" fillId="0" borderId="9" xfId="0" applyFont="1" applyFill="1" applyBorder="1" applyAlignment="1" applyProtection="1">
      <alignment horizontal="center" vertical="center" wrapText="1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 wrapText="1"/>
    </xf>
    <xf numFmtId="0" fontId="43" fillId="0" borderId="44" xfId="0" applyFont="1" applyBorder="1" applyAlignment="1" applyProtection="1">
      <alignment horizontal="center" wrapText="1"/>
    </xf>
    <xf numFmtId="0" fontId="44" fillId="0" borderId="44" xfId="0" applyFont="1" applyBorder="1" applyAlignment="1" applyProtection="1">
      <alignment horizontal="left" wrapText="1" indent="1"/>
    </xf>
    <xf numFmtId="0" fontId="24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24" fillId="0" borderId="0" xfId="0" applyFont="1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vertical="center" wrapText="1"/>
    </xf>
    <xf numFmtId="0" fontId="22" fillId="0" borderId="45" xfId="0" applyFont="1" applyFill="1" applyBorder="1" applyAlignment="1" applyProtection="1">
      <alignment horizontal="center" vertical="center" wrapText="1"/>
    </xf>
    <xf numFmtId="0" fontId="22" fillId="0" borderId="46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6" fillId="0" borderId="15" xfId="0" applyFont="1" applyFill="1" applyBorder="1" applyAlignment="1" applyProtection="1">
      <alignment horizontal="left" vertical="center"/>
    </xf>
    <xf numFmtId="0" fontId="17" fillId="0" borderId="46" xfId="0" applyFont="1" applyFill="1" applyBorder="1" applyAlignment="1" applyProtection="1">
      <alignment vertical="center" wrapText="1"/>
    </xf>
    <xf numFmtId="0" fontId="6" fillId="0" borderId="44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49" fontId="10" fillId="0" borderId="22" xfId="0" applyNumberFormat="1" applyFont="1" applyFill="1" applyBorder="1" applyAlignment="1" applyProtection="1">
      <alignment horizontal="right" vertical="center"/>
      <protection locked="0"/>
    </xf>
    <xf numFmtId="49" fontId="10" fillId="0" borderId="47" xfId="0" applyNumberFormat="1" applyFont="1" applyFill="1" applyBorder="1" applyAlignment="1" applyProtection="1">
      <alignment horizontal="right" vertical="center"/>
      <protection locked="0"/>
    </xf>
    <xf numFmtId="0" fontId="47" fillId="0" borderId="0" xfId="0" applyFont="1" applyFill="1" applyProtection="1"/>
    <xf numFmtId="0" fontId="32" fillId="0" borderId="11" xfId="0" applyFont="1" applyFill="1" applyBorder="1" applyAlignment="1" applyProtection="1">
      <alignment horizontal="center" vertical="center"/>
    </xf>
    <xf numFmtId="164" fontId="31" fillId="0" borderId="31" xfId="0" applyNumberFormat="1" applyFont="1" applyFill="1" applyBorder="1" applyAlignment="1" applyProtection="1">
      <alignment vertical="center"/>
    </xf>
    <xf numFmtId="0" fontId="32" fillId="0" borderId="9" xfId="0" applyFont="1" applyFill="1" applyBorder="1" applyAlignment="1" applyProtection="1">
      <alignment horizontal="center" vertical="center"/>
    </xf>
    <xf numFmtId="164" fontId="31" fillId="0" borderId="19" xfId="0" applyNumberFormat="1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vertical="center" wrapText="1"/>
    </xf>
    <xf numFmtId="164" fontId="31" fillId="0" borderId="21" xfId="0" applyNumberFormat="1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/>
    </xf>
    <xf numFmtId="164" fontId="31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8" fillId="0" borderId="48" xfId="0" applyFont="1" applyFill="1" applyBorder="1" applyAlignment="1" applyProtection="1">
      <alignment horizontal="center"/>
    </xf>
    <xf numFmtId="0" fontId="47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164" fontId="10" fillId="0" borderId="52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 wrapText="1"/>
    </xf>
    <xf numFmtId="164" fontId="22" fillId="0" borderId="4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vertical="center" wrapText="1"/>
    </xf>
    <xf numFmtId="164" fontId="31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4" fillId="0" borderId="30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7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4" fillId="0" borderId="2" xfId="5" applyFont="1" applyFill="1" applyBorder="1" applyAlignment="1" applyProtection="1">
      <alignment horizontal="left" vertical="center" indent="1"/>
    </xf>
    <xf numFmtId="0" fontId="24" fillId="0" borderId="4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24" fillId="0" borderId="4" xfId="5" applyFont="1" applyFill="1" applyBorder="1" applyAlignment="1" applyProtection="1">
      <alignment horizontal="left" vertical="center" indent="1"/>
    </xf>
    <xf numFmtId="0" fontId="10" fillId="0" borderId="16" xfId="5" applyFont="1" applyFill="1" applyBorder="1" applyAlignment="1" applyProtection="1">
      <alignment horizontal="left" indent="1"/>
    </xf>
    <xf numFmtId="0" fontId="22" fillId="0" borderId="45" xfId="4" applyFont="1" applyFill="1" applyBorder="1" applyAlignment="1" applyProtection="1">
      <alignment horizontal="left" vertical="center" wrapText="1" indent="1"/>
    </xf>
    <xf numFmtId="49" fontId="24" fillId="0" borderId="53" xfId="4" applyNumberFormat="1" applyFont="1" applyFill="1" applyBorder="1" applyAlignment="1" applyProtection="1">
      <alignment horizontal="left" vertical="center" wrapText="1" indent="1"/>
    </xf>
    <xf numFmtId="49" fontId="24" fillId="0" borderId="54" xfId="4" applyNumberFormat="1" applyFont="1" applyFill="1" applyBorder="1" applyAlignment="1" applyProtection="1">
      <alignment horizontal="left" vertical="center" wrapText="1" indent="1"/>
    </xf>
    <xf numFmtId="49" fontId="24" fillId="0" borderId="41" xfId="4" applyNumberFormat="1" applyFont="1" applyFill="1" applyBorder="1" applyAlignment="1" applyProtection="1">
      <alignment horizontal="left" vertical="center" wrapText="1" indent="1"/>
    </xf>
    <xf numFmtId="0" fontId="22" fillId="0" borderId="8" xfId="4" applyFont="1" applyFill="1" applyBorder="1" applyAlignment="1" applyProtection="1">
      <alignment horizontal="left" vertical="center" wrapText="1" indent="1"/>
    </xf>
    <xf numFmtId="0" fontId="34" fillId="0" borderId="1" xfId="4" applyFont="1" applyFill="1" applyBorder="1" applyAlignment="1" applyProtection="1">
      <alignment horizontal="left" vertical="center" wrapText="1" indent="1"/>
    </xf>
    <xf numFmtId="0" fontId="14" fillId="0" borderId="0" xfId="4" applyFill="1" applyAlignment="1">
      <alignment horizontal="left" vertical="center" indent="1"/>
    </xf>
    <xf numFmtId="0" fontId="30" fillId="0" borderId="16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50" fillId="0" borderId="2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indent="1"/>
    </xf>
    <xf numFmtId="0" fontId="29" fillId="0" borderId="32" xfId="0" applyFont="1" applyBorder="1" applyAlignment="1" applyProtection="1">
      <alignment horizontal="left" vertical="center" indent="1"/>
    </xf>
    <xf numFmtId="0" fontId="30" fillId="0" borderId="15" xfId="0" applyFont="1" applyBorder="1" applyAlignment="1" applyProtection="1">
      <alignment horizontal="left" vertical="center" wrapText="1" indent="1"/>
    </xf>
    <xf numFmtId="49" fontId="29" fillId="0" borderId="9" xfId="0" applyNumberFormat="1" applyFont="1" applyBorder="1" applyAlignment="1" applyProtection="1">
      <alignment horizontal="left" vertical="center" wrapText="1" indent="2"/>
    </xf>
    <xf numFmtId="49" fontId="30" fillId="0" borderId="9" xfId="0" applyNumberFormat="1" applyFont="1" applyBorder="1" applyAlignment="1" applyProtection="1">
      <alignment horizontal="left" vertical="center" wrapText="1" indent="1"/>
    </xf>
    <xf numFmtId="49" fontId="29" fillId="0" borderId="14" xfId="0" applyNumberFormat="1" applyFont="1" applyBorder="1" applyAlignment="1" applyProtection="1">
      <alignment horizontal="left" vertical="center" wrapText="1" indent="2"/>
    </xf>
    <xf numFmtId="0" fontId="29" fillId="0" borderId="32" xfId="0" applyFont="1" applyBorder="1" applyAlignment="1" applyProtection="1">
      <alignment horizontal="left" vertical="center" wrapText="1" indent="1"/>
    </xf>
    <xf numFmtId="0" fontId="28" fillId="0" borderId="15" xfId="0" applyFont="1" applyBorder="1" applyAlignment="1" applyProtection="1">
      <alignment horizontal="left" vertical="center" wrapText="1" indent="1"/>
    </xf>
    <xf numFmtId="0" fontId="45" fillId="0" borderId="10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29" fillId="0" borderId="11" xfId="0" applyNumberFormat="1" applyFont="1" applyBorder="1" applyAlignment="1" applyProtection="1">
      <alignment horizontal="left" vertical="center" wrapText="1" indent="2"/>
    </xf>
    <xf numFmtId="0" fontId="29" fillId="0" borderId="4" xfId="0" applyFont="1" applyBorder="1" applyAlignment="1" applyProtection="1">
      <alignment horizontal="left" vertical="center" wrapText="1" indent="1"/>
    </xf>
    <xf numFmtId="49" fontId="29" fillId="0" borderId="12" xfId="0" applyNumberFormat="1" applyFont="1" applyBorder="1" applyAlignment="1" applyProtection="1">
      <alignment horizontal="left" vertical="center" wrapText="1" indent="2"/>
    </xf>
    <xf numFmtId="0" fontId="29" fillId="0" borderId="7" xfId="0" applyFont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vertical="center" wrapText="1" indent="1"/>
    </xf>
    <xf numFmtId="0" fontId="51" fillId="0" borderId="16" xfId="0" applyFont="1" applyBorder="1" applyAlignment="1" applyProtection="1">
      <alignment horizontal="left" vertical="center" wrapText="1" indent="1"/>
    </xf>
    <xf numFmtId="49" fontId="29" fillId="0" borderId="15" xfId="0" applyNumberFormat="1" applyFont="1" applyBorder="1" applyAlignment="1" applyProtection="1">
      <alignment horizontal="left" vertical="center" wrapText="1" indent="1"/>
    </xf>
    <xf numFmtId="49" fontId="50" fillId="0" borderId="15" xfId="0" applyNumberFormat="1" applyFont="1" applyBorder="1" applyAlignment="1" applyProtection="1">
      <alignment horizontal="left" vertical="center" wrapText="1" indent="1"/>
    </xf>
    <xf numFmtId="0" fontId="8" fillId="0" borderId="37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14" fillId="0" borderId="0" xfId="4" applyFill="1" applyAlignment="1"/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0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35" fillId="0" borderId="25" xfId="0" applyNumberFormat="1" applyFont="1" applyFill="1" applyBorder="1" applyAlignment="1" applyProtection="1">
      <alignment horizontal="left" vertical="center" wrapText="1" indent="1"/>
    </xf>
    <xf numFmtId="164" fontId="3" fillId="0" borderId="30" xfId="0" applyNumberFormat="1" applyFont="1" applyFill="1" applyBorder="1" applyAlignment="1" applyProtection="1">
      <alignment horizontal="left" vertical="center" wrapText="1" indent="1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26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5" fillId="0" borderId="15" xfId="0" applyNumberFormat="1" applyFont="1" applyFill="1" applyBorder="1" applyAlignment="1" applyProtection="1">
      <alignment horizontal="left" vertical="center" wrapText="1" indent="1"/>
    </xf>
    <xf numFmtId="164" fontId="3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9" xfId="0" quotePrefix="1" applyNumberFormat="1" applyFont="1" applyFill="1" applyBorder="1" applyAlignment="1" applyProtection="1">
      <alignment horizontal="left" vertical="center" wrapText="1" indent="6"/>
    </xf>
    <xf numFmtId="164" fontId="32" fillId="0" borderId="9" xfId="0" quotePrefix="1" applyNumberFormat="1" applyFont="1" applyFill="1" applyBorder="1" applyAlignment="1" applyProtection="1">
      <alignment horizontal="left" vertical="center" wrapText="1" indent="6"/>
    </xf>
    <xf numFmtId="164" fontId="24" fillId="0" borderId="9" xfId="0" quotePrefix="1" applyNumberFormat="1" applyFont="1" applyFill="1" applyBorder="1" applyAlignment="1" applyProtection="1">
      <alignment horizontal="left" vertical="center" wrapText="1" indent="3"/>
    </xf>
    <xf numFmtId="164" fontId="3" fillId="0" borderId="28" xfId="0" applyNumberFormat="1" applyFont="1" applyFill="1" applyBorder="1" applyAlignment="1" applyProtection="1">
      <alignment horizontal="left" vertical="center" wrapText="1" indent="1"/>
    </xf>
    <xf numFmtId="164" fontId="37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2"/>
    </xf>
    <xf numFmtId="164" fontId="37" fillId="0" borderId="2" xfId="0" applyNumberFormat="1" applyFont="1" applyFill="1" applyBorder="1" applyAlignment="1" applyProtection="1">
      <alignment horizontal="left" vertical="center" wrapText="1" indent="1"/>
    </xf>
    <xf numFmtId="164" fontId="32" fillId="0" borderId="11" xfId="0" applyNumberFormat="1" applyFon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2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vertical="center" wrapText="1"/>
    </xf>
    <xf numFmtId="164" fontId="2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horizontal="right" vertical="center" wrapText="1" indent="1"/>
    </xf>
    <xf numFmtId="164" fontId="22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2" fillId="0" borderId="44" xfId="0" applyFont="1" applyBorder="1" applyAlignment="1" applyProtection="1">
      <alignment horizontal="center" wrapText="1"/>
    </xf>
    <xf numFmtId="0" fontId="31" fillId="0" borderId="44" xfId="4" applyFont="1" applyFill="1" applyBorder="1" applyAlignment="1" applyProtection="1">
      <alignment horizontal="left" vertical="center" wrapText="1" indent="1"/>
    </xf>
    <xf numFmtId="0" fontId="30" fillId="0" borderId="17" xfId="0" applyFont="1" applyBorder="1" applyAlignment="1" applyProtection="1">
      <alignment horizontal="center" vertical="center" wrapText="1"/>
    </xf>
    <xf numFmtId="0" fontId="32" fillId="0" borderId="32" xfId="4" applyFont="1" applyFill="1" applyBorder="1" applyAlignment="1" applyProtection="1">
      <alignment horizontal="left" vertical="center" wrapText="1" indent="1"/>
    </xf>
    <xf numFmtId="0" fontId="31" fillId="0" borderId="18" xfId="4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49" fontId="24" fillId="0" borderId="5" xfId="0" applyNumberFormat="1" applyFont="1" applyFill="1" applyBorder="1" applyAlignment="1" applyProtection="1">
      <alignment horizontal="center" vertical="center" wrapText="1"/>
    </xf>
    <xf numFmtId="49" fontId="10" fillId="0" borderId="22" xfId="0" applyNumberFormat="1" applyFont="1" applyFill="1" applyBorder="1" applyAlignment="1" applyProtection="1">
      <alignment horizontal="right" vertical="center"/>
    </xf>
    <xf numFmtId="0" fontId="10" fillId="0" borderId="32" xfId="0" quotePrefix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164" fontId="3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35" fillId="0" borderId="17" xfId="0" applyFont="1" applyBorder="1" applyAlignment="1" applyProtection="1">
      <alignment horizontal="center" vertical="center" wrapText="1"/>
    </xf>
    <xf numFmtId="0" fontId="35" fillId="0" borderId="18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50" fillId="0" borderId="4" xfId="0" applyFont="1" applyBorder="1" applyAlignment="1" applyProtection="1">
      <alignment horizontal="left" vertical="center" wrapText="1" indent="1"/>
    </xf>
    <xf numFmtId="0" fontId="30" fillId="0" borderId="32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0" fontId="29" fillId="0" borderId="2" xfId="0" quotePrefix="1" applyFont="1" applyBorder="1" applyAlignment="1" applyProtection="1">
      <alignment horizontal="left" vertical="center" wrapText="1" indent="6"/>
    </xf>
    <xf numFmtId="0" fontId="29" fillId="0" borderId="32" xfId="0" quotePrefix="1" applyFont="1" applyBorder="1" applyAlignment="1" applyProtection="1">
      <alignment horizontal="left" vertical="center" wrapText="1" indent="6"/>
    </xf>
    <xf numFmtId="0" fontId="50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indent="1"/>
    </xf>
    <xf numFmtId="0" fontId="54" fillId="0" borderId="16" xfId="0" applyFont="1" applyBorder="1" applyAlignment="1" applyProtection="1">
      <alignment horizontal="left" vertical="center" wrapText="1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2" fillId="0" borderId="0" xfId="0" applyFont="1"/>
    <xf numFmtId="0" fontId="61" fillId="0" borderId="0" xfId="0" applyFont="1" applyFill="1" applyAlignment="1">
      <alignment horizontal="center"/>
    </xf>
    <xf numFmtId="3" fontId="63" fillId="0" borderId="7" xfId="0" applyNumberFormat="1" applyFont="1" applyFill="1" applyBorder="1" applyAlignment="1">
      <alignment horizontal="center" vertical="center"/>
    </xf>
    <xf numFmtId="0" fontId="63" fillId="0" borderId="7" xfId="0" applyFont="1" applyFill="1" applyBorder="1" applyAlignment="1">
      <alignment horizontal="center" vertical="center" wrapText="1"/>
    </xf>
    <xf numFmtId="3" fontId="63" fillId="0" borderId="7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63" fillId="0" borderId="4" xfId="0" applyFont="1" applyFill="1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3" fontId="63" fillId="0" borderId="4" xfId="0" applyNumberFormat="1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4" fillId="4" borderId="2" xfId="0" applyNumberFormat="1" applyFont="1" applyFill="1" applyBorder="1"/>
    <xf numFmtId="3" fontId="61" fillId="4" borderId="2" xfId="0" applyNumberFormat="1" applyFont="1" applyFill="1" applyBorder="1"/>
    <xf numFmtId="3" fontId="66" fillId="5" borderId="2" xfId="0" applyNumberFormat="1" applyFont="1" applyFill="1" applyBorder="1"/>
    <xf numFmtId="3" fontId="67" fillId="5" borderId="2" xfId="0" applyNumberFormat="1" applyFont="1" applyFill="1" applyBorder="1"/>
    <xf numFmtId="0" fontId="57" fillId="0" borderId="2" xfId="0" applyFont="1" applyBorder="1" applyAlignment="1">
      <alignment horizontal="center" vertical="top" wrapText="1"/>
    </xf>
    <xf numFmtId="0" fontId="57" fillId="0" borderId="6" xfId="0" applyFont="1" applyBorder="1" applyAlignment="1">
      <alignment horizontal="left" vertical="top" wrapText="1"/>
    </xf>
    <xf numFmtId="3" fontId="57" fillId="3" borderId="2" xfId="0" applyNumberFormat="1" applyFont="1" applyFill="1" applyBorder="1"/>
    <xf numFmtId="0" fontId="57" fillId="0" borderId="0" xfId="0" applyFont="1"/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64" fillId="3" borderId="2" xfId="0" applyNumberFormat="1" applyFont="1" applyFill="1" applyBorder="1"/>
    <xf numFmtId="0" fontId="68" fillId="0" borderId="0" xfId="0" applyFont="1"/>
    <xf numFmtId="0" fontId="64" fillId="0" borderId="6" xfId="0" applyFont="1" applyBorder="1" applyAlignment="1">
      <alignment horizontal="left" vertical="top" wrapText="1" indent="5"/>
    </xf>
    <xf numFmtId="3" fontId="63" fillId="3" borderId="2" xfId="0" applyNumberFormat="1" applyFont="1" applyFill="1" applyBorder="1"/>
    <xf numFmtId="0" fontId="65" fillId="6" borderId="2" xfId="0" applyFont="1" applyFill="1" applyBorder="1" applyAlignment="1">
      <alignment horizontal="center" vertical="top" wrapText="1"/>
    </xf>
    <xf numFmtId="0" fontId="65" fillId="6" borderId="6" xfId="0" applyFont="1" applyFill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center" wrapText="1"/>
    </xf>
    <xf numFmtId="0" fontId="70" fillId="0" borderId="0" xfId="0" applyFont="1"/>
    <xf numFmtId="3" fontId="71" fillId="0" borderId="0" xfId="0" applyNumberFormat="1" applyFont="1"/>
    <xf numFmtId="0" fontId="64" fillId="0" borderId="0" xfId="0" applyFont="1"/>
    <xf numFmtId="3" fontId="61" fillId="3" borderId="2" xfId="0" applyNumberFormat="1" applyFont="1" applyFill="1" applyBorder="1"/>
    <xf numFmtId="0" fontId="61" fillId="0" borderId="0" xfId="0" applyFont="1"/>
    <xf numFmtId="0" fontId="64" fillId="0" borderId="6" xfId="0" quotePrefix="1" applyFont="1" applyBorder="1" applyAlignment="1">
      <alignment horizontal="left" vertical="top" wrapText="1" indent="10"/>
    </xf>
    <xf numFmtId="0" fontId="70" fillId="0" borderId="2" xfId="0" applyFont="1" applyBorder="1" applyAlignment="1">
      <alignment horizontal="center" vertical="top" wrapText="1"/>
    </xf>
    <xf numFmtId="3" fontId="70" fillId="3" borderId="2" xfId="0" applyNumberFormat="1" applyFont="1" applyFill="1" applyBorder="1"/>
    <xf numFmtId="0" fontId="71" fillId="0" borderId="0" xfId="0" applyFont="1"/>
    <xf numFmtId="3" fontId="59" fillId="0" borderId="0" xfId="0" applyNumberFormat="1" applyFont="1"/>
    <xf numFmtId="0" fontId="59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0" fontId="64" fillId="7" borderId="6" xfId="0" applyFont="1" applyFill="1" applyBorder="1" applyAlignment="1">
      <alignment horizontal="left" vertical="top" wrapText="1" indent="5"/>
    </xf>
    <xf numFmtId="3" fontId="64" fillId="3" borderId="2" xfId="0" applyNumberFormat="1" applyFont="1" applyFill="1" applyBorder="1" applyProtection="1">
      <protection locked="0"/>
    </xf>
    <xf numFmtId="3" fontId="59" fillId="3" borderId="2" xfId="0" applyNumberFormat="1" applyFont="1" applyFill="1" applyBorder="1"/>
    <xf numFmtId="0" fontId="70" fillId="0" borderId="6" xfId="0" applyFont="1" applyBorder="1" applyAlignment="1">
      <alignment horizontal="left" vertical="top" wrapText="1" indent="5"/>
    </xf>
    <xf numFmtId="0" fontId="65" fillId="6" borderId="6" xfId="0" applyFont="1" applyFill="1" applyBorder="1" applyAlignment="1" applyProtection="1">
      <alignment horizontal="left" vertical="top" wrapText="1"/>
      <protection locked="0"/>
    </xf>
    <xf numFmtId="3" fontId="65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6" xfId="0" quotePrefix="1" applyFont="1" applyBorder="1" applyAlignment="1" applyProtection="1">
      <alignment horizontal="left" vertical="top" wrapText="1" indent="10"/>
      <protection locked="0"/>
    </xf>
    <xf numFmtId="0" fontId="64" fillId="0" borderId="6" xfId="0" applyFont="1" applyBorder="1" applyAlignment="1">
      <alignment horizontal="left" vertical="top" wrapText="1" indent="10"/>
    </xf>
    <xf numFmtId="0" fontId="64" fillId="7" borderId="6" xfId="0" applyFont="1" applyFill="1" applyBorder="1" applyAlignment="1" applyProtection="1">
      <alignment horizontal="left" vertical="top" wrapText="1" indent="5"/>
      <protection locked="0"/>
    </xf>
    <xf numFmtId="0" fontId="63" fillId="7" borderId="6" xfId="0" applyFont="1" applyFill="1" applyBorder="1" applyAlignment="1">
      <alignment horizontal="left" vertical="top" wrapText="1"/>
    </xf>
    <xf numFmtId="0" fontId="63" fillId="0" borderId="0" xfId="0" applyFont="1" applyAlignment="1">
      <alignment horizontal="center" vertical="top" wrapText="1"/>
    </xf>
    <xf numFmtId="3" fontId="64" fillId="0" borderId="0" xfId="0" applyNumberFormat="1" applyFont="1"/>
    <xf numFmtId="3" fontId="61" fillId="0" borderId="0" xfId="0" applyNumberFormat="1" applyFont="1"/>
    <xf numFmtId="3" fontId="0" fillId="0" borderId="0" xfId="0" applyNumberFormat="1"/>
    <xf numFmtId="0" fontId="63" fillId="0" borderId="0" xfId="0" applyFont="1"/>
    <xf numFmtId="0" fontId="63" fillId="7" borderId="0" xfId="0" applyFont="1" applyFill="1"/>
    <xf numFmtId="0" fontId="0" fillId="7" borderId="0" xfId="0" applyFont="1" applyFill="1"/>
    <xf numFmtId="49" fontId="55" fillId="0" borderId="15" xfId="0" applyNumberFormat="1" applyFont="1" applyBorder="1" applyAlignment="1" applyProtection="1">
      <alignment horizontal="left" vertical="center" wrapText="1" indent="1"/>
    </xf>
    <xf numFmtId="0" fontId="72" fillId="0" borderId="0" xfId="4" applyFont="1" applyFill="1"/>
    <xf numFmtId="164" fontId="2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0" xfId="5" applyFont="1" applyFill="1" applyProtection="1">
      <protection locked="0"/>
    </xf>
    <xf numFmtId="0" fontId="32" fillId="0" borderId="0" xfId="5" applyFont="1" applyFill="1" applyProtection="1"/>
    <xf numFmtId="0" fontId="32" fillId="0" borderId="0" xfId="5" applyFont="1" applyFill="1" applyAlignment="1" applyProtection="1">
      <alignment vertical="center"/>
    </xf>
    <xf numFmtId="0" fontId="32" fillId="0" borderId="0" xfId="5" applyFont="1" applyFill="1" applyAlignment="1" applyProtection="1">
      <alignment vertical="center"/>
      <protection locked="0"/>
    </xf>
    <xf numFmtId="3" fontId="63" fillId="0" borderId="0" xfId="0" applyNumberFormat="1" applyFont="1"/>
    <xf numFmtId="0" fontId="65" fillId="0" borderId="0" xfId="0" applyFont="1"/>
    <xf numFmtId="0" fontId="31" fillId="0" borderId="61" xfId="4" applyFont="1" applyFill="1" applyBorder="1" applyAlignment="1" applyProtection="1">
      <alignment horizontal="center" vertical="center" wrapText="1"/>
    </xf>
    <xf numFmtId="0" fontId="32" fillId="0" borderId="35" xfId="4" applyFont="1" applyFill="1" applyBorder="1" applyAlignment="1" applyProtection="1">
      <alignment horizontal="center" vertical="center"/>
    </xf>
    <xf numFmtId="3" fontId="58" fillId="3" borderId="2" xfId="0" applyNumberFormat="1" applyFont="1" applyFill="1" applyBorder="1"/>
    <xf numFmtId="3" fontId="64" fillId="5" borderId="2" xfId="0" applyNumberFormat="1" applyFont="1" applyFill="1" applyBorder="1"/>
    <xf numFmtId="3" fontId="61" fillId="5" borderId="2" xfId="0" applyNumberFormat="1" applyFont="1" applyFill="1" applyBorder="1"/>
    <xf numFmtId="0" fontId="61" fillId="0" borderId="0" xfId="0" applyFont="1" applyFill="1" applyAlignment="1"/>
    <xf numFmtId="0" fontId="63" fillId="0" borderId="0" xfId="0" applyFont="1" applyAlignment="1">
      <alignment horizontal="center"/>
    </xf>
    <xf numFmtId="3" fontId="65" fillId="0" borderId="0" xfId="0" applyNumberFormat="1" applyFont="1"/>
    <xf numFmtId="0" fontId="77" fillId="0" borderId="7" xfId="0" applyFont="1" applyFill="1" applyBorder="1" applyAlignment="1">
      <alignment horizontal="center" vertical="center" wrapText="1"/>
    </xf>
    <xf numFmtId="0" fontId="77" fillId="0" borderId="63" xfId="0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7" fillId="0" borderId="4" xfId="0" applyFont="1" applyFill="1" applyBorder="1" applyAlignment="1">
      <alignment horizontal="center" vertical="center" wrapText="1"/>
    </xf>
    <xf numFmtId="0" fontId="77" fillId="0" borderId="36" xfId="0" applyFont="1" applyFill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top" wrapText="1"/>
    </xf>
    <xf numFmtId="0" fontId="77" fillId="7" borderId="4" xfId="0" applyFont="1" applyFill="1" applyBorder="1" applyAlignment="1">
      <alignment horizontal="left" vertical="top" wrapText="1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top" wrapText="1"/>
    </xf>
    <xf numFmtId="0" fontId="63" fillId="0" borderId="0" xfId="0" applyFont="1" applyAlignment="1">
      <alignment vertical="center"/>
    </xf>
    <xf numFmtId="0" fontId="79" fillId="0" borderId="2" xfId="0" applyFont="1" applyBorder="1" applyAlignment="1">
      <alignment horizontal="center" vertical="top" wrapText="1"/>
    </xf>
    <xf numFmtId="0" fontId="79" fillId="0" borderId="2" xfId="0" applyFont="1" applyBorder="1" applyAlignment="1">
      <alignment horizontal="left" vertical="top" wrapText="1" indent="5"/>
    </xf>
    <xf numFmtId="0" fontId="79" fillId="0" borderId="2" xfId="0" quotePrefix="1" applyFont="1" applyBorder="1" applyAlignment="1">
      <alignment horizontal="center" vertical="top" wrapText="1"/>
    </xf>
    <xf numFmtId="0" fontId="79" fillId="0" borderId="2" xfId="0" quotePrefix="1" applyFont="1" applyBorder="1" applyAlignment="1">
      <alignment horizontal="left" vertical="top" wrapText="1" indent="10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69" fillId="0" borderId="0" xfId="0" applyFont="1" applyAlignment="1">
      <alignment horizontal="left" indent="13"/>
    </xf>
    <xf numFmtId="0" fontId="60" fillId="0" borderId="0" xfId="0" applyFont="1"/>
    <xf numFmtId="0" fontId="77" fillId="7" borderId="2" xfId="0" applyFont="1" applyFill="1" applyBorder="1" applyAlignment="1">
      <alignment horizontal="left" vertical="top" wrapText="1"/>
    </xf>
    <xf numFmtId="0" fontId="79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0" fontId="87" fillId="0" borderId="0" xfId="0" applyFont="1" applyFill="1" applyAlignment="1">
      <alignment horizontal="left" vertical="center" wrapText="1"/>
    </xf>
    <xf numFmtId="0" fontId="10" fillId="0" borderId="67" xfId="0" applyFont="1" applyFill="1" applyBorder="1" applyAlignment="1" applyProtection="1">
      <alignment horizontal="center" vertical="center" wrapText="1"/>
    </xf>
    <xf numFmtId="0" fontId="22" fillId="0" borderId="35" xfId="0" applyFont="1" applyFill="1" applyBorder="1" applyAlignment="1" applyProtection="1">
      <alignment horizontal="center" vertical="center" wrapText="1"/>
    </xf>
    <xf numFmtId="0" fontId="53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center" wrapText="1"/>
    </xf>
    <xf numFmtId="164" fontId="35" fillId="0" borderId="23" xfId="0" applyNumberFormat="1" applyFont="1" applyFill="1" applyBorder="1" applyAlignment="1" applyProtection="1">
      <alignment horizontal="right" vertical="center" wrapText="1" indent="1"/>
    </xf>
    <xf numFmtId="164" fontId="35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49" fontId="24" fillId="0" borderId="40" xfId="4" applyNumberFormat="1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24" fillId="0" borderId="61" xfId="4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vertical="center" wrapText="1" indent="1"/>
    </xf>
    <xf numFmtId="0" fontId="24" fillId="0" borderId="29" xfId="4" applyFont="1" applyFill="1" applyBorder="1" applyAlignment="1" applyProtection="1">
      <alignment horizontal="left" vertical="center" wrapText="1" indent="1"/>
    </xf>
    <xf numFmtId="0" fontId="24" fillId="0" borderId="69" xfId="4" applyFont="1" applyFill="1" applyBorder="1" applyAlignment="1" applyProtection="1">
      <alignment horizontal="left" vertical="center" wrapText="1" indent="1"/>
    </xf>
    <xf numFmtId="0" fontId="31" fillId="0" borderId="35" xfId="4" applyFont="1" applyFill="1" applyBorder="1" applyAlignment="1" applyProtection="1">
      <alignment horizontal="left" vertical="center" wrapText="1" indent="1"/>
    </xf>
    <xf numFmtId="0" fontId="32" fillId="0" borderId="61" xfId="4" applyFont="1" applyFill="1" applyBorder="1" applyAlignment="1" applyProtection="1">
      <alignment horizontal="left" vertical="center" wrapText="1" indent="1"/>
    </xf>
    <xf numFmtId="0" fontId="32" fillId="0" borderId="68" xfId="4" applyFont="1" applyFill="1" applyBorder="1" applyAlignment="1" applyProtection="1">
      <alignment horizontal="left" vertical="center" wrapText="1" indent="1"/>
    </xf>
    <xf numFmtId="0" fontId="31" fillId="0" borderId="67" xfId="4" applyFont="1" applyFill="1" applyBorder="1" applyAlignment="1" applyProtection="1">
      <alignment horizontal="left" vertical="center" wrapText="1" indent="1"/>
    </xf>
    <xf numFmtId="0" fontId="32" fillId="0" borderId="62" xfId="4" applyFont="1" applyFill="1" applyBorder="1" applyAlignment="1" applyProtection="1">
      <alignment horizontal="left" vertical="center" wrapText="1" indent="1"/>
    </xf>
    <xf numFmtId="0" fontId="32" fillId="0" borderId="77" xfId="4" applyFont="1" applyFill="1" applyBorder="1" applyAlignment="1" applyProtection="1">
      <alignment horizontal="left" vertical="center" wrapText="1" indent="1"/>
    </xf>
    <xf numFmtId="0" fontId="31" fillId="0" borderId="46" xfId="4" applyFont="1" applyFill="1" applyBorder="1" applyAlignment="1" applyProtection="1">
      <alignment horizontal="left" vertical="center" wrapText="1" indent="1"/>
    </xf>
    <xf numFmtId="0" fontId="44" fillId="0" borderId="46" xfId="0" applyFont="1" applyBorder="1" applyAlignment="1" applyProtection="1">
      <alignment horizontal="left" wrapText="1" indent="1"/>
    </xf>
    <xf numFmtId="0" fontId="22" fillId="0" borderId="35" xfId="4" applyFont="1" applyFill="1" applyBorder="1" applyAlignment="1" applyProtection="1">
      <alignment horizontal="left" vertical="center" wrapText="1" indent="1"/>
    </xf>
    <xf numFmtId="0" fontId="10" fillId="0" borderId="35" xfId="0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indent="7"/>
    </xf>
    <xf numFmtId="0" fontId="24" fillId="0" borderId="69" xfId="4" applyFont="1" applyFill="1" applyBorder="1" applyAlignment="1" applyProtection="1">
      <alignment horizontal="left" vertical="center" wrapText="1" indent="6"/>
    </xf>
    <xf numFmtId="0" fontId="24" fillId="0" borderId="55" xfId="4" applyFont="1" applyFill="1" applyBorder="1" applyAlignment="1" applyProtection="1">
      <alignment horizontal="left" vertical="center" wrapText="1" indent="6"/>
    </xf>
    <xf numFmtId="0" fontId="24" fillId="0" borderId="52" xfId="4" applyFont="1" applyFill="1" applyBorder="1" applyAlignment="1" applyProtection="1">
      <alignment horizontal="left" vertical="center" wrapText="1" indent="6"/>
    </xf>
    <xf numFmtId="0" fontId="32" fillId="0" borderId="52" xfId="4" applyFont="1" applyFill="1" applyBorder="1" applyAlignment="1" applyProtection="1">
      <alignment horizontal="left" vertical="center" wrapText="1" indent="1"/>
    </xf>
    <xf numFmtId="0" fontId="28" fillId="0" borderId="46" xfId="0" applyFont="1" applyBorder="1" applyAlignment="1" applyProtection="1">
      <alignment horizontal="left" wrapText="1" indent="1"/>
    </xf>
    <xf numFmtId="0" fontId="35" fillId="0" borderId="59" xfId="0" applyFont="1" applyBorder="1" applyAlignment="1" applyProtection="1">
      <alignment horizontal="center" vertical="center" wrapText="1"/>
    </xf>
    <xf numFmtId="3" fontId="32" fillId="0" borderId="49" xfId="0" applyNumberFormat="1" applyFont="1" applyBorder="1" applyAlignment="1" applyProtection="1">
      <alignment horizontal="right" vertical="center" indent="1"/>
      <protection locked="0"/>
    </xf>
    <xf numFmtId="3" fontId="35" fillId="0" borderId="38" xfId="0" applyNumberFormat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center" indent="1"/>
    </xf>
    <xf numFmtId="0" fontId="6" fillId="0" borderId="35" xfId="4" applyFont="1" applyFill="1" applyBorder="1" applyAlignment="1" applyProtection="1">
      <alignment horizontal="center" vertical="center" wrapText="1"/>
    </xf>
    <xf numFmtId="0" fontId="6" fillId="0" borderId="16" xfId="4" applyFont="1" applyFill="1" applyBorder="1" applyAlignment="1" applyProtection="1">
      <alignment horizontal="center" vertical="center" wrapText="1"/>
    </xf>
    <xf numFmtId="164" fontId="6" fillId="0" borderId="67" xfId="4" applyNumberFormat="1" applyFont="1" applyFill="1" applyBorder="1" applyAlignment="1" applyProtection="1">
      <alignment horizontal="right" vertical="center" wrapText="1" indent="1"/>
    </xf>
    <xf numFmtId="164" fontId="6" fillId="0" borderId="18" xfId="4" applyNumberFormat="1" applyFont="1" applyFill="1" applyBorder="1" applyAlignment="1" applyProtection="1">
      <alignment horizontal="right" vertical="center" wrapText="1" indent="1"/>
    </xf>
    <xf numFmtId="164" fontId="6" fillId="0" borderId="46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</xf>
    <xf numFmtId="164" fontId="6" fillId="0" borderId="38" xfId="4" applyNumberFormat="1" applyFont="1" applyFill="1" applyBorder="1" applyAlignment="1" applyProtection="1">
      <alignment horizontal="right" vertical="center" wrapText="1" indent="1"/>
    </xf>
    <xf numFmtId="164" fontId="17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5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5" xfId="4" applyNumberFormat="1" applyFont="1" applyFill="1" applyBorder="1" applyAlignment="1" applyProtection="1">
      <alignment horizontal="right" vertical="center" wrapText="1" indent="1"/>
    </xf>
    <xf numFmtId="164" fontId="20" fillId="0" borderId="4" xfId="4" applyNumberFormat="1" applyFont="1" applyFill="1" applyBorder="1" applyAlignment="1" applyProtection="1">
      <alignment horizontal="right" vertical="center" wrapText="1" indent="1"/>
    </xf>
    <xf numFmtId="164" fontId="20" fillId="0" borderId="6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35" fillId="0" borderId="35" xfId="4" applyNumberFormat="1" applyFont="1" applyFill="1" applyBorder="1" applyAlignment="1" applyProtection="1">
      <alignment horizontal="right" vertical="center" wrapText="1" indent="1"/>
    </xf>
    <xf numFmtId="164" fontId="35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69" xfId="4" applyNumberFormat="1" applyFont="1" applyFill="1" applyBorder="1" applyAlignment="1" applyProtection="1">
      <alignment horizontal="right" vertical="center" wrapText="1" indent="1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7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69" xfId="0" applyFont="1" applyBorder="1" applyAlignment="1" applyProtection="1">
      <alignment horizontal="right" vertical="center" wrapText="1" indent="1"/>
      <protection locked="0"/>
    </xf>
    <xf numFmtId="0" fontId="73" fillId="0" borderId="4" xfId="0" applyFont="1" applyBorder="1" applyAlignment="1" applyProtection="1">
      <alignment horizontal="right" vertical="center" wrapText="1" indent="1"/>
      <protection locked="0"/>
    </xf>
    <xf numFmtId="0" fontId="73" fillId="0" borderId="55" xfId="0" applyFont="1" applyBorder="1" applyAlignment="1" applyProtection="1">
      <alignment horizontal="right" vertical="center" wrapText="1" indent="1"/>
      <protection locked="0"/>
    </xf>
    <xf numFmtId="0" fontId="73" fillId="0" borderId="2" xfId="0" applyFont="1" applyBorder="1" applyAlignment="1" applyProtection="1">
      <alignment horizontal="right" vertical="center" wrapText="1" indent="1"/>
      <protection locked="0"/>
    </xf>
    <xf numFmtId="0" fontId="73" fillId="0" borderId="62" xfId="0" applyFont="1" applyBorder="1" applyAlignment="1" applyProtection="1">
      <alignment horizontal="right" vertical="center" wrapText="1" indent="1"/>
      <protection locked="0"/>
    </xf>
    <xf numFmtId="0" fontId="73" fillId="0" borderId="7" xfId="0" applyFont="1" applyBorder="1" applyAlignment="1" applyProtection="1">
      <alignment horizontal="right" vertical="center" wrapText="1" indent="1"/>
      <protection locked="0"/>
    </xf>
    <xf numFmtId="164" fontId="52" fillId="0" borderId="35" xfId="0" applyNumberFormat="1" applyFont="1" applyBorder="1" applyAlignment="1" applyProtection="1">
      <alignment horizontal="right" vertical="center" wrapText="1" indent="1"/>
    </xf>
    <xf numFmtId="164" fontId="52" fillId="0" borderId="16" xfId="0" applyNumberFormat="1" applyFont="1" applyBorder="1" applyAlignment="1" applyProtection="1">
      <alignment horizontal="right" vertical="center" wrapText="1" indent="1"/>
    </xf>
    <xf numFmtId="0" fontId="52" fillId="0" borderId="35" xfId="0" quotePrefix="1" applyFont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Border="1" applyAlignment="1" applyProtection="1">
      <alignment horizontal="right" vertical="center" wrapText="1" indent="1"/>
      <protection locked="0"/>
    </xf>
    <xf numFmtId="0" fontId="3" fillId="0" borderId="0" xfId="4" applyFont="1" applyFill="1" applyAlignment="1" applyProtection="1">
      <alignment horizontal="right" vertical="center" indent="1"/>
    </xf>
    <xf numFmtId="164" fontId="6" fillId="0" borderId="23" xfId="4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Border="1" applyAlignment="1" applyProtection="1">
      <alignment horizontal="right" vertical="center" wrapText="1" indent="1"/>
    </xf>
    <xf numFmtId="164" fontId="73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3" fillId="0" borderId="23" xfId="0" applyFont="1" applyBorder="1" applyAlignment="1" applyProtection="1">
      <alignment horizontal="right" vertical="center" wrapText="1" indent="1"/>
    </xf>
    <xf numFmtId="0" fontId="3" fillId="0" borderId="0" xfId="4" applyFont="1" applyFill="1" applyAlignment="1">
      <alignment horizontal="right" vertical="center" indent="1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6" fillId="0" borderId="0" xfId="0" applyNumberFormat="1" applyFont="1" applyFill="1" applyAlignment="1" applyProtection="1">
      <alignment horizontal="right" vertical="center"/>
    </xf>
    <xf numFmtId="164" fontId="35" fillId="0" borderId="16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5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3" fontId="35" fillId="0" borderId="16" xfId="0" applyNumberFormat="1" applyFont="1" applyBorder="1" applyAlignment="1" applyProtection="1">
      <alignment horizontal="center" vertical="center" wrapText="1"/>
    </xf>
    <xf numFmtId="3" fontId="35" fillId="0" borderId="16" xfId="0" applyNumberFormat="1" applyFont="1" applyFill="1" applyBorder="1" applyAlignment="1" applyProtection="1">
      <alignment horizontal="right" vertical="center" indent="1"/>
    </xf>
    <xf numFmtId="164" fontId="17" fillId="0" borderId="0" xfId="4" applyNumberFormat="1" applyFont="1" applyFill="1"/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53" fillId="0" borderId="16" xfId="0" applyFont="1" applyFill="1" applyBorder="1" applyAlignment="1" applyProtection="1">
      <alignment horizontal="center" wrapText="1"/>
    </xf>
    <xf numFmtId="0" fontId="53" fillId="0" borderId="74" xfId="0" applyFont="1" applyFill="1" applyBorder="1" applyAlignment="1" applyProtection="1">
      <alignment horizontal="center" wrapTex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6"/>
    </xf>
    <xf numFmtId="0" fontId="29" fillId="0" borderId="61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6"/>
    </xf>
    <xf numFmtId="0" fontId="30" fillId="0" borderId="0" xfId="0" applyFont="1" applyFill="1" applyBorder="1" applyAlignment="1" applyProtection="1">
      <alignment horizontal="left" vertical="center" wrapText="1" indent="1"/>
    </xf>
    <xf numFmtId="0" fontId="29" fillId="0" borderId="75" xfId="0" applyFont="1" applyFill="1" applyBorder="1" applyAlignment="1" applyProtection="1">
      <alignment horizontal="left" vertical="center" wrapText="1" indent="1"/>
    </xf>
    <xf numFmtId="0" fontId="29" fillId="0" borderId="77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9" xfId="0" applyFont="1" applyFill="1" applyBorder="1" applyAlignment="1" applyProtection="1">
      <alignment horizontal="left" vertical="center" wrapText="1" indent="1"/>
    </xf>
    <xf numFmtId="0" fontId="30" fillId="0" borderId="35" xfId="0" applyFont="1" applyFill="1" applyBorder="1" applyAlignment="1" applyProtection="1">
      <alignment horizontal="left" vertical="center" wrapText="1" indent="1"/>
    </xf>
    <xf numFmtId="0" fontId="29" fillId="0" borderId="68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wrapText="1" indent="1"/>
    </xf>
    <xf numFmtId="0" fontId="29" fillId="0" borderId="2" xfId="0" quotePrefix="1" applyFont="1" applyFill="1" applyBorder="1" applyAlignment="1" applyProtection="1">
      <alignment horizontal="left" vertical="center" wrapText="1" indent="6"/>
    </xf>
    <xf numFmtId="0" fontId="29" fillId="0" borderId="32" xfId="0" quotePrefix="1" applyFont="1" applyFill="1" applyBorder="1" applyAlignment="1" applyProtection="1">
      <alignment horizontal="left" vertical="center" wrapText="1" indent="6"/>
    </xf>
    <xf numFmtId="0" fontId="30" fillId="0" borderId="15" xfId="0" applyFont="1" applyFill="1" applyBorder="1" applyAlignment="1" applyProtection="1">
      <alignment horizontal="left" vertical="center" wrapText="1" indent="1"/>
    </xf>
    <xf numFmtId="0" fontId="30" fillId="0" borderId="16" xfId="0" applyFont="1" applyFill="1" applyBorder="1" applyAlignment="1" applyProtection="1">
      <alignment horizontal="left" vertical="center" wrapText="1" indent="1"/>
    </xf>
    <xf numFmtId="49" fontId="50" fillId="0" borderId="15" xfId="0" applyNumberFormat="1" applyFont="1" applyFill="1" applyBorder="1" applyAlignment="1" applyProtection="1">
      <alignment horizontal="left" vertical="center" wrapText="1" indent="1"/>
    </xf>
    <xf numFmtId="0" fontId="50" fillId="0" borderId="16" xfId="0" applyFont="1" applyFill="1" applyBorder="1" applyAlignment="1" applyProtection="1">
      <alignment horizontal="left" vertical="center" wrapText="1" indent="1"/>
    </xf>
    <xf numFmtId="49" fontId="29" fillId="0" borderId="11" xfId="0" applyNumberFormat="1" applyFont="1" applyFill="1" applyBorder="1" applyAlignment="1" applyProtection="1">
      <alignment horizontal="left" vertical="center" wrapText="1" indent="2"/>
    </xf>
    <xf numFmtId="0" fontId="29" fillId="0" borderId="4" xfId="0" applyFont="1" applyFill="1" applyBorder="1" applyAlignment="1" applyProtection="1">
      <alignment horizontal="left" vertical="center" wrapText="1" indent="1"/>
    </xf>
    <xf numFmtId="49" fontId="29" fillId="0" borderId="9" xfId="0" applyNumberFormat="1" applyFont="1" applyFill="1" applyBorder="1" applyAlignment="1" applyProtection="1">
      <alignment horizontal="left" vertical="center" wrapText="1" indent="2"/>
    </xf>
    <xf numFmtId="49" fontId="29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7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0" fontId="30" fillId="0" borderId="10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3" fontId="32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39" fillId="0" borderId="0" xfId="0" applyFont="1" applyAlignment="1" applyProtection="1">
      <alignment horizontal="right"/>
    </xf>
    <xf numFmtId="16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164" fontId="35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4" xfId="0" applyFont="1" applyFill="1" applyBorder="1" applyAlignment="1" applyProtection="1">
      <alignment horizontal="left" vertical="center" wrapText="1" indent="1"/>
    </xf>
    <xf numFmtId="0" fontId="50" fillId="0" borderId="2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indent="1"/>
    </xf>
    <xf numFmtId="0" fontId="29" fillId="0" borderId="3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29" fillId="0" borderId="32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1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45" fillId="0" borderId="10" xfId="0" applyFont="1" applyFill="1" applyBorder="1" applyAlignment="1" applyProtection="1">
      <alignment horizontal="left" vertical="center" wrapText="1" indent="1"/>
    </xf>
    <xf numFmtId="164" fontId="17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4" applyNumberFormat="1" applyFont="1" applyFill="1" applyBorder="1" applyAlignment="1" applyProtection="1">
      <alignment horizontal="right" vertical="center" wrapText="1" indent="1"/>
    </xf>
    <xf numFmtId="0" fontId="73" fillId="0" borderId="4" xfId="0" applyFont="1" applyFill="1" applyBorder="1" applyAlignment="1" applyProtection="1">
      <alignment horizontal="right" vertical="center" wrapText="1" indent="1"/>
      <protection locked="0"/>
    </xf>
    <xf numFmtId="0" fontId="73" fillId="0" borderId="2" xfId="0" applyFont="1" applyFill="1" applyBorder="1" applyAlignment="1" applyProtection="1">
      <alignment horizontal="right" vertical="center" wrapText="1" indent="1"/>
      <protection locked="0"/>
    </xf>
    <xf numFmtId="3" fontId="7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7" xfId="0" applyFont="1" applyFill="1" applyBorder="1" applyAlignment="1" applyProtection="1">
      <alignment horizontal="right" vertical="center" wrapText="1" indent="1"/>
      <protection locked="0"/>
    </xf>
    <xf numFmtId="164" fontId="52" fillId="0" borderId="16" xfId="0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Fill="1" applyBorder="1" applyAlignment="1" applyProtection="1">
      <alignment horizontal="right" vertical="center" wrapText="1" indent="1"/>
    </xf>
    <xf numFmtId="164" fontId="73" fillId="0" borderId="23" xfId="0" applyNumberFormat="1" applyFont="1" applyFill="1" applyBorder="1" applyAlignment="1" applyProtection="1">
      <alignment horizontal="right" vertical="center" wrapText="1" indent="1"/>
    </xf>
    <xf numFmtId="164" fontId="14" fillId="0" borderId="0" xfId="4" applyNumberFormat="1" applyFill="1"/>
    <xf numFmtId="164" fontId="20" fillId="0" borderId="5" xfId="0" applyNumberFormat="1" applyFont="1" applyFill="1" applyBorder="1" applyAlignment="1" applyProtection="1">
      <alignment horizontal="right" vertical="center" wrapText="1" indent="1"/>
    </xf>
    <xf numFmtId="0" fontId="31" fillId="0" borderId="18" xfId="4" applyFont="1" applyFill="1" applyBorder="1" applyAlignment="1" applyProtection="1">
      <alignment horizontal="center" vertical="center" wrapText="1"/>
    </xf>
    <xf numFmtId="0" fontId="31" fillId="0" borderId="34" xfId="4" applyFont="1" applyFill="1" applyBorder="1" applyAlignment="1" applyProtection="1">
      <alignment horizontal="center" vertical="center" wrapText="1"/>
    </xf>
    <xf numFmtId="0" fontId="32" fillId="0" borderId="69" xfId="4" applyFont="1" applyFill="1" applyBorder="1" applyProtection="1"/>
    <xf numFmtId="0" fontId="45" fillId="0" borderId="55" xfId="0" applyFont="1" applyBorder="1" applyAlignment="1">
      <alignment horizontal="justify" wrapText="1"/>
    </xf>
    <xf numFmtId="0" fontId="45" fillId="0" borderId="55" xfId="0" applyFont="1" applyBorder="1" applyAlignment="1">
      <alignment wrapText="1"/>
    </xf>
    <xf numFmtId="0" fontId="45" fillId="0" borderId="52" xfId="0" applyFont="1" applyBorder="1" applyAlignment="1">
      <alignment wrapText="1"/>
    </xf>
    <xf numFmtId="0" fontId="31" fillId="0" borderId="17" xfId="4" applyFont="1" applyFill="1" applyBorder="1" applyAlignment="1" applyProtection="1">
      <alignment horizontal="center" vertical="center" wrapText="1"/>
    </xf>
    <xf numFmtId="3" fontId="32" fillId="0" borderId="53" xfId="1" applyNumberFormat="1" applyFont="1" applyFill="1" applyBorder="1" applyAlignment="1" applyProtection="1">
      <alignment horizontal="right"/>
      <protection locked="0"/>
    </xf>
    <xf numFmtId="3" fontId="32" fillId="0" borderId="5" xfId="1" applyNumberFormat="1" applyFont="1" applyFill="1" applyBorder="1" applyAlignment="1" applyProtection="1">
      <alignment horizontal="right"/>
      <protection locked="0"/>
    </xf>
    <xf numFmtId="3" fontId="32" fillId="0" borderId="31" xfId="1" applyNumberFormat="1" applyFont="1" applyFill="1" applyBorder="1" applyAlignment="1" applyProtection="1">
      <alignment horizontal="right"/>
      <protection locked="0"/>
    </xf>
    <xf numFmtId="3" fontId="32" fillId="0" borderId="54" xfId="1" applyNumberFormat="1" applyFont="1" applyFill="1" applyBorder="1" applyAlignment="1" applyProtection="1">
      <alignment horizontal="right"/>
      <protection locked="0"/>
    </xf>
    <xf numFmtId="3" fontId="32" fillId="0" borderId="2" xfId="1" applyNumberFormat="1" applyFont="1" applyFill="1" applyBorder="1" applyAlignment="1" applyProtection="1">
      <alignment horizontal="right"/>
      <protection locked="0"/>
    </xf>
    <xf numFmtId="3" fontId="32" fillId="0" borderId="19" xfId="1" applyNumberFormat="1" applyFont="1" applyFill="1" applyBorder="1" applyAlignment="1" applyProtection="1">
      <alignment horizontal="right"/>
      <protection locked="0"/>
    </xf>
    <xf numFmtId="3" fontId="45" fillId="0" borderId="2" xfId="0" applyNumberFormat="1" applyFont="1" applyBorder="1" applyAlignment="1">
      <alignment horizontal="right" wrapText="1"/>
    </xf>
    <xf numFmtId="3" fontId="32" fillId="0" borderId="41" xfId="1" applyNumberFormat="1" applyFont="1" applyFill="1" applyBorder="1" applyAlignment="1" applyProtection="1">
      <alignment horizontal="right"/>
      <protection locked="0"/>
    </xf>
    <xf numFmtId="3" fontId="45" fillId="0" borderId="7" xfId="0" applyNumberFormat="1" applyFont="1" applyBorder="1" applyAlignment="1">
      <alignment horizontal="right" wrapText="1"/>
    </xf>
    <xf numFmtId="3" fontId="32" fillId="0" borderId="21" xfId="1" applyNumberFormat="1" applyFont="1" applyFill="1" applyBorder="1" applyAlignment="1" applyProtection="1">
      <alignment horizontal="right"/>
      <protection locked="0"/>
    </xf>
    <xf numFmtId="3" fontId="31" fillId="0" borderId="45" xfId="1" applyNumberFormat="1" applyFont="1" applyFill="1" applyBorder="1" applyAlignment="1" applyProtection="1">
      <alignment horizontal="right"/>
    </xf>
    <xf numFmtId="3" fontId="33" fillId="0" borderId="16" xfId="4" applyNumberFormat="1" applyFont="1" applyFill="1" applyBorder="1" applyAlignment="1" applyProtection="1">
      <alignment horizontal="right"/>
    </xf>
    <xf numFmtId="3" fontId="31" fillId="0" borderId="23" xfId="1" applyNumberFormat="1" applyFont="1" applyFill="1" applyBorder="1" applyAlignment="1" applyProtection="1">
      <alignment horizontal="right"/>
    </xf>
    <xf numFmtId="164" fontId="73" fillId="0" borderId="2" xfId="6" applyNumberFormat="1" applyFont="1" applyFill="1" applyBorder="1" applyAlignment="1">
      <alignment vertical="center" wrapText="1"/>
    </xf>
    <xf numFmtId="0" fontId="73" fillId="0" borderId="2" xfId="7" applyFont="1" applyFill="1" applyBorder="1" applyAlignment="1">
      <alignment vertical="center" wrapText="1"/>
    </xf>
    <xf numFmtId="3" fontId="73" fillId="0" borderId="2" xfId="7" applyNumberFormat="1" applyFont="1" applyFill="1" applyBorder="1" applyAlignment="1">
      <alignment horizontal="right" vertical="center"/>
    </xf>
    <xf numFmtId="0" fontId="73" fillId="0" borderId="0" xfId="0" applyFont="1" applyAlignment="1"/>
    <xf numFmtId="0" fontId="35" fillId="0" borderId="7" xfId="4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vertical="center"/>
    </xf>
    <xf numFmtId="164" fontId="73" fillId="0" borderId="7" xfId="6" applyNumberFormat="1" applyFont="1" applyFill="1" applyBorder="1" applyAlignment="1">
      <alignment vertical="center" wrapText="1"/>
    </xf>
    <xf numFmtId="0" fontId="32" fillId="0" borderId="11" xfId="0" applyFont="1" applyBorder="1" applyAlignment="1" applyProtection="1">
      <alignment horizontal="right" vertical="center" indent="1"/>
    </xf>
    <xf numFmtId="0" fontId="32" fillId="0" borderId="4" xfId="0" applyFont="1" applyBorder="1" applyAlignment="1" applyProtection="1">
      <alignment horizontal="left" vertical="center" indent="1"/>
      <protection locked="0"/>
    </xf>
    <xf numFmtId="3" fontId="32" fillId="0" borderId="51" xfId="0" applyNumberFormat="1" applyFont="1" applyBorder="1" applyAlignment="1" applyProtection="1">
      <alignment horizontal="right" vertical="center" indent="1"/>
      <protection locked="0"/>
    </xf>
    <xf numFmtId="0" fontId="32" fillId="0" borderId="17" xfId="0" applyFont="1" applyBorder="1" applyAlignment="1" applyProtection="1">
      <alignment horizontal="right" vertical="center" indent="1"/>
    </xf>
    <xf numFmtId="0" fontId="32" fillId="0" borderId="18" xfId="0" applyFont="1" applyBorder="1" applyAlignment="1" applyProtection="1">
      <alignment horizontal="left" vertical="center" indent="1"/>
      <protection locked="0"/>
    </xf>
    <xf numFmtId="3" fontId="32" fillId="0" borderId="18" xfId="0" applyNumberFormat="1" applyFont="1" applyBorder="1" applyAlignment="1" applyProtection="1">
      <alignment horizontal="right" vertical="center" indent="1"/>
      <protection locked="0"/>
    </xf>
    <xf numFmtId="3" fontId="32" fillId="0" borderId="59" xfId="0" applyNumberFormat="1" applyFont="1" applyBorder="1" applyAlignment="1" applyProtection="1">
      <alignment horizontal="right" vertical="center" indent="1"/>
      <protection locked="0"/>
    </xf>
    <xf numFmtId="3" fontId="32" fillId="8" borderId="4" xfId="0" applyNumberFormat="1" applyFont="1" applyFill="1" applyBorder="1" applyAlignment="1" applyProtection="1">
      <alignment horizontal="right" vertical="center" indent="1"/>
      <protection locked="0"/>
    </xf>
    <xf numFmtId="3" fontId="31" fillId="0" borderId="16" xfId="0" applyNumberFormat="1" applyFont="1" applyBorder="1" applyAlignment="1" applyProtection="1">
      <alignment horizontal="right" vertical="center" indent="1"/>
      <protection locked="0"/>
    </xf>
    <xf numFmtId="3" fontId="31" fillId="0" borderId="38" xfId="0" applyNumberFormat="1" applyFont="1" applyBorder="1" applyAlignment="1" applyProtection="1">
      <alignment horizontal="right" vertical="center" indent="1"/>
      <protection locked="0"/>
    </xf>
    <xf numFmtId="0" fontId="35" fillId="0" borderId="0" xfId="0" applyFont="1"/>
    <xf numFmtId="0" fontId="73" fillId="0" borderId="0" xfId="0" applyFont="1" applyFill="1"/>
    <xf numFmtId="3" fontId="73" fillId="0" borderId="0" xfId="0" applyNumberFormat="1" applyFont="1" applyFill="1" applyBorder="1"/>
    <xf numFmtId="0" fontId="52" fillId="0" borderId="15" xfId="7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 applyProtection="1">
      <alignment horizontal="center" vertical="center" wrapText="1"/>
    </xf>
    <xf numFmtId="164" fontId="52" fillId="0" borderId="58" xfId="0" applyNumberFormat="1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>
      <alignment horizontal="center" vertical="center" wrapText="1"/>
    </xf>
    <xf numFmtId="164" fontId="73" fillId="0" borderId="0" xfId="0" applyNumberFormat="1" applyFont="1" applyFill="1" applyAlignment="1">
      <alignment horizontal="left" vertical="center" wrapText="1"/>
    </xf>
    <xf numFmtId="164" fontId="52" fillId="0" borderId="39" xfId="0" applyNumberFormat="1" applyFont="1" applyFill="1" applyBorder="1" applyAlignment="1">
      <alignment horizontal="left" vertical="center" wrapText="1"/>
    </xf>
    <xf numFmtId="164" fontId="36" fillId="0" borderId="0" xfId="0" applyNumberFormat="1" applyFont="1" applyFill="1" applyAlignment="1" applyProtection="1">
      <alignment horizontal="right" wrapText="1"/>
    </xf>
    <xf numFmtId="49" fontId="35" fillId="0" borderId="16" xfId="0" applyNumberFormat="1" applyFont="1" applyFill="1" applyBorder="1" applyAlignment="1" applyProtection="1">
      <alignment horizontal="center" vertical="center" wrapText="1"/>
    </xf>
    <xf numFmtId="49" fontId="35" fillId="0" borderId="3" xfId="0" applyNumberFormat="1" applyFont="1" applyFill="1" applyBorder="1" applyAlignment="1" applyProtection="1">
      <alignment horizontal="center" vertical="center" wrapText="1"/>
    </xf>
    <xf numFmtId="164" fontId="35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2" fillId="0" borderId="54" xfId="0" applyNumberFormat="1" applyFont="1" applyFill="1" applyBorder="1" applyAlignment="1">
      <alignment horizontal="left" vertical="center" wrapText="1"/>
    </xf>
    <xf numFmtId="164" fontId="52" fillId="0" borderId="49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2" xfId="0" applyNumberFormat="1" applyFont="1" applyFill="1" applyBorder="1" applyAlignment="1" applyProtection="1">
      <alignment horizontal="center" vertical="center" wrapText="1"/>
    </xf>
    <xf numFmtId="49" fontId="35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3" fillId="0" borderId="0" xfId="0" applyFont="1"/>
    <xf numFmtId="0" fontId="52" fillId="0" borderId="0" xfId="0" applyFont="1" applyAlignment="1">
      <alignment horizontal="justify"/>
    </xf>
    <xf numFmtId="167" fontId="73" fillId="0" borderId="0" xfId="0" applyNumberFormat="1" applyFont="1"/>
    <xf numFmtId="4" fontId="73" fillId="0" borderId="0" xfId="0" applyNumberFormat="1" applyFont="1" applyAlignment="1">
      <alignment horizontal="center"/>
    </xf>
    <xf numFmtId="0" fontId="52" fillId="0" borderId="0" xfId="0" applyFont="1" applyAlignment="1"/>
    <xf numFmtId="0" fontId="95" fillId="0" borderId="0" xfId="0" applyFont="1" applyAlignment="1"/>
    <xf numFmtId="164" fontId="24" fillId="0" borderId="20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  <protection locked="0"/>
    </xf>
    <xf numFmtId="164" fontId="24" fillId="0" borderId="31" xfId="5" applyNumberFormat="1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horizontal="left" vertical="center" indent="1"/>
      <protection locked="0"/>
    </xf>
    <xf numFmtId="3" fontId="32" fillId="0" borderId="2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2" fillId="0" borderId="32" xfId="0" applyFont="1" applyFill="1" applyBorder="1" applyAlignment="1" applyProtection="1">
      <alignment horizontal="left" vertical="center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0" fontId="73" fillId="0" borderId="7" xfId="7" applyFont="1" applyFill="1" applyBorder="1" applyAlignment="1">
      <alignment vertical="center" wrapText="1"/>
    </xf>
    <xf numFmtId="164" fontId="35" fillId="0" borderId="23" xfId="0" applyNumberFormat="1" applyFont="1" applyFill="1" applyBorder="1" applyAlignment="1" applyProtection="1">
      <alignment horizontal="center" vertical="center" wrapText="1"/>
    </xf>
    <xf numFmtId="49" fontId="73" fillId="0" borderId="13" xfId="7" applyNumberFormat="1" applyFont="1" applyFill="1" applyBorder="1" applyAlignment="1">
      <alignment vertical="center" wrapText="1"/>
    </xf>
    <xf numFmtId="3" fontId="73" fillId="0" borderId="22" xfId="7" applyNumberFormat="1" applyFont="1" applyFill="1" applyBorder="1" applyAlignment="1">
      <alignment horizontal="right" vertical="center"/>
    </xf>
    <xf numFmtId="49" fontId="73" fillId="0" borderId="9" xfId="7" applyNumberFormat="1" applyFont="1" applyFill="1" applyBorder="1" applyAlignment="1">
      <alignment vertical="center" wrapText="1"/>
    </xf>
    <xf numFmtId="49" fontId="73" fillId="0" borderId="14" xfId="7" applyNumberFormat="1" applyFont="1" applyFill="1" applyBorder="1" applyAlignment="1">
      <alignment vertical="center" wrapText="1"/>
    </xf>
    <xf numFmtId="164" fontId="6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4" fillId="8" borderId="4" xfId="5" applyFont="1" applyFill="1" applyBorder="1" applyAlignment="1" applyProtection="1">
      <alignment horizontal="left" vertical="center" indent="1"/>
    </xf>
    <xf numFmtId="164" fontId="24" fillId="8" borderId="4" xfId="5" applyNumberFormat="1" applyFont="1" applyFill="1" applyBorder="1" applyAlignment="1" applyProtection="1">
      <alignment vertical="center"/>
      <protection locked="0"/>
    </xf>
    <xf numFmtId="164" fontId="24" fillId="8" borderId="31" xfId="5" applyNumberFormat="1" applyFont="1" applyFill="1" applyBorder="1" applyAlignment="1" applyProtection="1">
      <alignment vertical="center"/>
    </xf>
    <xf numFmtId="0" fontId="24" fillId="8" borderId="2" xfId="5" applyFont="1" applyFill="1" applyBorder="1" applyAlignment="1" applyProtection="1">
      <alignment horizontal="left" vertical="center" wrapText="1" indent="1"/>
    </xf>
    <xf numFmtId="164" fontId="24" fillId="8" borderId="2" xfId="5" applyNumberFormat="1" applyFont="1" applyFill="1" applyBorder="1" applyAlignment="1" applyProtection="1">
      <alignment vertical="center"/>
      <protection locked="0"/>
    </xf>
    <xf numFmtId="164" fontId="24" fillId="8" borderId="19" xfId="5" applyNumberFormat="1" applyFont="1" applyFill="1" applyBorder="1" applyAlignment="1" applyProtection="1">
      <alignment vertical="center"/>
    </xf>
    <xf numFmtId="0" fontId="32" fillId="0" borderId="7" xfId="0" applyFont="1" applyFill="1" applyBorder="1" applyAlignment="1" applyProtection="1">
      <alignment horizontal="left" vertical="center" indent="1"/>
      <protection locked="0"/>
    </xf>
    <xf numFmtId="3" fontId="32" fillId="0" borderId="7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44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vertical="center" wrapText="1"/>
    </xf>
    <xf numFmtId="0" fontId="42" fillId="0" borderId="74" xfId="0" applyFont="1" applyBorder="1" applyAlignment="1" applyProtection="1">
      <alignment horizontal="center" wrapText="1"/>
    </xf>
    <xf numFmtId="0" fontId="31" fillId="0" borderId="60" xfId="4" applyFont="1" applyFill="1" applyBorder="1" applyAlignment="1" applyProtection="1">
      <alignment horizontal="left" vertical="center" wrapText="1" indent="1"/>
    </xf>
    <xf numFmtId="0" fontId="10" fillId="0" borderId="78" xfId="0" applyFont="1" applyFill="1" applyBorder="1" applyAlignment="1" applyProtection="1">
      <alignment vertical="center"/>
    </xf>
    <xf numFmtId="0" fontId="10" fillId="0" borderId="79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6" fillId="0" borderId="23" xfId="4" applyFont="1" applyFill="1" applyBorder="1" applyAlignment="1" applyProtection="1">
      <alignment horizontal="center" vertical="center" wrapText="1"/>
    </xf>
    <xf numFmtId="164" fontId="17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23" xfId="0" applyNumberFormat="1" applyFont="1" applyFill="1" applyBorder="1" applyAlignment="1" applyProtection="1">
      <alignment horizontal="center" vertical="center" wrapText="1"/>
    </xf>
    <xf numFmtId="0" fontId="29" fillId="0" borderId="69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1"/>
    </xf>
    <xf numFmtId="0" fontId="29" fillId="0" borderId="62" xfId="0" applyFont="1" applyFill="1" applyBorder="1" applyAlignment="1" applyProtection="1">
      <alignment horizontal="left" vertical="center" wrapText="1" indent="1"/>
    </xf>
    <xf numFmtId="0" fontId="50" fillId="0" borderId="6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49" fontId="35" fillId="0" borderId="2" xfId="0" applyNumberFormat="1" applyFont="1" applyFill="1" applyBorder="1" applyAlignment="1" applyProtection="1">
      <alignment horizontal="center" vertical="center" wrapText="1"/>
    </xf>
    <xf numFmtId="164" fontId="35" fillId="0" borderId="2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>
      <alignment horizontal="left" vertical="center" wrapText="1"/>
    </xf>
    <xf numFmtId="164" fontId="52" fillId="0" borderId="2" xfId="0" applyNumberFormat="1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left" vertical="center"/>
    </xf>
    <xf numFmtId="164" fontId="20" fillId="0" borderId="31" xfId="0" applyNumberFormat="1" applyFont="1" applyFill="1" applyBorder="1" applyAlignment="1" applyProtection="1">
      <alignment horizontal="right" vertical="center" wrapText="1" indent="1"/>
    </xf>
    <xf numFmtId="0" fontId="52" fillId="0" borderId="83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top" wrapText="1"/>
    </xf>
    <xf numFmtId="0" fontId="73" fillId="0" borderId="73" xfId="0" applyFont="1" applyBorder="1" applyAlignment="1">
      <alignment horizontal="center" vertical="top" wrapText="1"/>
    </xf>
    <xf numFmtId="0" fontId="73" fillId="0" borderId="30" xfId="0" applyFont="1" applyBorder="1" applyAlignment="1">
      <alignment horizontal="center" vertical="top" wrapText="1"/>
    </xf>
    <xf numFmtId="0" fontId="52" fillId="0" borderId="30" xfId="0" applyFont="1" applyBorder="1" applyAlignment="1">
      <alignment horizontal="center" vertical="top" wrapText="1"/>
    </xf>
    <xf numFmtId="0" fontId="73" fillId="0" borderId="30" xfId="0" applyFont="1" applyBorder="1" applyAlignment="1">
      <alignment vertical="top" wrapText="1"/>
    </xf>
    <xf numFmtId="0" fontId="73" fillId="0" borderId="66" xfId="0" applyFont="1" applyBorder="1" applyAlignment="1">
      <alignment vertical="top" wrapText="1"/>
    </xf>
    <xf numFmtId="0" fontId="73" fillId="0" borderId="66" xfId="0" applyFont="1" applyBorder="1" applyAlignment="1">
      <alignment horizontal="center" vertical="top" wrapText="1"/>
    </xf>
    <xf numFmtId="0" fontId="1" fillId="0" borderId="0" xfId="9"/>
    <xf numFmtId="0" fontId="100" fillId="0" borderId="0" xfId="9" applyFont="1"/>
    <xf numFmtId="168" fontId="100" fillId="0" borderId="0" xfId="9" applyNumberFormat="1" applyFont="1" applyAlignment="1">
      <alignment horizontal="right"/>
    </xf>
    <xf numFmtId="0" fontId="101" fillId="0" borderId="0" xfId="9" applyFont="1"/>
    <xf numFmtId="0" fontId="99" fillId="0" borderId="37" xfId="9" applyFont="1" applyBorder="1" applyAlignment="1">
      <alignment horizontal="center" vertical="center"/>
    </xf>
    <xf numFmtId="168" fontId="99" fillId="0" borderId="37" xfId="9" applyNumberFormat="1" applyFont="1" applyBorder="1" applyAlignment="1">
      <alignment horizontal="right" vertical="center"/>
    </xf>
    <xf numFmtId="0" fontId="100" fillId="0" borderId="73" xfId="9" applyFont="1" applyBorder="1" applyAlignment="1">
      <alignment horizontal="center" vertical="center"/>
    </xf>
    <xf numFmtId="0" fontId="100" fillId="0" borderId="59" xfId="9" applyFont="1" applyBorder="1" applyAlignment="1">
      <alignment horizontal="center" vertical="center"/>
    </xf>
    <xf numFmtId="0" fontId="100" fillId="0" borderId="38" xfId="9" applyFont="1" applyBorder="1" applyAlignment="1">
      <alignment vertical="center"/>
    </xf>
    <xf numFmtId="168" fontId="100" fillId="0" borderId="38" xfId="9" applyNumberFormat="1" applyFont="1" applyBorder="1" applyAlignment="1">
      <alignment horizontal="right" vertical="center"/>
    </xf>
    <xf numFmtId="0" fontId="100" fillId="0" borderId="30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vertical="center"/>
    </xf>
    <xf numFmtId="168" fontId="100" fillId="0" borderId="47" xfId="9" applyNumberFormat="1" applyFont="1" applyBorder="1" applyAlignment="1">
      <alignment horizontal="right" vertical="center"/>
    </xf>
    <xf numFmtId="0" fontId="100" fillId="0" borderId="66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0" fontId="99" fillId="0" borderId="0" xfId="9" applyFont="1" applyAlignment="1">
      <alignment horizontal="justify" vertical="center"/>
    </xf>
    <xf numFmtId="0" fontId="101" fillId="0" borderId="0" xfId="9" applyFont="1" applyAlignment="1">
      <alignment horizontal="center" vertical="center"/>
    </xf>
    <xf numFmtId="0" fontId="99" fillId="0" borderId="0" xfId="9" applyFont="1" applyAlignment="1">
      <alignment horizontal="center" vertical="center"/>
    </xf>
    <xf numFmtId="0" fontId="100" fillId="0" borderId="25" xfId="9" applyFont="1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00" fillId="0" borderId="50" xfId="9" applyFont="1" applyBorder="1" applyAlignment="1">
      <alignment vertical="center"/>
    </xf>
    <xf numFmtId="168" fontId="100" fillId="0" borderId="25" xfId="9" applyNumberFormat="1" applyFont="1" applyBorder="1" applyAlignment="1">
      <alignment vertical="center"/>
    </xf>
    <xf numFmtId="0" fontId="1" fillId="0" borderId="50" xfId="9" applyBorder="1" applyAlignment="1">
      <alignment vertical="center"/>
    </xf>
    <xf numFmtId="0" fontId="100" fillId="0" borderId="50" xfId="9" applyFont="1" applyBorder="1" applyAlignment="1">
      <alignment horizontal="center" vertical="center" wrapText="1"/>
    </xf>
    <xf numFmtId="0" fontId="100" fillId="0" borderId="47" xfId="9" applyFont="1" applyBorder="1" applyAlignment="1">
      <alignment horizontal="center" vertical="center" wrapText="1"/>
    </xf>
    <xf numFmtId="0" fontId="100" fillId="0" borderId="0" xfId="9" applyFont="1" applyBorder="1" applyAlignment="1">
      <alignment horizontal="center" vertical="center"/>
    </xf>
    <xf numFmtId="0" fontId="100" fillId="0" borderId="66" xfId="9" applyFont="1" applyBorder="1" applyAlignment="1">
      <alignment vertical="center"/>
    </xf>
    <xf numFmtId="168" fontId="1" fillId="0" borderId="66" xfId="9" applyNumberFormat="1" applyBorder="1" applyAlignment="1">
      <alignment horizontal="right" vertical="center"/>
    </xf>
    <xf numFmtId="0" fontId="100" fillId="0" borderId="38" xfId="9" applyFont="1" applyBorder="1" applyAlignment="1">
      <alignment horizontal="center" vertical="center"/>
    </xf>
    <xf numFmtId="0" fontId="100" fillId="0" borderId="46" xfId="9" applyFont="1" applyBorder="1" applyAlignment="1">
      <alignment horizontal="center" vertical="center"/>
    </xf>
    <xf numFmtId="0" fontId="100" fillId="0" borderId="25" xfId="9" applyFont="1" applyBorder="1" applyAlignment="1">
      <alignment horizontal="justify" vertical="center"/>
    </xf>
    <xf numFmtId="0" fontId="100" fillId="0" borderId="25" xfId="9" applyFont="1" applyBorder="1" applyAlignment="1">
      <alignment horizontal="center" vertical="center"/>
    </xf>
    <xf numFmtId="0" fontId="1" fillId="0" borderId="47" xfId="9" applyBorder="1" applyAlignment="1">
      <alignment vertical="center"/>
    </xf>
    <xf numFmtId="0" fontId="100" fillId="0" borderId="37" xfId="9" applyFont="1" applyBorder="1" applyAlignment="1">
      <alignment horizontal="center" vertical="center"/>
    </xf>
    <xf numFmtId="0" fontId="99" fillId="0" borderId="0" xfId="9" applyFont="1" applyBorder="1" applyAlignment="1">
      <alignment horizontal="center" vertical="center"/>
    </xf>
    <xf numFmtId="0" fontId="98" fillId="0" borderId="0" xfId="9" applyFont="1" applyBorder="1" applyAlignment="1">
      <alignment vertical="center"/>
    </xf>
    <xf numFmtId="0" fontId="98" fillId="0" borderId="0" xfId="9" applyFont="1" applyBorder="1"/>
    <xf numFmtId="168" fontId="98" fillId="0" borderId="0" xfId="9" applyNumberFormat="1" applyFont="1" applyBorder="1" applyAlignment="1">
      <alignment horizontal="right"/>
    </xf>
    <xf numFmtId="0" fontId="100" fillId="0" borderId="0" xfId="9" applyFont="1" applyBorder="1" applyAlignment="1">
      <alignment vertical="center"/>
    </xf>
    <xf numFmtId="0" fontId="1" fillId="0" borderId="0" xfId="9" applyBorder="1"/>
    <xf numFmtId="168" fontId="1" fillId="0" borderId="0" xfId="9" applyNumberFormat="1" applyBorder="1" applyAlignment="1">
      <alignment horizontal="right"/>
    </xf>
    <xf numFmtId="168" fontId="99" fillId="0" borderId="0" xfId="9" applyNumberFormat="1" applyFont="1" applyBorder="1" applyAlignment="1">
      <alignment horizontal="right" vertical="center"/>
    </xf>
    <xf numFmtId="0" fontId="102" fillId="0" borderId="0" xfId="9" applyFont="1" applyAlignment="1">
      <alignment vertical="center"/>
    </xf>
    <xf numFmtId="168" fontId="102" fillId="0" borderId="0" xfId="9" applyNumberFormat="1" applyFont="1" applyAlignment="1">
      <alignment horizontal="right" vertical="center"/>
    </xf>
    <xf numFmtId="0" fontId="99" fillId="0" borderId="0" xfId="9" applyFont="1" applyBorder="1" applyAlignment="1">
      <alignment vertical="center"/>
    </xf>
    <xf numFmtId="0" fontId="103" fillId="0" borderId="0" xfId="9" applyFont="1" applyAlignment="1">
      <alignment vertical="center"/>
    </xf>
    <xf numFmtId="168" fontId="99" fillId="0" borderId="0" xfId="9" applyNumberFormat="1" applyFont="1" applyAlignment="1">
      <alignment horizontal="right" vertical="center"/>
    </xf>
    <xf numFmtId="168" fontId="1" fillId="0" borderId="0" xfId="9" applyNumberFormat="1" applyAlignment="1">
      <alignment horizontal="right"/>
    </xf>
    <xf numFmtId="164" fontId="73" fillId="0" borderId="0" xfId="9" applyNumberFormat="1" applyFont="1" applyFill="1" applyBorder="1" applyAlignment="1">
      <alignment horizontal="left" vertical="center" wrapText="1"/>
    </xf>
    <xf numFmtId="164" fontId="73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33" fillId="0" borderId="18" xfId="5" applyFont="1" applyFill="1" applyBorder="1" applyAlignment="1" applyProtection="1">
      <alignment horizontal="center" vertical="center" wrapText="1"/>
    </xf>
    <xf numFmtId="0" fontId="33" fillId="0" borderId="34" xfId="5" applyFont="1" applyFill="1" applyBorder="1" applyAlignment="1" applyProtection="1">
      <alignment horizontal="center" vertical="center" wrapText="1"/>
    </xf>
    <xf numFmtId="0" fontId="3" fillId="0" borderId="0" xfId="10" applyFill="1"/>
    <xf numFmtId="0" fontId="75" fillId="0" borderId="0" xfId="10" applyFont="1"/>
    <xf numFmtId="49" fontId="75" fillId="0" borderId="0" xfId="10" applyNumberFormat="1" applyFont="1"/>
    <xf numFmtId="0" fontId="3" fillId="0" borderId="0" xfId="10" applyFill="1" applyAlignment="1"/>
    <xf numFmtId="3" fontId="52" fillId="0" borderId="23" xfId="10" applyNumberFormat="1" applyFont="1" applyFill="1" applyBorder="1" applyAlignment="1">
      <alignment horizontal="center" vertical="center" wrapText="1"/>
    </xf>
    <xf numFmtId="0" fontId="20" fillId="0" borderId="0" xfId="10" applyFont="1" applyFill="1" applyAlignment="1">
      <alignment vertical="center"/>
    </xf>
    <xf numFmtId="3" fontId="52" fillId="0" borderId="22" xfId="10" applyNumberFormat="1" applyFont="1" applyFill="1" applyBorder="1" applyAlignment="1">
      <alignment horizontal="right" wrapText="1"/>
    </xf>
    <xf numFmtId="49" fontId="73" fillId="0" borderId="2" xfId="10" applyNumberFormat="1" applyFont="1" applyFill="1" applyBorder="1" applyAlignment="1">
      <alignment horizontal="center" vertical="center" wrapText="1"/>
    </xf>
    <xf numFmtId="0" fontId="73" fillId="0" borderId="2" xfId="10" applyFont="1" applyFill="1" applyBorder="1" applyAlignment="1">
      <alignment horizontal="left" vertical="center" wrapText="1"/>
    </xf>
    <xf numFmtId="3" fontId="73" fillId="0" borderId="19" xfId="10" applyNumberFormat="1" applyFont="1" applyFill="1" applyBorder="1" applyAlignment="1">
      <alignment horizontal="right" wrapText="1"/>
    </xf>
    <xf numFmtId="0" fontId="74" fillId="0" borderId="2" xfId="10" applyFont="1" applyFill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wrapText="1"/>
    </xf>
    <xf numFmtId="49" fontId="73" fillId="0" borderId="2" xfId="10" applyNumberFormat="1" applyFont="1" applyBorder="1" applyAlignment="1">
      <alignment horizontal="right" vertical="center" wrapText="1"/>
    </xf>
    <xf numFmtId="0" fontId="74" fillId="0" borderId="2" xfId="10" applyFont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vertical="center"/>
    </xf>
    <xf numFmtId="49" fontId="73" fillId="0" borderId="2" xfId="10" applyNumberFormat="1" applyFont="1" applyBorder="1" applyAlignment="1">
      <alignment horizontal="center" vertical="center" wrapText="1"/>
    </xf>
    <xf numFmtId="0" fontId="73" fillId="0" borderId="2" xfId="10" applyFont="1" applyBorder="1" applyAlignment="1">
      <alignment horizontal="justify" vertical="center" wrapText="1"/>
    </xf>
    <xf numFmtId="3" fontId="73" fillId="0" borderId="19" xfId="10" applyNumberFormat="1" applyFont="1" applyFill="1" applyBorder="1" applyAlignment="1">
      <alignment horizontal="right" vertical="center"/>
    </xf>
    <xf numFmtId="0" fontId="73" fillId="0" borderId="7" xfId="10" applyFont="1" applyFill="1" applyBorder="1" applyAlignment="1">
      <alignment horizontal="center" vertical="center" wrapText="1"/>
    </xf>
    <xf numFmtId="49" fontId="73" fillId="0" borderId="62" xfId="10" applyNumberFormat="1" applyFont="1" applyBorder="1" applyAlignment="1">
      <alignment horizontal="center" vertical="center" wrapText="1"/>
    </xf>
    <xf numFmtId="0" fontId="73" fillId="0" borderId="63" xfId="10" applyFont="1" applyBorder="1" applyAlignment="1">
      <alignment horizontal="justify" vertical="center" wrapText="1"/>
    </xf>
    <xf numFmtId="3" fontId="73" fillId="0" borderId="21" xfId="10" applyNumberFormat="1" applyFont="1" applyFill="1" applyBorder="1" applyAlignment="1">
      <alignment horizontal="right" vertical="center"/>
    </xf>
    <xf numFmtId="0" fontId="76" fillId="0" borderId="2" xfId="10" applyFont="1" applyBorder="1" applyAlignment="1">
      <alignment horizontal="center" wrapText="1"/>
    </xf>
    <xf numFmtId="3" fontId="52" fillId="0" borderId="19" xfId="10" applyNumberFormat="1" applyFont="1" applyFill="1" applyBorder="1" applyAlignment="1">
      <alignment horizontal="right" vertical="center"/>
    </xf>
    <xf numFmtId="3" fontId="3" fillId="0" borderId="0" xfId="10" applyNumberFormat="1" applyFill="1"/>
    <xf numFmtId="3" fontId="52" fillId="0" borderId="22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horizontal="right" vertical="center" wrapText="1"/>
    </xf>
    <xf numFmtId="0" fontId="93" fillId="0" borderId="2" xfId="10" applyFont="1" applyBorder="1" applyAlignment="1">
      <alignment horizontal="left" vertical="center" wrapText="1" indent="3"/>
    </xf>
    <xf numFmtId="3" fontId="93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/>
    <xf numFmtId="0" fontId="3" fillId="0" borderId="0" xfId="10" applyFont="1" applyFill="1"/>
    <xf numFmtId="49" fontId="52" fillId="0" borderId="2" xfId="10" applyNumberFormat="1" applyFont="1" applyBorder="1" applyAlignment="1">
      <alignment horizontal="center" vertical="center" wrapText="1"/>
    </xf>
    <xf numFmtId="0" fontId="52" fillId="0" borderId="55" xfId="10" applyFont="1" applyBorder="1" applyAlignment="1">
      <alignment vertical="center" wrapText="1"/>
    </xf>
    <xf numFmtId="0" fontId="96" fillId="0" borderId="2" xfId="10" applyFont="1" applyBorder="1" applyAlignment="1">
      <alignment horizontal="left" vertical="center" wrapText="1" indent="3"/>
    </xf>
    <xf numFmtId="3" fontId="96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 applyAlignment="1" applyProtection="1">
      <alignment vertical="center"/>
    </xf>
    <xf numFmtId="0" fontId="52" fillId="0" borderId="2" xfId="10" applyFont="1" applyBorder="1" applyAlignment="1">
      <alignment horizontal="center" vertical="center" wrapText="1"/>
    </xf>
    <xf numFmtId="0" fontId="20" fillId="0" borderId="0" xfId="10" applyFont="1" applyFill="1"/>
    <xf numFmtId="3" fontId="75" fillId="0" borderId="19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vertical="center" wrapText="1"/>
    </xf>
    <xf numFmtId="49" fontId="92" fillId="0" borderId="32" xfId="10" applyNumberFormat="1" applyFont="1" applyBorder="1" applyAlignment="1">
      <alignment vertical="center" wrapText="1"/>
    </xf>
    <xf numFmtId="0" fontId="93" fillId="0" borderId="32" xfId="10" applyFont="1" applyBorder="1" applyAlignment="1">
      <alignment horizontal="left" vertical="center" wrapText="1" indent="3"/>
    </xf>
    <xf numFmtId="3" fontId="93" fillId="0" borderId="21" xfId="10" applyNumberFormat="1" applyFont="1" applyFill="1" applyBorder="1" applyAlignment="1">
      <alignment horizontal="right" vertical="center"/>
    </xf>
    <xf numFmtId="3" fontId="76" fillId="0" borderId="23" xfId="10" applyNumberFormat="1" applyFont="1" applyFill="1" applyBorder="1" applyAlignment="1">
      <alignment horizontal="right" vertical="center"/>
    </xf>
    <xf numFmtId="0" fontId="52" fillId="0" borderId="5" xfId="10" applyFont="1" applyBorder="1" applyAlignment="1">
      <alignment horizontal="center" vertical="center" wrapText="1"/>
    </xf>
    <xf numFmtId="0" fontId="35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75" fillId="0" borderId="2" xfId="10" applyNumberFormat="1" applyFont="1" applyBorder="1" applyAlignment="1">
      <alignment horizontal="center" vertical="center" wrapText="1"/>
    </xf>
    <xf numFmtId="0" fontId="75" fillId="0" borderId="2" xfId="10" applyFont="1" applyBorder="1" applyAlignment="1">
      <alignment horizontal="justify" vertical="center" wrapText="1"/>
    </xf>
    <xf numFmtId="3" fontId="75" fillId="0" borderId="2" xfId="10" applyNumberFormat="1" applyFont="1" applyFill="1" applyBorder="1" applyAlignment="1">
      <alignment horizontal="right" vertical="center"/>
    </xf>
    <xf numFmtId="0" fontId="76" fillId="0" borderId="68" xfId="10" applyFont="1" applyBorder="1" applyAlignment="1">
      <alignment horizontal="center" vertical="center" wrapText="1"/>
    </xf>
    <xf numFmtId="49" fontId="75" fillId="0" borderId="40" xfId="10" applyNumberFormat="1" applyFont="1" applyBorder="1" applyAlignment="1">
      <alignment horizontal="center" vertical="center" wrapText="1"/>
    </xf>
    <xf numFmtId="0" fontId="75" fillId="0" borderId="32" xfId="10" applyFont="1" applyBorder="1" applyAlignment="1">
      <alignment horizontal="justify" vertical="center" wrapText="1"/>
    </xf>
    <xf numFmtId="3" fontId="75" fillId="0" borderId="32" xfId="10" applyNumberFormat="1" applyFont="1" applyFill="1" applyBorder="1" applyAlignment="1">
      <alignment horizontal="right" vertical="center"/>
    </xf>
    <xf numFmtId="3" fontId="75" fillId="0" borderId="33" xfId="10" applyNumberFormat="1" applyFont="1" applyFill="1" applyBorder="1" applyAlignment="1">
      <alignment horizontal="right" vertical="center"/>
    </xf>
    <xf numFmtId="3" fontId="76" fillId="0" borderId="22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2"/>
    </xf>
    <xf numFmtId="3" fontId="82" fillId="0" borderId="19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4"/>
    </xf>
    <xf numFmtId="49" fontId="75" fillId="0" borderId="7" xfId="10" applyNumberFormat="1" applyFont="1" applyBorder="1" applyAlignment="1">
      <alignment horizontal="center" vertical="center" wrapText="1"/>
    </xf>
    <xf numFmtId="0" fontId="82" fillId="0" borderId="7" xfId="10" applyFont="1" applyBorder="1" applyAlignment="1">
      <alignment horizontal="left" vertical="center" wrapText="1" indent="4"/>
    </xf>
    <xf numFmtId="3" fontId="82" fillId="0" borderId="21" xfId="10" applyNumberFormat="1" applyFont="1" applyFill="1" applyBorder="1" applyAlignment="1">
      <alignment horizontal="right" vertical="center"/>
    </xf>
    <xf numFmtId="0" fontId="76" fillId="0" borderId="0" xfId="10" applyFont="1" applyBorder="1" applyAlignment="1">
      <alignment horizontal="center" vertical="center" wrapText="1"/>
    </xf>
    <xf numFmtId="0" fontId="76" fillId="0" borderId="0" xfId="10" applyFont="1" applyBorder="1" applyAlignment="1">
      <alignment horizontal="left" vertical="center" wrapText="1"/>
    </xf>
    <xf numFmtId="49" fontId="76" fillId="0" borderId="0" xfId="10" applyNumberFormat="1" applyFont="1" applyBorder="1" applyAlignment="1">
      <alignment horizontal="left" vertical="center" wrapText="1"/>
    </xf>
    <xf numFmtId="3" fontId="76" fillId="0" borderId="0" xfId="10" applyNumberFormat="1" applyFont="1" applyFill="1" applyBorder="1" applyAlignment="1">
      <alignment horizontal="right" vertical="center"/>
    </xf>
    <xf numFmtId="3" fontId="76" fillId="0" borderId="25" xfId="10" applyNumberFormat="1" applyFont="1" applyFill="1" applyBorder="1" applyAlignment="1">
      <alignment horizontal="right" vertical="center"/>
    </xf>
    <xf numFmtId="49" fontId="76" fillId="0" borderId="0" xfId="10" applyNumberFormat="1" applyFont="1" applyBorder="1" applyAlignment="1">
      <alignment horizontal="center" vertical="center" wrapText="1"/>
    </xf>
    <xf numFmtId="0" fontId="76" fillId="0" borderId="0" xfId="10" applyFont="1" applyBorder="1" applyAlignment="1">
      <alignment horizontal="justify" vertical="center" wrapText="1"/>
    </xf>
    <xf numFmtId="0" fontId="76" fillId="0" borderId="13" xfId="10" applyFont="1" applyBorder="1" applyAlignment="1">
      <alignment horizontal="center" vertical="center"/>
    </xf>
    <xf numFmtId="0" fontId="76" fillId="0" borderId="8" xfId="10" applyFont="1" applyBorder="1" applyAlignment="1">
      <alignment horizontal="center" vertical="center"/>
    </xf>
    <xf numFmtId="3" fontId="76" fillId="0" borderId="20" xfId="10" applyNumberFormat="1" applyFont="1" applyFill="1" applyBorder="1" applyAlignment="1">
      <alignment horizontal="right" vertical="center"/>
    </xf>
    <xf numFmtId="0" fontId="76" fillId="0" borderId="9" xfId="10" applyFont="1" applyBorder="1" applyAlignment="1">
      <alignment horizontal="center" vertical="center"/>
    </xf>
    <xf numFmtId="0" fontId="76" fillId="0" borderId="14" xfId="10" applyFont="1" applyBorder="1" applyAlignment="1">
      <alignment horizontal="center" vertical="center"/>
    </xf>
    <xf numFmtId="3" fontId="52" fillId="0" borderId="33" xfId="10" applyNumberFormat="1" applyFont="1" applyFill="1" applyBorder="1" applyAlignment="1">
      <alignment horizontal="right" vertical="center"/>
    </xf>
    <xf numFmtId="49" fontId="3" fillId="0" borderId="0" xfId="10" applyNumberFormat="1" applyFill="1"/>
    <xf numFmtId="0" fontId="76" fillId="0" borderId="52" xfId="10" applyFont="1" applyBorder="1" applyAlignment="1">
      <alignment vertical="center" wrapText="1"/>
    </xf>
    <xf numFmtId="0" fontId="76" fillId="0" borderId="77" xfId="10" applyFont="1" applyBorder="1" applyAlignment="1">
      <alignment vertical="center" wrapText="1"/>
    </xf>
    <xf numFmtId="0" fontId="76" fillId="0" borderId="40" xfId="10" applyFont="1" applyBorder="1" applyAlignment="1">
      <alignment vertical="center" wrapText="1"/>
    </xf>
    <xf numFmtId="164" fontId="14" fillId="0" borderId="0" xfId="5" applyNumberFormat="1" applyFill="1" applyAlignment="1" applyProtection="1">
      <alignment vertical="center"/>
      <protection locked="0"/>
    </xf>
    <xf numFmtId="0" fontId="20" fillId="0" borderId="37" xfId="0" applyFont="1" applyFill="1" applyBorder="1" applyAlignment="1">
      <alignment horizontal="right" vertical="center"/>
    </xf>
    <xf numFmtId="0" fontId="45" fillId="0" borderId="0" xfId="0" applyFont="1" applyBorder="1" applyAlignment="1" applyProtection="1">
      <alignment horizontal="right" vertical="top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2" fillId="0" borderId="53" xfId="0" applyNumberFormat="1" applyFont="1" applyFill="1" applyBorder="1" applyAlignment="1">
      <alignment horizontal="left" vertical="center" wrapText="1"/>
    </xf>
    <xf numFmtId="164" fontId="52" fillId="0" borderId="51" xfId="0" applyNumberFormat="1" applyFont="1" applyFill="1" applyBorder="1" applyAlignment="1">
      <alignment horizontal="center" vertical="center" wrapText="1"/>
    </xf>
    <xf numFmtId="3" fontId="0" fillId="0" borderId="69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164" fontId="35" fillId="0" borderId="46" xfId="0" applyNumberFormat="1" applyFont="1" applyFill="1" applyBorder="1" applyAlignment="1" applyProtection="1">
      <alignment horizontal="centerContinuous" vertical="center" wrapText="1"/>
    </xf>
    <xf numFmtId="164" fontId="17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4" applyNumberFormat="1" applyFont="1" applyFill="1" applyBorder="1" applyAlignment="1" applyProtection="1">
      <alignment horizontal="right" vertical="center" wrapText="1" indent="1"/>
    </xf>
    <xf numFmtId="164" fontId="3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4" applyFill="1" applyBorder="1"/>
    <xf numFmtId="164" fontId="17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Fill="1" applyBorder="1" applyAlignment="1" applyProtection="1">
      <alignment horizontal="right" vertical="center" wrapText="1" indent="1"/>
      <protection locked="0"/>
    </xf>
    <xf numFmtId="0" fontId="22" fillId="0" borderId="35" xfId="4" applyFont="1" applyFill="1" applyBorder="1" applyAlignment="1" applyProtection="1">
      <alignment vertical="center" wrapText="1"/>
    </xf>
    <xf numFmtId="164" fontId="6" fillId="0" borderId="25" xfId="4" applyNumberFormat="1" applyFont="1" applyFill="1" applyBorder="1" applyAlignment="1" applyProtection="1">
      <alignment horizontal="right" vertical="center" wrapText="1" indent="1"/>
    </xf>
    <xf numFmtId="164" fontId="6" fillId="0" borderId="74" xfId="4" applyNumberFormat="1" applyFont="1" applyFill="1" applyBorder="1" applyAlignment="1" applyProtection="1">
      <alignment horizontal="right" vertical="center" wrapText="1" indent="1"/>
    </xf>
    <xf numFmtId="164" fontId="17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4" applyNumberFormat="1" applyFont="1" applyFill="1" applyBorder="1" applyAlignment="1" applyProtection="1">
      <alignment horizontal="right" vertical="center" wrapText="1" indent="1"/>
    </xf>
    <xf numFmtId="164" fontId="17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4" applyNumberFormat="1" applyFont="1" applyFill="1" applyBorder="1" applyAlignment="1" applyProtection="1">
      <alignment horizontal="right" vertical="center" wrapText="1" indent="1"/>
    </xf>
    <xf numFmtId="0" fontId="73" fillId="0" borderId="36" xfId="0" applyFont="1" applyBorder="1" applyAlignment="1" applyProtection="1">
      <alignment horizontal="right" vertical="center" wrapText="1" indent="1"/>
      <protection locked="0"/>
    </xf>
    <xf numFmtId="0" fontId="73" fillId="0" borderId="6" xfId="0" applyFont="1" applyBorder="1" applyAlignment="1" applyProtection="1">
      <alignment horizontal="right" vertical="center" wrapText="1" indent="1"/>
      <protection locked="0"/>
    </xf>
    <xf numFmtId="0" fontId="73" fillId="0" borderId="63" xfId="0" applyFont="1" applyBorder="1" applyAlignment="1" applyProtection="1">
      <alignment horizontal="right" vertical="center" wrapText="1" indent="1"/>
      <protection locked="0"/>
    </xf>
    <xf numFmtId="164" fontId="52" fillId="0" borderId="44" xfId="0" applyNumberFormat="1" applyFont="1" applyBorder="1" applyAlignment="1" applyProtection="1">
      <alignment horizontal="right" vertical="center" wrapText="1" indent="1"/>
    </xf>
    <xf numFmtId="0" fontId="52" fillId="0" borderId="44" xfId="0" quotePrefix="1" applyFont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</xf>
    <xf numFmtId="0" fontId="72" fillId="0" borderId="25" xfId="4" applyFont="1" applyFill="1" applyBorder="1"/>
    <xf numFmtId="0" fontId="6" fillId="0" borderId="18" xfId="0" applyFont="1" applyFill="1" applyBorder="1" applyAlignment="1" applyProtection="1">
      <alignment horizontal="center" vertical="center" wrapText="1"/>
    </xf>
    <xf numFmtId="164" fontId="35" fillId="0" borderId="18" xfId="0" applyNumberFormat="1" applyFont="1" applyFill="1" applyBorder="1" applyAlignment="1" applyProtection="1">
      <alignment horizontal="right" vertical="center" wrapText="1" indent="1"/>
    </xf>
    <xf numFmtId="164" fontId="3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10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49" fontId="29" fillId="0" borderId="14" xfId="0" applyNumberFormat="1" applyFont="1" applyFill="1" applyBorder="1" applyAlignment="1" applyProtection="1">
      <alignment horizontal="center" vertical="center" wrapText="1"/>
    </xf>
    <xf numFmtId="3" fontId="73" fillId="0" borderId="63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>
      <alignment vertical="center" wrapText="1"/>
    </xf>
    <xf numFmtId="49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4" applyFont="1" applyFill="1" applyBorder="1" applyAlignment="1" applyProtection="1">
      <alignment horizontal="left" vertical="center" wrapText="1" indent="1"/>
    </xf>
    <xf numFmtId="164" fontId="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2" xfId="4" applyFont="1" applyFill="1" applyBorder="1" applyAlignment="1" applyProtection="1">
      <alignment horizontal="left" vertical="center" wrapText="1" indent="1"/>
    </xf>
    <xf numFmtId="164" fontId="107" fillId="0" borderId="0" xfId="0" applyNumberFormat="1" applyFont="1" applyFill="1" applyAlignment="1">
      <alignment vertical="center" wrapText="1"/>
    </xf>
    <xf numFmtId="164" fontId="108" fillId="0" borderId="2" xfId="0" applyNumberFormat="1" applyFont="1" applyFill="1" applyBorder="1" applyAlignment="1" applyProtection="1">
      <alignment horizontal="center" vertical="center" wrapText="1"/>
    </xf>
    <xf numFmtId="3" fontId="107" fillId="0" borderId="2" xfId="0" applyNumberFormat="1" applyFont="1" applyFill="1" applyBorder="1" applyAlignment="1" applyProtection="1">
      <alignment vertical="center" wrapText="1"/>
      <protection locked="0"/>
    </xf>
    <xf numFmtId="164" fontId="108" fillId="0" borderId="2" xfId="0" applyNumberFormat="1" applyFont="1" applyFill="1" applyBorder="1" applyAlignment="1" applyProtection="1">
      <alignment vertical="center" wrapText="1"/>
    </xf>
    <xf numFmtId="49" fontId="35" fillId="2" borderId="4" xfId="0" applyNumberFormat="1" applyFont="1" applyFill="1" applyBorder="1" applyAlignment="1" applyProtection="1">
      <alignment horizontal="center" vertical="center" wrapText="1"/>
    </xf>
    <xf numFmtId="164" fontId="73" fillId="0" borderId="36" xfId="6" applyNumberFormat="1" applyFont="1" applyFill="1" applyBorder="1" applyAlignment="1">
      <alignment vertical="center" wrapText="1"/>
    </xf>
    <xf numFmtId="0" fontId="73" fillId="0" borderId="4" xfId="7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vertical="center" wrapText="1"/>
      <protection locked="0"/>
    </xf>
    <xf numFmtId="164" fontId="109" fillId="0" borderId="0" xfId="0" applyNumberFormat="1" applyFont="1" applyFill="1" applyAlignment="1">
      <alignment vertical="center" wrapText="1"/>
    </xf>
    <xf numFmtId="0" fontId="110" fillId="0" borderId="0" xfId="0" applyFont="1" applyFill="1" applyAlignment="1">
      <alignment vertical="center"/>
    </xf>
    <xf numFmtId="0" fontId="110" fillId="0" borderId="34" xfId="0" applyFont="1" applyFill="1" applyBorder="1" applyAlignment="1" applyProtection="1">
      <alignment horizontal="center" vertical="center" wrapText="1"/>
    </xf>
    <xf numFmtId="0" fontId="110" fillId="0" borderId="23" xfId="0" applyFont="1" applyFill="1" applyBorder="1" applyAlignment="1" applyProtection="1">
      <alignment horizontal="center" vertical="center" wrapText="1"/>
    </xf>
    <xf numFmtId="164" fontId="110" fillId="0" borderId="21" xfId="0" applyNumberFormat="1" applyFont="1" applyFill="1" applyBorder="1" applyAlignment="1" applyProtection="1">
      <alignment horizontal="center" vertical="center" wrapText="1"/>
    </xf>
    <xf numFmtId="164" fontId="110" fillId="0" borderId="23" xfId="0" applyNumberFormat="1" applyFont="1" applyFill="1" applyBorder="1" applyAlignment="1" applyProtection="1">
      <alignment horizontal="right" vertical="center" wrapText="1" indent="1"/>
    </xf>
    <xf numFmtId="164" fontId="1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12" fillId="0" borderId="0" xfId="0" applyFont="1" applyFill="1" applyAlignment="1">
      <alignment vertical="center" wrapText="1"/>
    </xf>
    <xf numFmtId="0" fontId="111" fillId="0" borderId="0" xfId="0" applyFont="1" applyFill="1" applyAlignment="1">
      <alignment vertical="center" wrapText="1"/>
    </xf>
    <xf numFmtId="0" fontId="113" fillId="0" borderId="0" xfId="0" applyFont="1" applyFill="1" applyAlignment="1">
      <alignment vertical="center"/>
    </xf>
    <xf numFmtId="0" fontId="110" fillId="0" borderId="33" xfId="0" applyFont="1" applyFill="1" applyBorder="1" applyAlignment="1" applyProtection="1">
      <alignment horizontal="center" vertical="center" wrapText="1"/>
    </xf>
    <xf numFmtId="164" fontId="1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0" fillId="0" borderId="60" xfId="4" applyFont="1" applyFill="1" applyBorder="1" applyAlignment="1" applyProtection="1">
      <alignment horizontal="center" vertical="center" wrapText="1"/>
    </xf>
    <xf numFmtId="164" fontId="1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4" fillId="0" borderId="16" xfId="0" applyNumberFormat="1" applyFont="1" applyFill="1" applyBorder="1" applyAlignment="1" applyProtection="1">
      <alignment horizontal="right" vertical="center" wrapText="1" indent="1"/>
    </xf>
    <xf numFmtId="0" fontId="17" fillId="0" borderId="37" xfId="0" applyFont="1" applyFill="1" applyBorder="1" applyAlignment="1" applyProtection="1">
      <alignment horizontal="right" vertical="center" wrapText="1" indent="1"/>
    </xf>
    <xf numFmtId="164" fontId="110" fillId="0" borderId="37" xfId="0" applyNumberFormat="1" applyFont="1" applyFill="1" applyBorder="1" applyAlignment="1" applyProtection="1">
      <alignment horizontal="right" vertical="center" wrapText="1" indent="1"/>
    </xf>
    <xf numFmtId="0" fontId="110" fillId="0" borderId="2" xfId="0" applyFont="1" applyFill="1" applyBorder="1" applyAlignment="1" applyProtection="1">
      <alignment horizontal="center" vertical="center" wrapText="1"/>
    </xf>
    <xf numFmtId="164" fontId="35" fillId="0" borderId="35" xfId="0" applyNumberFormat="1" applyFont="1" applyFill="1" applyBorder="1" applyAlignment="1" applyProtection="1">
      <alignment horizontal="center" vertical="center" wrapText="1"/>
    </xf>
    <xf numFmtId="164" fontId="35" fillId="0" borderId="32" xfId="0" applyNumberFormat="1" applyFont="1" applyFill="1" applyBorder="1" applyAlignment="1" applyProtection="1">
      <alignment vertical="center" wrapText="1"/>
    </xf>
    <xf numFmtId="169" fontId="17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169" fontId="6" fillId="0" borderId="23" xfId="11" applyNumberFormat="1" applyFont="1" applyFill="1" applyBorder="1" applyAlignment="1" applyProtection="1">
      <alignment horizontal="right" vertical="center" wrapText="1" indent="1"/>
    </xf>
    <xf numFmtId="169" fontId="17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9" fontId="17" fillId="0" borderId="33" xfId="11" applyNumberFormat="1" applyFont="1" applyFill="1" applyBorder="1" applyAlignment="1" applyProtection="1">
      <alignment horizontal="right" vertical="center" wrapText="1" indent="1"/>
      <protection locked="0"/>
    </xf>
    <xf numFmtId="169" fontId="6" fillId="0" borderId="23" xfId="11" applyNumberFormat="1" applyFont="1" applyFill="1" applyBorder="1" applyAlignment="1" applyProtection="1">
      <alignment horizontal="right" vertical="center" wrapText="1" indent="1"/>
      <protection locked="0"/>
    </xf>
    <xf numFmtId="169" fontId="6" fillId="0" borderId="35" xfId="11" applyNumberFormat="1" applyFont="1" applyFill="1" applyBorder="1" applyAlignment="1" applyProtection="1">
      <alignment horizontal="right" vertical="center" wrapText="1" indent="1"/>
    </xf>
    <xf numFmtId="169" fontId="17" fillId="0" borderId="22" xfId="11" applyNumberFormat="1" applyFont="1" applyFill="1" applyBorder="1" applyAlignment="1" applyProtection="1">
      <alignment horizontal="right" vertical="center" wrapText="1" indent="1"/>
      <protection locked="0"/>
    </xf>
    <xf numFmtId="169" fontId="6" fillId="0" borderId="34" xfId="11" applyNumberFormat="1" applyFont="1" applyFill="1" applyBorder="1" applyAlignment="1" applyProtection="1">
      <alignment horizontal="right" vertical="center" wrapText="1" indent="1"/>
    </xf>
    <xf numFmtId="0" fontId="110" fillId="0" borderId="18" xfId="0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9" fontId="35" fillId="0" borderId="23" xfId="11" applyNumberFormat="1" applyFont="1" applyFill="1" applyBorder="1" applyAlignment="1" applyProtection="1">
      <alignment horizontal="right" vertical="center" wrapText="1" indent="1"/>
      <protection locked="0"/>
    </xf>
    <xf numFmtId="169" fontId="110" fillId="0" borderId="23" xfId="11" applyNumberFormat="1" applyFont="1" applyFill="1" applyBorder="1" applyAlignment="1" applyProtection="1">
      <alignment horizontal="right" vertical="center" wrapText="1" indent="1"/>
    </xf>
    <xf numFmtId="169" fontId="17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169" fontId="110" fillId="0" borderId="23" xfId="11" applyNumberFormat="1" applyFont="1" applyFill="1" applyBorder="1" applyAlignment="1" applyProtection="1">
      <alignment horizontal="right" vertical="center" wrapText="1" indent="1"/>
      <protection locked="0"/>
    </xf>
    <xf numFmtId="169" fontId="110" fillId="0" borderId="34" xfId="11" applyNumberFormat="1" applyFont="1" applyFill="1" applyBorder="1" applyAlignment="1" applyProtection="1">
      <alignment horizontal="right" vertical="center" wrapText="1" indent="1"/>
    </xf>
    <xf numFmtId="169" fontId="111" fillId="0" borderId="22" xfId="11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7" xfId="0" applyNumberFormat="1" applyFont="1" applyFill="1" applyBorder="1" applyAlignment="1" applyProtection="1">
      <alignment horizontal="center" vertical="center" wrapText="1"/>
    </xf>
    <xf numFmtId="164" fontId="110" fillId="0" borderId="16" xfId="0" applyNumberFormat="1" applyFont="1" applyFill="1" applyBorder="1" applyAlignment="1" applyProtection="1">
      <alignment horizontal="right" vertical="center" wrapText="1" indent="1"/>
    </xf>
    <xf numFmtId="164" fontId="1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9" fontId="111" fillId="0" borderId="33" xfId="11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18" xfId="0" applyNumberFormat="1" applyFont="1" applyFill="1" applyBorder="1" applyAlignment="1" applyProtection="1">
      <alignment horizontal="right" vertical="center" wrapText="1" indent="1"/>
    </xf>
    <xf numFmtId="0" fontId="115" fillId="0" borderId="16" xfId="0" applyFont="1" applyFill="1" applyBorder="1" applyAlignment="1" applyProtection="1">
      <alignment horizontal="center" vertical="center" wrapText="1"/>
    </xf>
    <xf numFmtId="0" fontId="115" fillId="0" borderId="23" xfId="0" applyFont="1" applyFill="1" applyBorder="1" applyAlignment="1" applyProtection="1">
      <alignment horizontal="center" vertical="center" wrapText="1"/>
    </xf>
    <xf numFmtId="164" fontId="1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0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9" fontId="111" fillId="0" borderId="31" xfId="11" applyNumberFormat="1" applyFont="1" applyFill="1" applyBorder="1" applyAlignment="1" applyProtection="1">
      <alignment horizontal="right" vertical="center" wrapText="1" indent="1"/>
    </xf>
    <xf numFmtId="164" fontId="111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111" fillId="0" borderId="2" xfId="0" applyNumberFormat="1" applyFont="1" applyFill="1" applyBorder="1" applyAlignment="1" applyProtection="1">
      <alignment horizontal="right" vertical="center" wrapText="1" indent="1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9" fontId="111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169" fontId="108" fillId="0" borderId="23" xfId="1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</xf>
    <xf numFmtId="169" fontId="17" fillId="0" borderId="21" xfId="11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22" xfId="11" applyNumberFormat="1" applyFont="1" applyFill="1" applyBorder="1" applyAlignment="1" applyProtection="1">
      <alignment horizontal="right" vertical="center" wrapText="1" indent="1"/>
    </xf>
    <xf numFmtId="169" fontId="8" fillId="0" borderId="34" xfId="11" applyNumberFormat="1" applyFont="1" applyFill="1" applyBorder="1" applyAlignment="1" applyProtection="1">
      <alignment horizontal="right" vertical="center" wrapText="1" indent="1"/>
    </xf>
    <xf numFmtId="0" fontId="110" fillId="0" borderId="32" xfId="0" applyFont="1" applyFill="1" applyBorder="1" applyAlignment="1" applyProtection="1">
      <alignment horizontal="center" vertical="center" wrapText="1"/>
    </xf>
    <xf numFmtId="164" fontId="6" fillId="0" borderId="44" xfId="0" applyNumberFormat="1" applyFont="1" applyFill="1" applyBorder="1" applyAlignment="1" applyProtection="1">
      <alignment horizontal="right" vertical="center" wrapText="1" indent="1"/>
    </xf>
    <xf numFmtId="164" fontId="110" fillId="0" borderId="35" xfId="0" applyNumberFormat="1" applyFont="1" applyFill="1" applyBorder="1" applyAlignment="1" applyProtection="1">
      <alignment horizontal="right" vertical="center" wrapText="1" indent="1"/>
    </xf>
    <xf numFmtId="164" fontId="11" fillId="0" borderId="5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right" vertical="center" wrapText="1" indent="1"/>
    </xf>
    <xf numFmtId="169" fontId="73" fillId="0" borderId="19" xfId="11" applyNumberFormat="1" applyFont="1" applyFill="1" applyBorder="1" applyAlignment="1">
      <alignment horizontal="right" vertical="center"/>
    </xf>
    <xf numFmtId="169" fontId="73" fillId="0" borderId="21" xfId="11" applyNumberFormat="1" applyFont="1" applyFill="1" applyBorder="1" applyAlignment="1">
      <alignment horizontal="right" vertical="center"/>
    </xf>
    <xf numFmtId="3" fontId="73" fillId="0" borderId="5" xfId="7" applyNumberFormat="1" applyFont="1" applyFill="1" applyBorder="1" applyAlignment="1">
      <alignment horizontal="right" vertical="center"/>
    </xf>
    <xf numFmtId="3" fontId="73" fillId="0" borderId="32" xfId="7" applyNumberFormat="1" applyFont="1" applyFill="1" applyBorder="1" applyAlignment="1">
      <alignment horizontal="right" vertical="center"/>
    </xf>
    <xf numFmtId="3" fontId="52" fillId="0" borderId="16" xfId="0" applyNumberFormat="1" applyFont="1" applyFill="1" applyBorder="1" applyAlignment="1">
      <alignment horizontal="right" vertical="center"/>
    </xf>
    <xf numFmtId="169" fontId="52" fillId="0" borderId="22" xfId="11" applyNumberFormat="1" applyFont="1" applyFill="1" applyBorder="1" applyAlignment="1">
      <alignment horizontal="right" vertical="center"/>
    </xf>
    <xf numFmtId="0" fontId="73" fillId="0" borderId="65" xfId="7" applyFont="1" applyFill="1" applyBorder="1" applyAlignment="1">
      <alignment vertical="center" wrapText="1"/>
    </xf>
    <xf numFmtId="0" fontId="35" fillId="0" borderId="16" xfId="0" applyFont="1" applyFill="1" applyBorder="1" applyAlignment="1" applyProtection="1">
      <alignment horizontal="center" vertical="center" wrapText="1"/>
    </xf>
    <xf numFmtId="169" fontId="0" fillId="0" borderId="2" xfId="11" applyNumberFormat="1" applyFont="1" applyFill="1" applyBorder="1" applyAlignment="1" applyProtection="1">
      <alignment vertical="center" wrapText="1"/>
      <protection locked="0"/>
    </xf>
    <xf numFmtId="169" fontId="35" fillId="0" borderId="19" xfId="11" applyNumberFormat="1" applyFont="1" applyFill="1" applyBorder="1" applyAlignment="1" applyProtection="1">
      <alignment vertical="center" wrapText="1"/>
    </xf>
    <xf numFmtId="169" fontId="35" fillId="0" borderId="33" xfId="11" applyNumberFormat="1" applyFont="1" applyFill="1" applyBorder="1" applyAlignment="1" applyProtection="1">
      <alignment vertical="center" wrapText="1"/>
    </xf>
    <xf numFmtId="0" fontId="0" fillId="0" borderId="0" xfId="0" applyFont="1" applyAlignment="1">
      <alignment horizontal="right" vertical="center"/>
    </xf>
    <xf numFmtId="169" fontId="107" fillId="0" borderId="2" xfId="11" applyNumberFormat="1" applyFont="1" applyFill="1" applyBorder="1" applyAlignment="1" applyProtection="1">
      <alignment vertical="center" wrapText="1"/>
      <protection locked="0"/>
    </xf>
    <xf numFmtId="169" fontId="108" fillId="0" borderId="2" xfId="11" applyNumberFormat="1" applyFont="1" applyFill="1" applyBorder="1" applyAlignment="1" applyProtection="1">
      <alignment vertical="center" wrapText="1"/>
    </xf>
    <xf numFmtId="164" fontId="20" fillId="0" borderId="4" xfId="0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Fill="1" applyBorder="1" applyAlignment="1" applyProtection="1">
      <alignment horizontal="righ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</xf>
    <xf numFmtId="0" fontId="6" fillId="0" borderId="46" xfId="4" applyFont="1" applyFill="1" applyBorder="1" applyAlignment="1" applyProtection="1">
      <alignment horizontal="center" vertical="center" wrapText="1"/>
    </xf>
    <xf numFmtId="164" fontId="17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31" xfId="0" applyFont="1" applyBorder="1" applyAlignment="1" applyProtection="1">
      <alignment horizontal="right" vertical="center" wrapText="1" indent="1"/>
      <protection locked="0"/>
    </xf>
    <xf numFmtId="0" fontId="73" fillId="0" borderId="19" xfId="0" applyFont="1" applyBorder="1" applyAlignment="1" applyProtection="1">
      <alignment horizontal="right" vertical="center" wrapText="1" indent="1"/>
      <protection locked="0"/>
    </xf>
    <xf numFmtId="0" fontId="73" fillId="0" borderId="21" xfId="0" applyFont="1" applyBorder="1" applyAlignment="1" applyProtection="1">
      <alignment horizontal="right" vertical="center" wrapText="1" indent="1"/>
      <protection locked="0"/>
    </xf>
    <xf numFmtId="0" fontId="52" fillId="0" borderId="23" xfId="0" quotePrefix="1" applyFont="1" applyBorder="1" applyAlignment="1" applyProtection="1">
      <alignment horizontal="right" vertical="center" wrapText="1" indent="1"/>
      <protection locked="0"/>
    </xf>
    <xf numFmtId="0" fontId="22" fillId="0" borderId="23" xfId="4" applyFont="1" applyFill="1" applyBorder="1" applyAlignment="1" applyProtection="1">
      <alignment horizontal="center" vertical="center" wrapText="1"/>
    </xf>
    <xf numFmtId="0" fontId="22" fillId="0" borderId="35" xfId="4" applyFont="1" applyFill="1" applyBorder="1" applyAlignment="1" applyProtection="1">
      <alignment horizontal="center" vertical="center" wrapText="1"/>
    </xf>
    <xf numFmtId="0" fontId="22" fillId="0" borderId="44" xfId="4" applyFont="1" applyFill="1" applyBorder="1" applyAlignment="1" applyProtection="1">
      <alignment horizontal="center" vertical="center" wrapText="1"/>
    </xf>
    <xf numFmtId="0" fontId="22" fillId="0" borderId="46" xfId="4" applyFont="1" applyFill="1" applyBorder="1" applyAlignment="1" applyProtection="1">
      <alignment horizontal="center" vertical="center" wrapText="1"/>
    </xf>
    <xf numFmtId="169" fontId="6" fillId="0" borderId="18" xfId="11" applyNumberFormat="1" applyFont="1" applyFill="1" applyBorder="1" applyAlignment="1" applyProtection="1">
      <alignment horizontal="right" vertical="center" wrapText="1" indent="1"/>
    </xf>
    <xf numFmtId="169" fontId="6" fillId="0" borderId="16" xfId="11" applyNumberFormat="1" applyFont="1" applyFill="1" applyBorder="1" applyAlignment="1" applyProtection="1">
      <alignment horizontal="right" vertical="center" wrapText="1" indent="1"/>
    </xf>
    <xf numFmtId="169" fontId="17" fillId="0" borderId="2" xfId="11" applyNumberFormat="1" applyFont="1" applyFill="1" applyBorder="1" applyAlignment="1" applyProtection="1">
      <alignment horizontal="right" vertical="center" wrapText="1" indent="1"/>
      <protection locked="0"/>
    </xf>
    <xf numFmtId="169" fontId="6" fillId="0" borderId="16" xfId="11" applyNumberFormat="1" applyFont="1" applyFill="1" applyBorder="1" applyAlignment="1" applyProtection="1">
      <alignment horizontal="right" vertical="center" wrapText="1" indent="1"/>
      <protection locked="0"/>
    </xf>
    <xf numFmtId="169" fontId="20" fillId="0" borderId="4" xfId="11" applyNumberFormat="1" applyFont="1" applyFill="1" applyBorder="1" applyAlignment="1" applyProtection="1">
      <alignment horizontal="right" vertical="center" wrapText="1" indent="1"/>
    </xf>
    <xf numFmtId="169" fontId="36" fillId="0" borderId="16" xfId="11" applyNumberFormat="1" applyFont="1" applyFill="1" applyBorder="1" applyAlignment="1" applyProtection="1">
      <alignment horizontal="right" vertical="center" wrapText="1" indent="1"/>
    </xf>
    <xf numFmtId="169" fontId="35" fillId="0" borderId="16" xfId="11" applyNumberFormat="1" applyFont="1" applyFill="1" applyBorder="1" applyAlignment="1" applyProtection="1">
      <alignment horizontal="right" vertical="center" wrapText="1" indent="1"/>
    </xf>
    <xf numFmtId="169" fontId="20" fillId="0" borderId="2" xfId="11" applyNumberFormat="1" applyFont="1" applyFill="1" applyBorder="1" applyAlignment="1" applyProtection="1">
      <alignment horizontal="right" vertical="center" wrapText="1" indent="1"/>
    </xf>
    <xf numFmtId="169" fontId="6" fillId="0" borderId="74" xfId="11" applyNumberFormat="1" applyFont="1" applyFill="1" applyBorder="1" applyAlignment="1" applyProtection="1">
      <alignment horizontal="right" vertical="center" wrapText="1" indent="1"/>
    </xf>
    <xf numFmtId="169" fontId="17" fillId="0" borderId="76" xfId="11" applyNumberFormat="1" applyFont="1" applyFill="1" applyBorder="1" applyAlignment="1" applyProtection="1">
      <alignment horizontal="right" vertical="center" wrapText="1" indent="1"/>
      <protection locked="0"/>
    </xf>
    <xf numFmtId="169" fontId="17" fillId="0" borderId="6" xfId="11" applyNumberFormat="1" applyFont="1" applyFill="1" applyBorder="1" applyAlignment="1" applyProtection="1">
      <alignment horizontal="right" vertical="center" wrapText="1" indent="1"/>
      <protection locked="0"/>
    </xf>
    <xf numFmtId="169" fontId="6" fillId="0" borderId="44" xfId="11" applyNumberFormat="1" applyFont="1" applyFill="1" applyBorder="1" applyAlignment="1" applyProtection="1">
      <alignment horizontal="right" vertical="center" wrapText="1" indent="1"/>
    </xf>
    <xf numFmtId="169" fontId="17" fillId="0" borderId="36" xfId="11" applyNumberFormat="1" applyFont="1" applyFill="1" applyBorder="1" applyAlignment="1" applyProtection="1">
      <alignment horizontal="right" vertical="center" wrapText="1" indent="1"/>
      <protection locked="0"/>
    </xf>
    <xf numFmtId="169" fontId="35" fillId="0" borderId="44" xfId="11" applyNumberFormat="1" applyFont="1" applyFill="1" applyBorder="1" applyAlignment="1" applyProtection="1">
      <alignment horizontal="right" vertical="center" wrapText="1" indent="1"/>
    </xf>
    <xf numFmtId="169" fontId="73" fillId="0" borderId="36" xfId="11" applyNumberFormat="1" applyFont="1" applyBorder="1" applyAlignment="1" applyProtection="1">
      <alignment horizontal="right" vertical="center" wrapText="1" indent="1"/>
      <protection locked="0"/>
    </xf>
    <xf numFmtId="169" fontId="73" fillId="0" borderId="6" xfId="11" applyNumberFormat="1" applyFont="1" applyBorder="1" applyAlignment="1" applyProtection="1">
      <alignment horizontal="right" vertical="center" wrapText="1" indent="1"/>
      <protection locked="0"/>
    </xf>
    <xf numFmtId="169" fontId="73" fillId="0" borderId="63" xfId="11" applyNumberFormat="1" applyFont="1" applyBorder="1" applyAlignment="1" applyProtection="1">
      <alignment horizontal="right" vertical="center" wrapText="1" indent="1"/>
      <protection locked="0"/>
    </xf>
    <xf numFmtId="169" fontId="20" fillId="0" borderId="44" xfId="11" applyNumberFormat="1" applyFont="1" applyFill="1" applyBorder="1" applyAlignment="1" applyProtection="1">
      <alignment horizontal="right" vertical="center" wrapText="1" indent="1"/>
    </xf>
    <xf numFmtId="169" fontId="52" fillId="0" borderId="44" xfId="11" applyNumberFormat="1" applyFont="1" applyBorder="1" applyAlignment="1" applyProtection="1">
      <alignment horizontal="right" vertical="center" wrapText="1" indent="1"/>
    </xf>
    <xf numFmtId="169" fontId="52" fillId="0" borderId="44" xfId="11" quotePrefix="1" applyNumberFormat="1" applyFont="1" applyBorder="1" applyAlignment="1" applyProtection="1">
      <alignment horizontal="right" vertical="center" wrapText="1" indent="1"/>
      <protection locked="0"/>
    </xf>
    <xf numFmtId="169" fontId="6" fillId="0" borderId="2" xfId="11" applyNumberFormat="1" applyFont="1" applyFill="1" applyBorder="1" applyAlignment="1" applyProtection="1">
      <alignment horizontal="right" vertical="center" wrapText="1" indent="1"/>
    </xf>
    <xf numFmtId="169" fontId="6" fillId="0" borderId="7" xfId="11" applyNumberFormat="1" applyFont="1" applyFill="1" applyBorder="1" applyAlignment="1" applyProtection="1">
      <alignment horizontal="right" vertical="center" wrapText="1" indent="1"/>
    </xf>
    <xf numFmtId="169" fontId="6" fillId="0" borderId="4" xfId="11" applyNumberFormat="1" applyFont="1" applyFill="1" applyBorder="1" applyAlignment="1" applyProtection="1">
      <alignment horizontal="right" vertical="center" wrapText="1" indent="1"/>
    </xf>
    <xf numFmtId="169" fontId="6" fillId="0" borderId="1" xfId="11" applyNumberFormat="1" applyFont="1" applyFill="1" applyBorder="1" applyAlignment="1" applyProtection="1">
      <alignment horizontal="right" vertical="center" wrapText="1" indent="1"/>
    </xf>
    <xf numFmtId="169" fontId="17" fillId="0" borderId="5" xfId="11" applyNumberFormat="1" applyFont="1" applyFill="1" applyBorder="1" applyAlignment="1" applyProtection="1">
      <alignment horizontal="right" vertical="center" wrapText="1" indent="1"/>
      <protection locked="0"/>
    </xf>
    <xf numFmtId="169" fontId="17" fillId="0" borderId="7" xfId="11" applyNumberFormat="1" applyFont="1" applyFill="1" applyBorder="1" applyAlignment="1" applyProtection="1">
      <alignment horizontal="right" vertical="center" wrapText="1" indent="1"/>
      <protection locked="0"/>
    </xf>
    <xf numFmtId="169" fontId="17" fillId="0" borderId="4" xfId="11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16" xfId="11" applyNumberFormat="1" applyFont="1" applyFill="1" applyBorder="1" applyAlignment="1" applyProtection="1">
      <alignment horizontal="right" vertical="center" wrapText="1" indent="1"/>
    </xf>
    <xf numFmtId="169" fontId="73" fillId="0" borderId="4" xfId="11" applyNumberFormat="1" applyFont="1" applyFill="1" applyBorder="1" applyAlignment="1" applyProtection="1">
      <alignment horizontal="right" vertical="center" wrapText="1" indent="1"/>
      <protection locked="0"/>
    </xf>
    <xf numFmtId="169" fontId="73" fillId="0" borderId="2" xfId="11" applyNumberFormat="1" applyFont="1" applyFill="1" applyBorder="1" applyAlignment="1" applyProtection="1">
      <alignment horizontal="right" vertical="center" wrapText="1" indent="1"/>
      <protection locked="0"/>
    </xf>
    <xf numFmtId="169" fontId="73" fillId="0" borderId="7" xfId="11" applyNumberFormat="1" applyFont="1" applyFill="1" applyBorder="1" applyAlignment="1" applyProtection="1">
      <alignment horizontal="right" vertical="center" wrapText="1" indent="1"/>
      <protection locked="0"/>
    </xf>
    <xf numFmtId="169" fontId="52" fillId="0" borderId="16" xfId="11" applyNumberFormat="1" applyFont="1" applyFill="1" applyBorder="1" applyAlignment="1" applyProtection="1">
      <alignment horizontal="right" vertical="center" wrapText="1" indent="1"/>
    </xf>
    <xf numFmtId="169" fontId="52" fillId="0" borderId="16" xfId="11" quotePrefix="1" applyNumberFormat="1" applyFont="1" applyFill="1" applyBorder="1" applyAlignment="1" applyProtection="1">
      <alignment horizontal="right" vertical="center" wrapText="1" indent="1"/>
      <protection locked="0"/>
    </xf>
    <xf numFmtId="169" fontId="3" fillId="0" borderId="2" xfId="11" applyNumberFormat="1" applyFont="1" applyFill="1" applyBorder="1" applyAlignment="1" applyProtection="1">
      <alignment horizontal="right" vertical="center" wrapText="1" indent="1"/>
    </xf>
    <xf numFmtId="169" fontId="3" fillId="0" borderId="4" xfId="11" applyNumberFormat="1" applyFont="1" applyFill="1" applyBorder="1" applyAlignment="1" applyProtection="1">
      <alignment horizontal="right" vertical="center" wrapText="1" indent="1"/>
    </xf>
    <xf numFmtId="169" fontId="3" fillId="0" borderId="7" xfId="11" applyNumberFormat="1" applyFont="1" applyFill="1" applyBorder="1" applyAlignment="1" applyProtection="1">
      <alignment horizontal="right" vertical="center" wrapText="1" indent="1"/>
    </xf>
    <xf numFmtId="169" fontId="0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169" fontId="0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9" fontId="35" fillId="0" borderId="23" xfId="11" applyNumberFormat="1" applyFont="1" applyFill="1" applyBorder="1" applyAlignment="1" applyProtection="1">
      <alignment horizontal="right" vertical="center" wrapText="1" indent="1"/>
    </xf>
    <xf numFmtId="169" fontId="20" fillId="0" borderId="20" xfId="11" applyNumberFormat="1" applyFont="1" applyFill="1" applyBorder="1" applyAlignment="1" applyProtection="1">
      <alignment horizontal="right" vertical="center" wrapText="1" indent="1"/>
    </xf>
    <xf numFmtId="169" fontId="0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169" fontId="0" fillId="0" borderId="22" xfId="11" applyNumberFormat="1" applyFont="1" applyFill="1" applyBorder="1" applyAlignment="1" applyProtection="1">
      <alignment horizontal="right" vertical="center" wrapText="1" indent="1"/>
      <protection locked="0"/>
    </xf>
    <xf numFmtId="169" fontId="20" fillId="0" borderId="31" xfId="11" applyNumberFormat="1" applyFont="1" applyFill="1" applyBorder="1" applyAlignment="1" applyProtection="1">
      <alignment horizontal="right" vertical="center" wrapText="1" indent="1"/>
    </xf>
    <xf numFmtId="169" fontId="3" fillId="0" borderId="2" xfId="11" applyNumberFormat="1" applyFont="1" applyFill="1" applyBorder="1" applyAlignment="1" applyProtection="1">
      <alignment vertical="center" wrapText="1"/>
      <protection locked="0"/>
    </xf>
    <xf numFmtId="0" fontId="73" fillId="8" borderId="25" xfId="0" applyFont="1" applyFill="1" applyBorder="1" applyAlignment="1">
      <alignment horizontal="center" vertical="center" wrapText="1"/>
    </xf>
    <xf numFmtId="0" fontId="117" fillId="0" borderId="0" xfId="12" applyFont="1" applyBorder="1" applyAlignment="1">
      <alignment horizontal="left" vertical="center"/>
    </xf>
    <xf numFmtId="0" fontId="118" fillId="0" borderId="0" xfId="12" applyFont="1" applyAlignment="1">
      <alignment horizontal="left" vertical="center"/>
    </xf>
    <xf numFmtId="0" fontId="119" fillId="0" borderId="0" xfId="12" applyFont="1" applyBorder="1" applyAlignment="1">
      <alignment horizontal="left" vertical="center"/>
    </xf>
    <xf numFmtId="0" fontId="116" fillId="0" borderId="0" xfId="12" applyFont="1"/>
    <xf numFmtId="0" fontId="116" fillId="0" borderId="85" xfId="12" applyFont="1" applyBorder="1" applyAlignment="1">
      <alignment horizontal="right" vertical="center"/>
    </xf>
    <xf numFmtId="0" fontId="116" fillId="0" borderId="0" xfId="12" applyFont="1" applyBorder="1"/>
    <xf numFmtId="0" fontId="116" fillId="0" borderId="85" xfId="12" applyFont="1" applyBorder="1" applyAlignment="1">
      <alignment horizontal="left" vertical="center" wrapText="1"/>
    </xf>
    <xf numFmtId="0" fontId="121" fillId="0" borderId="85" xfId="12" applyFont="1" applyBorder="1" applyAlignment="1">
      <alignment horizontal="center" vertical="center"/>
    </xf>
    <xf numFmtId="0" fontId="121" fillId="9" borderId="85" xfId="12" applyFont="1" applyFill="1" applyBorder="1" applyAlignment="1">
      <alignment horizontal="center" vertical="center"/>
    </xf>
    <xf numFmtId="0" fontId="122" fillId="9" borderId="85" xfId="12" applyFont="1" applyFill="1" applyBorder="1" applyAlignment="1">
      <alignment horizontal="center" vertical="center"/>
    </xf>
    <xf numFmtId="49" fontId="121" fillId="9" borderId="85" xfId="13" applyNumberFormat="1" applyFont="1" applyFill="1" applyBorder="1" applyAlignment="1">
      <alignment horizontal="center" vertical="center" wrapText="1"/>
    </xf>
    <xf numFmtId="0" fontId="123" fillId="0" borderId="85" xfId="12" applyFont="1" applyBorder="1" applyAlignment="1">
      <alignment horizontal="left" vertical="center" wrapText="1"/>
    </xf>
    <xf numFmtId="0" fontId="123" fillId="0" borderId="85" xfId="12" applyFont="1" applyBorder="1" applyAlignment="1">
      <alignment horizontal="right" vertical="center"/>
    </xf>
    <xf numFmtId="0" fontId="83" fillId="0" borderId="0" xfId="12" applyFont="1" applyBorder="1" applyAlignment="1">
      <alignment vertical="center"/>
    </xf>
    <xf numFmtId="0" fontId="126" fillId="0" borderId="85" xfId="12" applyFont="1" applyBorder="1" applyAlignment="1">
      <alignment horizontal="left" vertical="center" wrapText="1"/>
    </xf>
    <xf numFmtId="0" fontId="126" fillId="0" borderId="85" xfId="12" applyFont="1" applyBorder="1" applyAlignment="1">
      <alignment horizontal="right" vertical="center"/>
    </xf>
    <xf numFmtId="0" fontId="127" fillId="0" borderId="85" xfId="12" applyFont="1" applyBorder="1" applyAlignment="1">
      <alignment horizontal="left" vertical="center" wrapText="1"/>
    </xf>
    <xf numFmtId="0" fontId="127" fillId="0" borderId="85" xfId="12" applyFont="1" applyBorder="1" applyAlignment="1">
      <alignment horizontal="right" vertical="center"/>
    </xf>
    <xf numFmtId="3" fontId="127" fillId="0" borderId="85" xfId="12" applyNumberFormat="1" applyFont="1" applyBorder="1" applyAlignment="1">
      <alignment horizontal="right" vertical="center"/>
    </xf>
    <xf numFmtId="3" fontId="116" fillId="0" borderId="85" xfId="12" applyNumberFormat="1" applyFont="1" applyBorder="1" applyAlignment="1">
      <alignment horizontal="right" vertical="center"/>
    </xf>
    <xf numFmtId="3" fontId="123" fillId="0" borderId="85" xfId="12" applyNumberFormat="1" applyFont="1" applyBorder="1" applyAlignment="1">
      <alignment horizontal="right" vertical="center"/>
    </xf>
    <xf numFmtId="3" fontId="126" fillId="0" borderId="85" xfId="12" applyNumberFormat="1" applyFont="1" applyBorder="1" applyAlignment="1">
      <alignment horizontal="right" vertical="center"/>
    </xf>
    <xf numFmtId="0" fontId="128" fillId="0" borderId="85" xfId="12" applyFont="1" applyBorder="1" applyAlignment="1">
      <alignment horizontal="left" vertical="center" wrapText="1"/>
    </xf>
    <xf numFmtId="0" fontId="128" fillId="0" borderId="85" xfId="12" applyFont="1" applyBorder="1" applyAlignment="1">
      <alignment horizontal="right" vertical="center"/>
    </xf>
    <xf numFmtId="3" fontId="128" fillId="0" borderId="85" xfId="12" applyNumberFormat="1" applyFont="1" applyBorder="1" applyAlignment="1">
      <alignment horizontal="right" vertical="center"/>
    </xf>
    <xf numFmtId="49" fontId="116" fillId="9" borderId="85" xfId="12" applyNumberFormat="1" applyFont="1" applyFill="1" applyBorder="1" applyAlignment="1">
      <alignment horizontal="center"/>
    </xf>
    <xf numFmtId="0" fontId="129" fillId="0" borderId="85" xfId="12" applyFont="1" applyBorder="1" applyAlignment="1">
      <alignment horizontal="left" vertical="center" wrapText="1"/>
    </xf>
    <xf numFmtId="0" fontId="129" fillId="0" borderId="85" xfId="12" applyFont="1" applyBorder="1" applyAlignment="1">
      <alignment horizontal="right" vertical="center"/>
    </xf>
    <xf numFmtId="3" fontId="129" fillId="0" borderId="85" xfId="12" applyNumberFormat="1" applyFont="1" applyBorder="1" applyAlignment="1">
      <alignment horizontal="right" vertical="center"/>
    </xf>
    <xf numFmtId="3" fontId="130" fillId="0" borderId="85" xfId="12" applyNumberFormat="1" applyFont="1" applyBorder="1" applyAlignment="1">
      <alignment horizontal="right" vertical="center"/>
    </xf>
    <xf numFmtId="49" fontId="118" fillId="0" borderId="85" xfId="13" applyNumberFormat="1" applyFont="1" applyBorder="1" applyAlignment="1">
      <alignment horizontal="center"/>
    </xf>
    <xf numFmtId="49" fontId="118" fillId="0" borderId="85" xfId="12" applyNumberFormat="1" applyFont="1" applyBorder="1" applyAlignment="1">
      <alignment horizontal="center"/>
    </xf>
    <xf numFmtId="0" fontId="116" fillId="0" borderId="85" xfId="12" applyFont="1" applyBorder="1" applyAlignment="1">
      <alignment vertical="center" wrapText="1"/>
    </xf>
    <xf numFmtId="0" fontId="77" fillId="0" borderId="85" xfId="12" applyFont="1" applyBorder="1" applyAlignment="1">
      <alignment horizontal="center" vertical="center"/>
    </xf>
    <xf numFmtId="49" fontId="77" fillId="0" borderId="85" xfId="12" applyNumberFormat="1" applyFont="1" applyBorder="1" applyAlignment="1">
      <alignment horizontal="right" vertical="center"/>
    </xf>
    <xf numFmtId="0" fontId="116" fillId="0" borderId="85" xfId="12" applyFont="1" applyBorder="1" applyAlignment="1">
      <alignment horizontal="center" vertical="center"/>
    </xf>
    <xf numFmtId="49" fontId="77" fillId="0" borderId="85" xfId="0" applyNumberFormat="1" applyFont="1" applyBorder="1" applyAlignment="1">
      <alignment horizontal="right" vertical="center"/>
    </xf>
    <xf numFmtId="0" fontId="121" fillId="9" borderId="85" xfId="12" applyFont="1" applyFill="1" applyBorder="1" applyAlignment="1">
      <alignment horizontal="center" vertical="center" wrapText="1"/>
    </xf>
    <xf numFmtId="49" fontId="122" fillId="9" borderId="85" xfId="12" applyNumberFormat="1" applyFont="1" applyFill="1" applyBorder="1" applyAlignment="1">
      <alignment horizontal="center" vertical="center"/>
    </xf>
    <xf numFmtId="49" fontId="116" fillId="0" borderId="85" xfId="12" applyNumberFormat="1" applyFont="1" applyBorder="1" applyAlignment="1">
      <alignment horizontal="center" vertical="center"/>
    </xf>
    <xf numFmtId="0" fontId="122" fillId="0" borderId="85" xfId="12" applyFont="1" applyBorder="1" applyAlignment="1">
      <alignment vertical="center" wrapText="1"/>
    </xf>
    <xf numFmtId="49" fontId="121" fillId="0" borderId="85" xfId="12" applyNumberFormat="1" applyFont="1" applyBorder="1" applyAlignment="1">
      <alignment horizontal="right" vertical="center"/>
    </xf>
    <xf numFmtId="49" fontId="121" fillId="0" borderId="85" xfId="0" applyNumberFormat="1" applyFont="1" applyBorder="1" applyAlignment="1">
      <alignment horizontal="right" vertical="center"/>
    </xf>
    <xf numFmtId="164" fontId="17" fillId="8" borderId="2" xfId="4" applyNumberFormat="1" applyFont="1" applyFill="1" applyBorder="1" applyAlignment="1" applyProtection="1">
      <alignment horizontal="right" vertical="center" wrapText="1" indent="1"/>
      <protection locked="0"/>
    </xf>
    <xf numFmtId="169" fontId="35" fillId="0" borderId="3" xfId="11" quotePrefix="1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25" xfId="0" applyFont="1" applyBorder="1" applyAlignment="1">
      <alignment horizontal="center" vertical="top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73" fillId="0" borderId="0" xfId="0" applyFont="1" applyAlignment="1">
      <alignment horizontal="right"/>
    </xf>
    <xf numFmtId="0" fontId="73" fillId="0" borderId="25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top" wrapText="1"/>
    </xf>
    <xf numFmtId="0" fontId="52" fillId="0" borderId="80" xfId="0" applyFont="1" applyBorder="1" applyAlignment="1">
      <alignment horizontal="center" vertical="top" wrapText="1"/>
    </xf>
    <xf numFmtId="0" fontId="52" fillId="0" borderId="81" xfId="0" applyFont="1" applyBorder="1" applyAlignment="1">
      <alignment horizontal="center" vertical="top" wrapText="1"/>
    </xf>
    <xf numFmtId="0" fontId="52" fillId="0" borderId="82" xfId="0" applyFont="1" applyBorder="1" applyAlignment="1">
      <alignment horizontal="center" vertical="top" wrapText="1"/>
    </xf>
    <xf numFmtId="0" fontId="53" fillId="0" borderId="0" xfId="0" applyFont="1" applyBorder="1" applyAlignment="1" applyProtection="1">
      <alignment horizontal="left" wrapText="1" indent="1"/>
    </xf>
    <xf numFmtId="164" fontId="39" fillId="0" borderId="37" xfId="4" applyNumberFormat="1" applyFont="1" applyFill="1" applyBorder="1" applyAlignment="1" applyProtection="1">
      <alignment horizontal="left" vertical="center"/>
    </xf>
    <xf numFmtId="164" fontId="39" fillId="0" borderId="37" xfId="4" applyNumberFormat="1" applyFont="1" applyFill="1" applyBorder="1" applyAlignment="1" applyProtection="1">
      <alignment horizontal="left"/>
    </xf>
    <xf numFmtId="164" fontId="9" fillId="0" borderId="0" xfId="4" applyNumberFormat="1" applyFont="1" applyFill="1" applyBorder="1" applyAlignment="1" applyProtection="1">
      <alignment horizontal="center" vertical="center"/>
    </xf>
    <xf numFmtId="0" fontId="26" fillId="0" borderId="0" xfId="4" applyFont="1" applyFill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164" fontId="33" fillId="0" borderId="73" xfId="0" applyNumberFormat="1" applyFont="1" applyFill="1" applyBorder="1" applyAlignment="1" applyProtection="1">
      <alignment horizontal="center" vertical="center" wrapText="1"/>
    </xf>
    <xf numFmtId="164" fontId="33" fillId="0" borderId="66" xfId="0" applyNumberFormat="1" applyFont="1" applyFill="1" applyBorder="1" applyAlignment="1" applyProtection="1">
      <alignment horizontal="center" vertical="center" wrapText="1"/>
    </xf>
    <xf numFmtId="164" fontId="35" fillId="0" borderId="0" xfId="0" applyNumberFormat="1" applyFont="1" applyFill="1" applyAlignment="1" applyProtection="1">
      <alignment horizontal="center" textRotation="180" wrapText="1"/>
    </xf>
    <xf numFmtId="164" fontId="10" fillId="0" borderId="45" xfId="0" applyNumberFormat="1" applyFont="1" applyFill="1" applyBorder="1" applyAlignment="1" applyProtection="1">
      <alignment horizontal="center" vertical="center" wrapText="1"/>
    </xf>
    <xf numFmtId="164" fontId="10" fillId="0" borderId="46" xfId="0" applyNumberFormat="1" applyFont="1" applyFill="1" applyBorder="1" applyAlignment="1" applyProtection="1">
      <alignment horizontal="center" vertical="center" wrapTex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33" fillId="0" borderId="72" xfId="0" applyNumberFormat="1" applyFont="1" applyFill="1" applyBorder="1" applyAlignment="1" applyProtection="1">
      <alignment horizontal="center" vertical="center" wrapText="1"/>
    </xf>
    <xf numFmtId="164" fontId="33" fillId="0" borderId="71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/>
    </xf>
    <xf numFmtId="0" fontId="35" fillId="0" borderId="22" xfId="4" applyFont="1" applyFill="1" applyBorder="1" applyAlignment="1">
      <alignment horizontal="center" vertical="center" wrapText="1"/>
    </xf>
    <xf numFmtId="0" fontId="35" fillId="0" borderId="21" xfId="4" applyFont="1" applyFill="1" applyBorder="1" applyAlignment="1">
      <alignment horizontal="center" vertical="center" wrapText="1"/>
    </xf>
    <xf numFmtId="0" fontId="35" fillId="0" borderId="13" xfId="4" applyFont="1" applyFill="1" applyBorder="1" applyAlignment="1">
      <alignment horizontal="center" vertical="center" wrapText="1"/>
    </xf>
    <xf numFmtId="0" fontId="35" fillId="0" borderId="12" xfId="4" applyFont="1" applyFill="1" applyBorder="1" applyAlignment="1">
      <alignment horizontal="center" vertical="center" wrapText="1"/>
    </xf>
    <xf numFmtId="0" fontId="35" fillId="0" borderId="5" xfId="4" applyFont="1" applyFill="1" applyBorder="1" applyAlignment="1">
      <alignment horizontal="center" vertical="center" wrapText="1"/>
    </xf>
    <xf numFmtId="0" fontId="35" fillId="0" borderId="7" xfId="4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right"/>
    </xf>
    <xf numFmtId="0" fontId="33" fillId="0" borderId="15" xfId="4" applyFont="1" applyFill="1" applyBorder="1" applyAlignment="1" applyProtection="1">
      <alignment horizontal="left"/>
    </xf>
    <xf numFmtId="0" fontId="33" fillId="0" borderId="35" xfId="4" applyFont="1" applyFill="1" applyBorder="1" applyAlignment="1" applyProtection="1">
      <alignment horizontal="left"/>
    </xf>
    <xf numFmtId="0" fontId="24" fillId="0" borderId="60" xfId="4" applyFont="1" applyFill="1" applyBorder="1" applyAlignment="1">
      <alignment horizontal="justify" vertical="center" wrapText="1"/>
    </xf>
    <xf numFmtId="164" fontId="52" fillId="0" borderId="35" xfId="0" applyNumberFormat="1" applyFont="1" applyFill="1" applyBorder="1" applyAlignment="1" applyProtection="1">
      <alignment horizontal="center" vertical="center" wrapText="1"/>
    </xf>
    <xf numFmtId="164" fontId="52" fillId="0" borderId="44" xfId="0" applyNumberFormat="1" applyFont="1" applyFill="1" applyBorder="1" applyAlignment="1" applyProtection="1">
      <alignment horizontal="center" vertical="center" wrapText="1"/>
    </xf>
    <xf numFmtId="164" fontId="52" fillId="0" borderId="45" xfId="0" applyNumberFormat="1" applyFont="1" applyFill="1" applyBorder="1" applyAlignment="1" applyProtection="1">
      <alignment horizontal="center" vertical="center" wrapText="1"/>
    </xf>
    <xf numFmtId="164" fontId="73" fillId="0" borderId="0" xfId="0" applyNumberFormat="1" applyFont="1" applyFill="1" applyAlignment="1">
      <alignment horizontal="left" wrapText="1"/>
    </xf>
    <xf numFmtId="164" fontId="26" fillId="0" borderId="0" xfId="0" applyNumberFormat="1" applyFont="1" applyFill="1" applyAlignment="1">
      <alignment horizontal="center" vertical="center" wrapText="1"/>
    </xf>
    <xf numFmtId="164" fontId="52" fillId="0" borderId="2" xfId="0" applyNumberFormat="1" applyFont="1" applyFill="1" applyBorder="1" applyAlignment="1" applyProtection="1">
      <alignment horizontal="center" vertical="center" wrapText="1"/>
    </xf>
    <xf numFmtId="0" fontId="73" fillId="0" borderId="0" xfId="0" applyFont="1" applyFill="1" applyAlignment="1" applyProtection="1">
      <alignment horizontal="center" vertical="top"/>
      <protection locked="0"/>
    </xf>
    <xf numFmtId="0" fontId="52" fillId="0" borderId="0" xfId="0" applyFont="1" applyFill="1" applyAlignment="1">
      <alignment horizontal="center" vertical="center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70" xfId="0" applyFont="1" applyFill="1" applyBorder="1" applyAlignment="1" applyProtection="1">
      <alignment horizontal="center" vertical="center" wrapText="1"/>
    </xf>
    <xf numFmtId="0" fontId="10" fillId="0" borderId="76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55" xfId="0" applyFont="1" applyFill="1" applyBorder="1" applyAlignment="1" applyProtection="1">
      <alignment horizontal="center" vertical="center"/>
      <protection locked="0"/>
    </xf>
    <xf numFmtId="0" fontId="10" fillId="0" borderId="64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25" fillId="0" borderId="0" xfId="12" applyFont="1" applyBorder="1" applyAlignment="1">
      <alignment horizontal="center" vertical="center" wrapText="1"/>
    </xf>
    <xf numFmtId="0" fontId="124" fillId="0" borderId="0" xfId="12" applyFont="1" applyBorder="1" applyAlignment="1">
      <alignment horizontal="right" vertical="center" wrapText="1"/>
    </xf>
    <xf numFmtId="49" fontId="17" fillId="0" borderId="0" xfId="13" applyNumberFormat="1" applyFont="1" applyFill="1" applyBorder="1" applyAlignment="1">
      <alignment horizontal="right"/>
    </xf>
    <xf numFmtId="0" fontId="120" fillId="0" borderId="0" xfId="12" applyFont="1" applyAlignment="1">
      <alignment horizontal="center" vertical="center" wrapText="1"/>
    </xf>
    <xf numFmtId="0" fontId="121" fillId="9" borderId="85" xfId="12" applyFont="1" applyFill="1" applyBorder="1" applyAlignment="1">
      <alignment horizontal="center" vertical="center" wrapText="1"/>
    </xf>
    <xf numFmtId="0" fontId="132" fillId="0" borderId="86" xfId="12" applyFont="1" applyBorder="1" applyAlignment="1">
      <alignment horizontal="right"/>
    </xf>
    <xf numFmtId="0" fontId="125" fillId="0" borderId="0" xfId="12" applyFont="1" applyBorder="1" applyAlignment="1">
      <alignment horizontal="center" vertical="center"/>
    </xf>
    <xf numFmtId="49" fontId="121" fillId="9" borderId="85" xfId="13" applyNumberFormat="1" applyFont="1" applyFill="1" applyBorder="1" applyAlignment="1">
      <alignment horizontal="center" vertical="center" wrapText="1"/>
    </xf>
    <xf numFmtId="0" fontId="131" fillId="0" borderId="0" xfId="12" applyFont="1" applyAlignment="1">
      <alignment horizontal="center" vertical="center" wrapText="1"/>
    </xf>
    <xf numFmtId="0" fontId="5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>
      <alignment horizontal="center" wrapText="1"/>
    </xf>
    <xf numFmtId="164" fontId="10" fillId="0" borderId="45" xfId="0" applyNumberFormat="1" applyFont="1" applyFill="1" applyBorder="1" applyAlignment="1" applyProtection="1">
      <alignment horizontal="left" vertical="center" wrapText="1" indent="2"/>
    </xf>
    <xf numFmtId="164" fontId="10" fillId="0" borderId="38" xfId="0" applyNumberFormat="1" applyFont="1" applyFill="1" applyBorder="1" applyAlignment="1" applyProtection="1">
      <alignment horizontal="left" vertical="center" wrapText="1" indent="2"/>
    </xf>
    <xf numFmtId="164" fontId="10" fillId="0" borderId="73" xfId="0" applyNumberFormat="1" applyFont="1" applyFill="1" applyBorder="1" applyAlignment="1" applyProtection="1">
      <alignment horizontal="center" vertical="center"/>
    </xf>
    <xf numFmtId="164" fontId="10" fillId="0" borderId="66" xfId="0" applyNumberFormat="1" applyFont="1" applyFill="1" applyBorder="1" applyAlignment="1" applyProtection="1">
      <alignment horizontal="center" vertical="center"/>
    </xf>
    <xf numFmtId="164" fontId="10" fillId="0" borderId="70" xfId="0" applyNumberFormat="1" applyFont="1" applyFill="1" applyBorder="1" applyAlignment="1" applyProtection="1">
      <alignment horizontal="center" vertical="center"/>
    </xf>
    <xf numFmtId="164" fontId="10" fillId="0" borderId="75" xfId="0" applyNumberFormat="1" applyFont="1" applyFill="1" applyBorder="1" applyAlignment="1" applyProtection="1">
      <alignment horizontal="center" vertical="center"/>
    </xf>
    <xf numFmtId="164" fontId="10" fillId="0" borderId="57" xfId="0" applyNumberFormat="1" applyFont="1" applyFill="1" applyBorder="1" applyAlignment="1" applyProtection="1">
      <alignment horizontal="center" vertical="center"/>
    </xf>
    <xf numFmtId="164" fontId="10" fillId="0" borderId="73" xfId="0" applyNumberFormat="1" applyFont="1" applyFill="1" applyBorder="1" applyAlignment="1" applyProtection="1">
      <alignment horizontal="center" vertical="center" wrapText="1"/>
    </xf>
    <xf numFmtId="164" fontId="10" fillId="0" borderId="66" xfId="0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horizontal="right"/>
    </xf>
    <xf numFmtId="0" fontId="61" fillId="0" borderId="0" xfId="0" applyFont="1" applyFill="1" applyAlignment="1">
      <alignment horizontal="center"/>
    </xf>
    <xf numFmtId="3" fontId="63" fillId="0" borderId="55" xfId="0" applyNumberFormat="1" applyFont="1" applyFill="1" applyBorder="1" applyAlignment="1">
      <alignment horizontal="center" vertical="center" wrapText="1"/>
    </xf>
    <xf numFmtId="3" fontId="63" fillId="0" borderId="64" xfId="0" applyNumberFormat="1" applyFont="1" applyFill="1" applyBorder="1" applyAlignment="1">
      <alignment horizontal="center" vertical="center" wrapText="1"/>
    </xf>
    <xf numFmtId="3" fontId="63" fillId="0" borderId="6" xfId="0" applyNumberFormat="1" applyFont="1" applyFill="1" applyBorder="1" applyAlignment="1">
      <alignment horizontal="center" vertical="center" wrapText="1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0" fontId="23" fillId="0" borderId="35" xfId="5" applyFont="1" applyFill="1" applyBorder="1" applyAlignment="1" applyProtection="1">
      <alignment horizontal="left" vertical="center" indent="1"/>
    </xf>
    <xf numFmtId="0" fontId="23" fillId="0" borderId="46" xfId="5" applyFont="1" applyFill="1" applyBorder="1" applyAlignment="1" applyProtection="1">
      <alignment horizontal="left" vertical="center" indent="1"/>
    </xf>
    <xf numFmtId="0" fontId="23" fillId="0" borderId="38" xfId="5" applyFont="1" applyFill="1" applyBorder="1" applyAlignment="1" applyProtection="1">
      <alignment horizontal="left" vertical="center" indent="1"/>
    </xf>
    <xf numFmtId="0" fontId="26" fillId="0" borderId="0" xfId="5" applyFont="1" applyFill="1" applyAlignment="1" applyProtection="1">
      <alignment horizontal="center" wrapText="1"/>
    </xf>
    <xf numFmtId="0" fontId="26" fillId="0" borderId="0" xfId="5" applyFont="1" applyFill="1" applyAlignment="1" applyProtection="1">
      <alignment horizontal="center"/>
    </xf>
    <xf numFmtId="0" fontId="99" fillId="0" borderId="0" xfId="9" applyFont="1" applyAlignment="1">
      <alignment horizontal="center"/>
    </xf>
    <xf numFmtId="0" fontId="100" fillId="0" borderId="73" xfId="9" applyFont="1" applyBorder="1" applyAlignment="1">
      <alignment horizontal="center" vertical="center"/>
    </xf>
    <xf numFmtId="0" fontId="100" fillId="0" borderId="30" xfId="9" applyFont="1" applyBorder="1" applyAlignment="1">
      <alignment horizontal="center" vertical="center"/>
    </xf>
    <xf numFmtId="0" fontId="100" fillId="0" borderId="66" xfId="9" applyFont="1" applyBorder="1" applyAlignment="1">
      <alignment horizontal="center" vertical="center"/>
    </xf>
    <xf numFmtId="0" fontId="100" fillId="0" borderId="84" xfId="9" applyFont="1" applyBorder="1" applyAlignment="1">
      <alignment horizontal="center" vertical="center"/>
    </xf>
    <xf numFmtId="0" fontId="100" fillId="0" borderId="56" xfId="9" applyFont="1" applyBorder="1" applyAlignment="1">
      <alignment horizontal="center" vertical="center"/>
    </xf>
    <xf numFmtId="0" fontId="100" fillId="0" borderId="78" xfId="9" applyFont="1" applyBorder="1" applyAlignment="1">
      <alignment horizontal="center" vertical="center"/>
    </xf>
    <xf numFmtId="0" fontId="100" fillId="0" borderId="59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0" fontId="100" fillId="0" borderId="25" xfId="9" applyFont="1" applyBorder="1" applyAlignment="1">
      <alignment vertical="center"/>
    </xf>
    <xf numFmtId="168" fontId="100" fillId="0" borderId="25" xfId="9" applyNumberFormat="1" applyFont="1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" fillId="0" borderId="25" xfId="9" applyBorder="1" applyAlignment="1">
      <alignment horizontal="right" vertical="center"/>
    </xf>
    <xf numFmtId="16" fontId="100" fillId="0" borderId="73" xfId="9" quotePrefix="1" applyNumberFormat="1" applyFont="1" applyBorder="1" applyAlignment="1">
      <alignment horizontal="center" vertical="center"/>
    </xf>
    <xf numFmtId="0" fontId="1" fillId="0" borderId="25" xfId="9" applyBorder="1" applyAlignment="1">
      <alignment vertical="center"/>
    </xf>
    <xf numFmtId="0" fontId="1" fillId="0" borderId="30" xfId="9" applyBorder="1" applyAlignment="1">
      <alignment vertical="center"/>
    </xf>
    <xf numFmtId="0" fontId="1" fillId="0" borderId="66" xfId="9" applyBorder="1" applyAlignment="1">
      <alignment vertical="center"/>
    </xf>
    <xf numFmtId="0" fontId="32" fillId="0" borderId="60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3" fontId="105" fillId="0" borderId="0" xfId="0" applyNumberFormat="1" applyFont="1" applyAlignment="1">
      <alignment horizontal="right"/>
    </xf>
    <xf numFmtId="0" fontId="39" fillId="0" borderId="0" xfId="0" applyFont="1" applyAlignment="1" applyProtection="1">
      <alignment horizontal="right"/>
    </xf>
    <xf numFmtId="0" fontId="33" fillId="0" borderId="45" xfId="0" applyFont="1" applyBorder="1" applyAlignment="1" applyProtection="1">
      <alignment horizontal="left" vertical="center"/>
    </xf>
    <xf numFmtId="0" fontId="33" fillId="0" borderId="46" xfId="0" applyFont="1" applyBorder="1" applyAlignment="1" applyProtection="1">
      <alignment horizontal="left" vertical="center"/>
    </xf>
    <xf numFmtId="0" fontId="33" fillId="0" borderId="38" xfId="0" applyFont="1" applyBorder="1" applyAlignment="1" applyProtection="1">
      <alignment horizontal="left" vertical="center"/>
    </xf>
    <xf numFmtId="0" fontId="31" fillId="0" borderId="45" xfId="0" applyFont="1" applyBorder="1" applyAlignment="1" applyProtection="1">
      <alignment horizontal="center" vertical="center"/>
    </xf>
    <xf numFmtId="0" fontId="31" fillId="0" borderId="46" xfId="0" applyFont="1" applyBorder="1" applyAlignment="1" applyProtection="1">
      <alignment horizontal="center" vertical="center"/>
    </xf>
    <xf numFmtId="0" fontId="31" fillId="0" borderId="44" xfId="0" applyFont="1" applyBorder="1" applyAlignment="1" applyProtection="1">
      <alignment horizontal="center" vertical="center"/>
    </xf>
    <xf numFmtId="0" fontId="104" fillId="0" borderId="0" xfId="5" applyFont="1" applyFill="1" applyAlignment="1" applyProtection="1">
      <alignment horizontal="right"/>
      <protection locked="0"/>
    </xf>
    <xf numFmtId="0" fontId="18" fillId="0" borderId="0" xfId="10" applyFont="1" applyFill="1" applyBorder="1" applyAlignment="1" applyProtection="1">
      <alignment horizontal="center" vertical="center"/>
    </xf>
    <xf numFmtId="0" fontId="76" fillId="0" borderId="45" xfId="10" applyFont="1" applyFill="1" applyBorder="1" applyAlignment="1">
      <alignment horizontal="center" vertical="center" wrapText="1"/>
    </xf>
    <xf numFmtId="0" fontId="76" fillId="0" borderId="46" xfId="10" applyFont="1" applyFill="1" applyBorder="1" applyAlignment="1">
      <alignment horizontal="center" vertical="center" wrapText="1"/>
    </xf>
    <xf numFmtId="0" fontId="76" fillId="0" borderId="44" xfId="10" applyFont="1" applyFill="1" applyBorder="1" applyAlignment="1">
      <alignment horizontal="center" vertical="center" wrapText="1"/>
    </xf>
    <xf numFmtId="0" fontId="76" fillId="0" borderId="70" xfId="10" applyFont="1" applyFill="1" applyBorder="1" applyAlignment="1">
      <alignment horizontal="center" vertical="center" wrapText="1"/>
    </xf>
    <xf numFmtId="0" fontId="76" fillId="0" borderId="54" xfId="10" applyFont="1" applyFill="1" applyBorder="1" applyAlignment="1">
      <alignment horizontal="center" vertical="center" wrapText="1"/>
    </xf>
    <xf numFmtId="0" fontId="76" fillId="0" borderId="41" xfId="10" applyFont="1" applyFill="1" applyBorder="1" applyAlignment="1">
      <alignment horizontal="center" vertical="center" wrapText="1"/>
    </xf>
    <xf numFmtId="0" fontId="76" fillId="0" borderId="39" xfId="10" applyFont="1" applyFill="1" applyBorder="1" applyAlignment="1">
      <alignment horizontal="center" vertical="center" wrapText="1"/>
    </xf>
    <xf numFmtId="0" fontId="52" fillId="0" borderId="5" xfId="10" applyFont="1" applyFill="1" applyBorder="1" applyAlignment="1">
      <alignment horizontal="center" vertical="center" wrapText="1"/>
    </xf>
    <xf numFmtId="0" fontId="52" fillId="0" borderId="2" xfId="10" applyFont="1" applyFill="1" applyBorder="1" applyAlignment="1">
      <alignment horizontal="center" vertical="center" wrapText="1"/>
    </xf>
    <xf numFmtId="0" fontId="52" fillId="0" borderId="61" xfId="10" applyFont="1" applyFill="1" applyBorder="1" applyAlignment="1">
      <alignment horizontal="left" vertical="center" wrapText="1"/>
    </xf>
    <xf numFmtId="0" fontId="52" fillId="0" borderId="76" xfId="10" applyFont="1" applyFill="1" applyBorder="1" applyAlignment="1">
      <alignment horizontal="left" vertical="center" wrapText="1"/>
    </xf>
    <xf numFmtId="0" fontId="76" fillId="0" borderId="2" xfId="10" applyFont="1" applyBorder="1" applyAlignment="1">
      <alignment horizontal="left" vertical="center" wrapText="1"/>
    </xf>
    <xf numFmtId="0" fontId="76" fillId="0" borderId="68" xfId="10" applyFont="1" applyBorder="1" applyAlignment="1">
      <alignment horizontal="left" vertical="center" wrapText="1"/>
    </xf>
    <xf numFmtId="0" fontId="76" fillId="0" borderId="37" xfId="10" applyFont="1" applyBorder="1" applyAlignment="1">
      <alignment horizontal="left" vertical="center" wrapText="1"/>
    </xf>
    <xf numFmtId="0" fontId="76" fillId="0" borderId="79" xfId="10" applyFont="1" applyBorder="1" applyAlignment="1">
      <alignment horizontal="left" vertical="center" wrapText="1"/>
    </xf>
    <xf numFmtId="0" fontId="76" fillId="0" borderId="17" xfId="10" applyFont="1" applyBorder="1" applyAlignment="1">
      <alignment horizontal="center" vertical="center" wrapText="1"/>
    </xf>
    <xf numFmtId="0" fontId="3" fillId="0" borderId="8" xfId="10" applyBorder="1"/>
    <xf numFmtId="0" fontId="3" fillId="0" borderId="10" xfId="10" applyBorder="1"/>
    <xf numFmtId="0" fontId="52" fillId="0" borderId="18" xfId="10" applyFont="1" applyBorder="1" applyAlignment="1">
      <alignment horizontal="center" vertical="center" wrapText="1"/>
    </xf>
    <xf numFmtId="0" fontId="52" fillId="0" borderId="1" xfId="10" applyFont="1" applyBorder="1" applyAlignment="1">
      <alignment horizontal="center" vertical="center" wrapText="1"/>
    </xf>
    <xf numFmtId="0" fontId="52" fillId="0" borderId="4" xfId="10" applyFont="1" applyBorder="1" applyAlignment="1">
      <alignment horizontal="center" vertical="center" wrapText="1"/>
    </xf>
    <xf numFmtId="0" fontId="52" fillId="0" borderId="5" xfId="10" applyFont="1" applyBorder="1" applyAlignment="1">
      <alignment horizontal="left" vertical="center" wrapText="1"/>
    </xf>
    <xf numFmtId="0" fontId="52" fillId="0" borderId="2" xfId="10" applyFont="1" applyBorder="1" applyAlignment="1">
      <alignment horizontal="center" vertical="center" wrapText="1"/>
    </xf>
    <xf numFmtId="0" fontId="52" fillId="0" borderId="7" xfId="10" applyFont="1" applyBorder="1" applyAlignment="1">
      <alignment horizontal="center" vertical="center" wrapText="1"/>
    </xf>
    <xf numFmtId="0" fontId="52" fillId="0" borderId="2" xfId="10" applyFont="1" applyBorder="1" applyAlignment="1">
      <alignment horizontal="left" vertical="center" wrapText="1"/>
    </xf>
    <xf numFmtId="0" fontId="75" fillId="0" borderId="2" xfId="10" applyFont="1" applyBorder="1" applyAlignment="1">
      <alignment horizontal="center" vertical="center" wrapText="1"/>
    </xf>
    <xf numFmtId="0" fontId="75" fillId="0" borderId="32" xfId="10" applyFont="1" applyBorder="1" applyAlignment="1">
      <alignment horizontal="center" vertical="center" wrapText="1"/>
    </xf>
    <xf numFmtId="0" fontId="75" fillId="0" borderId="2" xfId="10" applyFont="1" applyBorder="1" applyAlignment="1">
      <alignment horizontal="left" vertical="center" wrapText="1"/>
    </xf>
    <xf numFmtId="0" fontId="76" fillId="0" borderId="35" xfId="10" applyFont="1" applyBorder="1" applyAlignment="1">
      <alignment horizontal="left" vertical="center" wrapText="1"/>
    </xf>
    <xf numFmtId="0" fontId="76" fillId="0" borderId="46" xfId="10" applyFont="1" applyBorder="1" applyAlignment="1">
      <alignment horizontal="left" vertical="center" wrapText="1"/>
    </xf>
    <xf numFmtId="0" fontId="76" fillId="0" borderId="44" xfId="10" applyFont="1" applyBorder="1" applyAlignment="1">
      <alignment horizontal="left" vertical="center" wrapText="1"/>
    </xf>
    <xf numFmtId="0" fontId="76" fillId="0" borderId="70" xfId="10" applyFont="1" applyBorder="1" applyAlignment="1">
      <alignment horizontal="center" vertical="center" wrapText="1"/>
    </xf>
    <xf numFmtId="0" fontId="76" fillId="0" borderId="54" xfId="10" applyFont="1" applyBorder="1" applyAlignment="1">
      <alignment horizontal="center" vertical="center" wrapText="1"/>
    </xf>
    <xf numFmtId="0" fontId="76" fillId="0" borderId="41" xfId="10" applyFont="1" applyBorder="1" applyAlignment="1">
      <alignment horizontal="center" vertical="center" wrapText="1"/>
    </xf>
    <xf numFmtId="0" fontId="76" fillId="0" borderId="39" xfId="10" applyFont="1" applyBorder="1" applyAlignment="1">
      <alignment horizontal="center" vertical="center" wrapText="1"/>
    </xf>
    <xf numFmtId="0" fontId="52" fillId="0" borderId="61" xfId="10" applyFont="1" applyBorder="1" applyAlignment="1">
      <alignment horizontal="left" vertical="center" wrapText="1"/>
    </xf>
    <xf numFmtId="0" fontId="52" fillId="0" borderId="76" xfId="10" applyFont="1" applyBorder="1" applyAlignment="1">
      <alignment horizontal="left" vertical="center" wrapText="1"/>
    </xf>
    <xf numFmtId="0" fontId="73" fillId="0" borderId="2" xfId="10" applyFont="1" applyBorder="1" applyAlignment="1">
      <alignment horizontal="center" vertical="center" wrapText="1"/>
    </xf>
    <xf numFmtId="0" fontId="52" fillId="0" borderId="55" xfId="10" applyFont="1" applyBorder="1" applyAlignment="1">
      <alignment horizontal="left" vertical="center" wrapText="1"/>
    </xf>
    <xf numFmtId="0" fontId="52" fillId="0" borderId="6" xfId="10" applyFont="1" applyBorder="1" applyAlignment="1">
      <alignment horizontal="left" vertical="center" wrapText="1"/>
    </xf>
    <xf numFmtId="0" fontId="76" fillId="0" borderId="7" xfId="10" applyFont="1" applyBorder="1" applyAlignment="1">
      <alignment horizontal="center" vertical="center" wrapText="1"/>
    </xf>
    <xf numFmtId="0" fontId="76" fillId="0" borderId="1" xfId="10" applyFont="1" applyBorder="1" applyAlignment="1">
      <alignment horizontal="center" vertical="center" wrapText="1"/>
    </xf>
    <xf numFmtId="0" fontId="76" fillId="0" borderId="55" xfId="10" applyFont="1" applyBorder="1" applyAlignment="1">
      <alignment horizontal="left" vertical="center" wrapText="1"/>
    </xf>
    <xf numFmtId="0" fontId="76" fillId="0" borderId="6" xfId="10" applyFont="1" applyBorder="1" applyAlignment="1">
      <alignment horizontal="left" vertical="center" wrapText="1"/>
    </xf>
    <xf numFmtId="0" fontId="76" fillId="0" borderId="64" xfId="10" applyFont="1" applyBorder="1" applyAlignment="1">
      <alignment horizontal="left" vertical="center" wrapText="1"/>
    </xf>
    <xf numFmtId="0" fontId="76" fillId="0" borderId="5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61" xfId="10" applyFont="1" applyBorder="1" applyAlignment="1">
      <alignment horizontal="left" vertical="center" wrapText="1"/>
    </xf>
    <xf numFmtId="0" fontId="76" fillId="0" borderId="76" xfId="10" applyFont="1" applyBorder="1" applyAlignment="1">
      <alignment horizontal="left" vertical="center" wrapText="1"/>
    </xf>
    <xf numFmtId="0" fontId="76" fillId="0" borderId="45" xfId="10" applyFont="1" applyBorder="1" applyAlignment="1">
      <alignment horizontal="center" vertical="center" wrapText="1"/>
    </xf>
    <xf numFmtId="0" fontId="76" fillId="0" borderId="46" xfId="10" applyFont="1" applyBorder="1" applyAlignment="1">
      <alignment horizontal="center" vertical="center" wrapText="1"/>
    </xf>
    <xf numFmtId="0" fontId="76" fillId="0" borderId="38" xfId="10" applyFont="1" applyBorder="1" applyAlignment="1">
      <alignment horizontal="center" vertical="center" wrapText="1"/>
    </xf>
    <xf numFmtId="0" fontId="83" fillId="0" borderId="0" xfId="10" applyFont="1" applyBorder="1" applyAlignment="1">
      <alignment horizontal="center" vertical="center" wrapText="1"/>
    </xf>
    <xf numFmtId="0" fontId="76" fillId="0" borderId="75" xfId="10" applyFont="1" applyBorder="1" applyAlignment="1">
      <alignment horizontal="left" vertical="center" wrapText="1"/>
    </xf>
    <xf numFmtId="0" fontId="76" fillId="0" borderId="77" xfId="10" applyFont="1" applyBorder="1" applyAlignment="1">
      <alignment horizontal="center" vertical="center" wrapText="1"/>
    </xf>
    <xf numFmtId="0" fontId="76" fillId="0" borderId="40" xfId="10" applyFont="1" applyBorder="1" applyAlignment="1">
      <alignment horizontal="center" vertical="center" wrapText="1"/>
    </xf>
    <xf numFmtId="0" fontId="76" fillId="0" borderId="52" xfId="10" applyFont="1" applyBorder="1" applyAlignment="1">
      <alignment horizontal="left" vertical="center" wrapText="1"/>
    </xf>
    <xf numFmtId="0" fontId="76" fillId="0" borderId="77" xfId="10" applyFont="1" applyBorder="1" applyAlignment="1">
      <alignment horizontal="left" vertical="center" wrapText="1"/>
    </xf>
    <xf numFmtId="0" fontId="76" fillId="0" borderId="40" xfId="10" applyFont="1" applyBorder="1" applyAlignment="1">
      <alignment horizontal="left" vertical="center" wrapText="1"/>
    </xf>
  </cellXfs>
  <cellStyles count="14">
    <cellStyle name="Ezres" xfId="1" builtinId="3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3" xfId="10"/>
    <cellStyle name="Normál 3" xfId="9"/>
    <cellStyle name="Normál 4" xfId="12"/>
    <cellStyle name="Normál_2001 évi terv" xfId="6"/>
    <cellStyle name="Normal_KTRSZJ" xfId="13"/>
    <cellStyle name="Normál_KVRENMUNKA" xfId="4"/>
    <cellStyle name="Normál_SEGEDLETEK" xfId="5"/>
    <cellStyle name="Százalék" xfId="11" builtinId="5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7" customWidth="1"/>
    <col min="2" max="16384" width="9.33203125" style="487"/>
  </cols>
  <sheetData>
    <row r="1" spans="1:1" s="486" customFormat="1" ht="15" x14ac:dyDescent="0.25">
      <c r="A1" s="486" t="s">
        <v>414</v>
      </c>
    </row>
    <row r="2" spans="1:1" s="486" customFormat="1" ht="15" x14ac:dyDescent="0.25">
      <c r="A2" s="486" t="s">
        <v>415</v>
      </c>
    </row>
    <row r="3" spans="1:1" s="486" customFormat="1" ht="15" x14ac:dyDescent="0.25">
      <c r="A3" s="486" t="s">
        <v>416</v>
      </c>
    </row>
    <row r="4" spans="1:1" s="486" customFormat="1" ht="15" x14ac:dyDescent="0.25">
      <c r="A4" s="486" t="s">
        <v>417</v>
      </c>
    </row>
    <row r="5" spans="1:1" s="486" customFormat="1" ht="15" x14ac:dyDescent="0.25">
      <c r="A5" s="486" t="s">
        <v>418</v>
      </c>
    </row>
    <row r="6" spans="1:1" s="486" customFormat="1" ht="15" x14ac:dyDescent="0.25">
      <c r="A6" s="486" t="s">
        <v>419</v>
      </c>
    </row>
    <row r="7" spans="1:1" s="486" customFormat="1" ht="15" x14ac:dyDescent="0.25">
      <c r="A7" s="486" t="s">
        <v>420</v>
      </c>
    </row>
    <row r="8" spans="1:1" s="486" customFormat="1" ht="15" x14ac:dyDescent="0.25">
      <c r="A8" s="486" t="s">
        <v>421</v>
      </c>
    </row>
    <row r="9" spans="1:1" s="486" customFormat="1" ht="15" x14ac:dyDescent="0.25">
      <c r="A9" s="486" t="s">
        <v>422</v>
      </c>
    </row>
    <row r="10" spans="1:1" s="486" customFormat="1" ht="15" x14ac:dyDescent="0.25">
      <c r="A10" s="486" t="s">
        <v>423</v>
      </c>
    </row>
    <row r="11" spans="1:1" s="486" customFormat="1" ht="15" x14ac:dyDescent="0.25">
      <c r="A11" s="486" t="s">
        <v>424</v>
      </c>
    </row>
    <row r="12" spans="1:1" s="486" customFormat="1" ht="15" x14ac:dyDescent="0.25">
      <c r="A12" s="486" t="s">
        <v>425</v>
      </c>
    </row>
    <row r="13" spans="1:1" s="486" customFormat="1" ht="15" x14ac:dyDescent="0.25">
      <c r="A13" s="486" t="s">
        <v>426</v>
      </c>
    </row>
    <row r="14" spans="1:1" s="486" customFormat="1" ht="15" x14ac:dyDescent="0.25">
      <c r="A14" s="486" t="s">
        <v>427</v>
      </c>
    </row>
    <row r="15" spans="1:1" s="486" customFormat="1" ht="15" x14ac:dyDescent="0.25">
      <c r="A15" s="486" t="s">
        <v>428</v>
      </c>
    </row>
    <row r="16" spans="1:1" s="486" customFormat="1" ht="15" x14ac:dyDescent="0.25">
      <c r="A16" s="486" t="s">
        <v>429</v>
      </c>
    </row>
    <row r="17" spans="1:1" s="486" customFormat="1" ht="15" x14ac:dyDescent="0.25">
      <c r="A17" s="486" t="s">
        <v>430</v>
      </c>
    </row>
    <row r="18" spans="1:1" s="486" customFormat="1" ht="15" x14ac:dyDescent="0.25">
      <c r="A18" s="486" t="s">
        <v>431</v>
      </c>
    </row>
    <row r="19" spans="1:1" s="486" customFormat="1" ht="15" x14ac:dyDescent="0.25">
      <c r="A19" s="486" t="s">
        <v>432</v>
      </c>
    </row>
    <row r="20" spans="1:1" s="486" customFormat="1" ht="15" x14ac:dyDescent="0.25">
      <c r="A20" s="486" t="s">
        <v>433</v>
      </c>
    </row>
    <row r="21" spans="1:1" s="486" customFormat="1" ht="15" x14ac:dyDescent="0.25">
      <c r="A21" s="486" t="s">
        <v>434</v>
      </c>
    </row>
    <row r="22" spans="1:1" s="486" customFormat="1" ht="15" x14ac:dyDescent="0.25">
      <c r="A22" s="486" t="s">
        <v>435</v>
      </c>
    </row>
    <row r="23" spans="1:1" s="486" customFormat="1" ht="15" x14ac:dyDescent="0.25">
      <c r="A23" s="486" t="s">
        <v>436</v>
      </c>
    </row>
    <row r="24" spans="1:1" s="486" customFormat="1" ht="15" x14ac:dyDescent="0.25">
      <c r="A24" s="486" t="s">
        <v>437</v>
      </c>
    </row>
    <row r="25" spans="1:1" s="486" customFormat="1" ht="15" x14ac:dyDescent="0.25">
      <c r="A25" s="486" t="s">
        <v>438</v>
      </c>
    </row>
    <row r="26" spans="1:1" s="486" customFormat="1" ht="15" x14ac:dyDescent="0.25">
      <c r="A26" s="486" t="s">
        <v>439</v>
      </c>
    </row>
    <row r="27" spans="1:1" s="486" customFormat="1" ht="15" x14ac:dyDescent="0.25">
      <c r="A27" s="486" t="s">
        <v>440</v>
      </c>
    </row>
    <row r="28" spans="1:1" s="486" customFormat="1" ht="15" x14ac:dyDescent="0.25">
      <c r="A28" s="486" t="s">
        <v>441</v>
      </c>
    </row>
    <row r="29" spans="1:1" s="486" customFormat="1" ht="15" x14ac:dyDescent="0.25">
      <c r="A29" s="486" t="s">
        <v>442</v>
      </c>
    </row>
    <row r="30" spans="1:1" s="486" customFormat="1" ht="15" x14ac:dyDescent="0.25">
      <c r="A30" s="486" t="s">
        <v>443</v>
      </c>
    </row>
    <row r="31" spans="1:1" s="486" customFormat="1" ht="15" x14ac:dyDescent="0.25">
      <c r="A31" s="486" t="s">
        <v>444</v>
      </c>
    </row>
    <row r="32" spans="1:1" s="486" customFormat="1" ht="15" x14ac:dyDescent="0.25">
      <c r="A32" s="486" t="s">
        <v>445</v>
      </c>
    </row>
    <row r="33" spans="1:1" s="486" customFormat="1" ht="15" x14ac:dyDescent="0.25">
      <c r="A33" s="486" t="s">
        <v>446</v>
      </c>
    </row>
    <row r="34" spans="1:1" s="486" customFormat="1" ht="15" x14ac:dyDescent="0.25">
      <c r="A34" s="486" t="s">
        <v>447</v>
      </c>
    </row>
    <row r="35" spans="1:1" s="486" customFormat="1" ht="15" x14ac:dyDescent="0.25">
      <c r="A35" s="486" t="s">
        <v>448</v>
      </c>
    </row>
  </sheetData>
  <phoneticPr fontId="32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29" t="s">
        <v>96</v>
      </c>
      <c r="E1" s="132" t="s">
        <v>103</v>
      </c>
    </row>
    <row r="3" spans="1:5" x14ac:dyDescent="0.2">
      <c r="A3" s="137"/>
      <c r="B3" s="138"/>
      <c r="C3" s="137"/>
      <c r="D3" s="140"/>
      <c r="E3" s="138"/>
    </row>
    <row r="4" spans="1:5" ht="15.75" x14ac:dyDescent="0.25">
      <c r="A4" s="94" t="s">
        <v>395</v>
      </c>
      <c r="B4" s="139"/>
      <c r="C4" s="148"/>
      <c r="D4" s="140"/>
      <c r="E4" s="138"/>
    </row>
    <row r="5" spans="1:5" x14ac:dyDescent="0.2">
      <c r="A5" s="137"/>
      <c r="B5" s="138"/>
      <c r="C5" s="137"/>
      <c r="D5" s="140"/>
      <c r="E5" s="138"/>
    </row>
    <row r="6" spans="1:5" x14ac:dyDescent="0.2">
      <c r="A6" s="137" t="s">
        <v>194</v>
      </c>
      <c r="B6" s="138" t="e">
        <f>+'1.1.sz.mell.'!#REF!</f>
        <v>#REF!</v>
      </c>
      <c r="C6" s="137" t="s">
        <v>402</v>
      </c>
      <c r="D6" s="140" t="e">
        <f>+'2.1.sz.mell  '!#REF!+'2.2.sz.mell  '!#REF!</f>
        <v>#REF!</v>
      </c>
      <c r="E6" s="138" t="e">
        <f t="shared" ref="E6:E15" si="0">+B6-D6</f>
        <v>#REF!</v>
      </c>
    </row>
    <row r="7" spans="1:5" x14ac:dyDescent="0.2">
      <c r="A7" s="137" t="s">
        <v>97</v>
      </c>
      <c r="B7" s="138" t="e">
        <f>+'1.1.sz.mell.'!#REF!</f>
        <v>#REF!</v>
      </c>
      <c r="C7" s="137" t="s">
        <v>403</v>
      </c>
      <c r="D7" s="140" t="e">
        <f>+'2.1.sz.mell  '!#REF!+'2.2.sz.mell  '!#REF!</f>
        <v>#REF!</v>
      </c>
      <c r="E7" s="138" t="e">
        <f t="shared" si="0"/>
        <v>#REF!</v>
      </c>
    </row>
    <row r="8" spans="1:5" x14ac:dyDescent="0.2">
      <c r="A8" s="137" t="s">
        <v>393</v>
      </c>
      <c r="B8" s="138" t="e">
        <f>+'1.1.sz.mell.'!#REF!</f>
        <v>#REF!</v>
      </c>
      <c r="C8" s="137" t="s">
        <v>404</v>
      </c>
      <c r="D8" s="140" t="e">
        <f>+'2.1.sz.mell  '!#REF!+'2.2.sz.mell  '!#REF!</f>
        <v>#REF!</v>
      </c>
      <c r="E8" s="138" t="e">
        <f t="shared" si="0"/>
        <v>#REF!</v>
      </c>
    </row>
    <row r="9" spans="1:5" x14ac:dyDescent="0.2">
      <c r="A9" s="137"/>
      <c r="B9" s="138"/>
      <c r="C9" s="137"/>
      <c r="D9" s="140"/>
      <c r="E9" s="138"/>
    </row>
    <row r="10" spans="1:5" x14ac:dyDescent="0.2">
      <c r="A10" s="137"/>
      <c r="B10" s="138"/>
      <c r="C10" s="137"/>
      <c r="D10" s="140"/>
      <c r="E10" s="138"/>
    </row>
    <row r="11" spans="1:5" ht="15.75" x14ac:dyDescent="0.25">
      <c r="A11" s="94" t="s">
        <v>396</v>
      </c>
      <c r="B11" s="139"/>
      <c r="C11" s="148"/>
      <c r="D11" s="140"/>
      <c r="E11" s="138"/>
    </row>
    <row r="12" spans="1:5" x14ac:dyDescent="0.2">
      <c r="A12" s="137"/>
      <c r="B12" s="138"/>
      <c r="C12" s="137"/>
      <c r="D12" s="140"/>
      <c r="E12" s="138"/>
    </row>
    <row r="13" spans="1:5" x14ac:dyDescent="0.2">
      <c r="A13" s="137" t="s">
        <v>121</v>
      </c>
      <c r="B13" s="138" t="e">
        <f>+'1.1.sz.mell.'!#REF!</f>
        <v>#REF!</v>
      </c>
      <c r="C13" s="137" t="s">
        <v>405</v>
      </c>
      <c r="D13" s="140" t="e">
        <f>+'2.1.sz.mell  '!#REF!+'2.2.sz.mell  '!#REF!</f>
        <v>#REF!</v>
      </c>
      <c r="E13" s="138" t="e">
        <f t="shared" si="0"/>
        <v>#REF!</v>
      </c>
    </row>
    <row r="14" spans="1:5" x14ac:dyDescent="0.2">
      <c r="A14" s="137" t="s">
        <v>98</v>
      </c>
      <c r="B14" s="138" t="e">
        <f>+'1.1.sz.mell.'!#REF!</f>
        <v>#REF!</v>
      </c>
      <c r="C14" s="137" t="s">
        <v>406</v>
      </c>
      <c r="D14" s="140" t="e">
        <f>+'2.1.sz.mell  '!#REF!+'2.2.sz.mell  '!#REF!</f>
        <v>#REF!</v>
      </c>
      <c r="E14" s="138" t="e">
        <f t="shared" si="0"/>
        <v>#REF!</v>
      </c>
    </row>
    <row r="15" spans="1:5" x14ac:dyDescent="0.2">
      <c r="A15" s="137" t="s">
        <v>394</v>
      </c>
      <c r="B15" s="138" t="e">
        <f>+'1.1.sz.mell.'!#REF!</f>
        <v>#REF!</v>
      </c>
      <c r="C15" s="137" t="s">
        <v>407</v>
      </c>
      <c r="D15" s="140" t="e">
        <f>+'2.1.sz.mell  '!#REF!+'2.2.sz.mell  '!#REF!</f>
        <v>#REF!</v>
      </c>
      <c r="E15" s="138" t="e">
        <f t="shared" si="0"/>
        <v>#REF!</v>
      </c>
    </row>
    <row r="16" spans="1:5" x14ac:dyDescent="0.2">
      <c r="A16" s="130"/>
      <c r="B16" s="130"/>
      <c r="C16" s="137"/>
      <c r="D16" s="140"/>
      <c r="E16" s="131"/>
    </row>
    <row r="17" spans="1:5" x14ac:dyDescent="0.2">
      <c r="A17" s="130"/>
      <c r="B17" s="130"/>
      <c r="C17" s="130"/>
      <c r="D17" s="130"/>
      <c r="E17" s="130"/>
    </row>
    <row r="18" spans="1:5" x14ac:dyDescent="0.2">
      <c r="A18" s="130"/>
      <c r="B18" s="130"/>
      <c r="C18" s="130"/>
      <c r="D18" s="130"/>
      <c r="E18" s="130"/>
    </row>
    <row r="19" spans="1:5" x14ac:dyDescent="0.2">
      <c r="A19" s="130"/>
      <c r="B19" s="130"/>
      <c r="C19" s="130"/>
      <c r="D19" s="130"/>
      <c r="E19" s="130"/>
    </row>
  </sheetData>
  <sheetProtection sheet="1"/>
  <phoneticPr fontId="32" type="noConversion"/>
  <conditionalFormatting sqref="E3:E15">
    <cfRule type="cellIs" dxfId="1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sqref="A1:F1"/>
    </sheetView>
  </sheetViews>
  <sheetFormatPr defaultColWidth="9.33203125" defaultRowHeight="15" x14ac:dyDescent="0.25"/>
  <cols>
    <col min="1" max="1" width="5.6640625" style="151" customWidth="1"/>
    <col min="2" max="2" width="43.1640625" style="151" bestFit="1" customWidth="1"/>
    <col min="3" max="6" width="14" style="151" customWidth="1"/>
    <col min="7" max="16384" width="9.33203125" style="151"/>
  </cols>
  <sheetData>
    <row r="1" spans="1:7" ht="33" customHeight="1" x14ac:dyDescent="0.25">
      <c r="A1" s="1288" t="s">
        <v>1098</v>
      </c>
      <c r="B1" s="1288"/>
      <c r="C1" s="1288"/>
      <c r="D1" s="1288"/>
      <c r="E1" s="1288"/>
      <c r="F1" s="1288"/>
    </row>
    <row r="2" spans="1:7" ht="15.95" customHeight="1" thickBot="1" x14ac:dyDescent="0.3">
      <c r="A2" s="152"/>
      <c r="B2" s="152"/>
      <c r="C2" s="1289"/>
      <c r="D2" s="1289"/>
      <c r="E2" s="1296" t="s">
        <v>923</v>
      </c>
      <c r="F2" s="1296"/>
      <c r="G2" s="158"/>
    </row>
    <row r="3" spans="1:7" ht="63" customHeight="1" x14ac:dyDescent="0.25">
      <c r="A3" s="1292" t="s">
        <v>883</v>
      </c>
      <c r="B3" s="1294" t="s">
        <v>198</v>
      </c>
      <c r="C3" s="1294" t="s">
        <v>397</v>
      </c>
      <c r="D3" s="1294"/>
      <c r="E3" s="1294"/>
      <c r="F3" s="1290" t="s">
        <v>370</v>
      </c>
    </row>
    <row r="4" spans="1:7" ht="15.75" thickBot="1" x14ac:dyDescent="0.3">
      <c r="A4" s="1293"/>
      <c r="B4" s="1295"/>
      <c r="C4" s="766" t="s">
        <v>994</v>
      </c>
      <c r="D4" s="766" t="s">
        <v>1070</v>
      </c>
      <c r="E4" s="766" t="s">
        <v>1097</v>
      </c>
      <c r="F4" s="1291"/>
    </row>
    <row r="5" spans="1:7" ht="15.75" thickBot="1" x14ac:dyDescent="0.3">
      <c r="A5" s="155">
        <v>1</v>
      </c>
      <c r="B5" s="156">
        <v>2</v>
      </c>
      <c r="C5" s="156">
        <v>3</v>
      </c>
      <c r="D5" s="156">
        <v>4</v>
      </c>
      <c r="E5" s="156">
        <v>5</v>
      </c>
      <c r="F5" s="157">
        <v>6</v>
      </c>
    </row>
    <row r="6" spans="1:7" x14ac:dyDescent="0.25">
      <c r="A6" s="154" t="s">
        <v>885</v>
      </c>
      <c r="B6" s="183"/>
      <c r="C6" s="184"/>
      <c r="D6" s="184"/>
      <c r="E6" s="184"/>
      <c r="F6" s="161">
        <f>SUM(C6:E6)</f>
        <v>0</v>
      </c>
    </row>
    <row r="7" spans="1:7" x14ac:dyDescent="0.25">
      <c r="A7" s="153" t="s">
        <v>886</v>
      </c>
      <c r="B7" s="185"/>
      <c r="C7" s="186"/>
      <c r="D7" s="186"/>
      <c r="E7" s="186"/>
      <c r="F7" s="162">
        <f>SUM(C7:E7)</f>
        <v>0</v>
      </c>
    </row>
    <row r="8" spans="1:7" x14ac:dyDescent="0.25">
      <c r="A8" s="153" t="s">
        <v>887</v>
      </c>
      <c r="B8" s="185"/>
      <c r="C8" s="186"/>
      <c r="D8" s="186"/>
      <c r="E8" s="186"/>
      <c r="F8" s="162">
        <f>SUM(C8:E8)</f>
        <v>0</v>
      </c>
    </row>
    <row r="9" spans="1:7" x14ac:dyDescent="0.25">
      <c r="A9" s="153" t="s">
        <v>888</v>
      </c>
      <c r="B9" s="185"/>
      <c r="C9" s="186"/>
      <c r="D9" s="186"/>
      <c r="E9" s="186"/>
      <c r="F9" s="162">
        <f>SUM(C9:E9)</f>
        <v>0</v>
      </c>
    </row>
    <row r="10" spans="1:7" ht="15.75" thickBot="1" x14ac:dyDescent="0.3">
      <c r="A10" s="159" t="s">
        <v>889</v>
      </c>
      <c r="B10" s="187"/>
      <c r="C10" s="188"/>
      <c r="D10" s="188"/>
      <c r="E10" s="188"/>
      <c r="F10" s="162">
        <f>SUM(C10:E10)</f>
        <v>0</v>
      </c>
    </row>
    <row r="11" spans="1:7" ht="15.75" thickBot="1" x14ac:dyDescent="0.3">
      <c r="A11" s="155" t="s">
        <v>890</v>
      </c>
      <c r="B11" s="160" t="s">
        <v>200</v>
      </c>
      <c r="C11" s="163">
        <f>SUM(C6:C10)</f>
        <v>0</v>
      </c>
      <c r="D11" s="163">
        <f>SUM(D6:D10)</f>
        <v>0</v>
      </c>
      <c r="E11" s="163">
        <f>SUM(E6:E10)</f>
        <v>0</v>
      </c>
      <c r="F11" s="164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4/2018. (IV.27.)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zoomScaleNormal="120" zoomScaleSheetLayoutView="120" workbookViewId="0">
      <selection sqref="A1:F1"/>
    </sheetView>
  </sheetViews>
  <sheetFormatPr defaultColWidth="9.33203125" defaultRowHeight="15" x14ac:dyDescent="0.25"/>
  <cols>
    <col min="1" max="1" width="5.6640625" style="151" customWidth="1"/>
    <col min="2" max="2" width="68.6640625" style="151" customWidth="1"/>
    <col min="3" max="3" width="11.5" style="151" hidden="1" customWidth="1"/>
    <col min="4" max="4" width="11.1640625" style="151" bestFit="1" customWidth="1"/>
    <col min="5" max="5" width="11.1640625" style="151" customWidth="1"/>
    <col min="6" max="6" width="14" style="151" bestFit="1" customWidth="1"/>
    <col min="7" max="16384" width="9.33203125" style="151"/>
  </cols>
  <sheetData>
    <row r="1" spans="1:6" ht="33" customHeight="1" x14ac:dyDescent="0.25">
      <c r="A1" s="1288" t="s">
        <v>571</v>
      </c>
      <c r="B1" s="1288"/>
      <c r="C1" s="1288"/>
      <c r="D1" s="1288"/>
      <c r="E1" s="1288"/>
      <c r="F1" s="1288"/>
    </row>
    <row r="2" spans="1:6" ht="15.95" customHeight="1" thickBot="1" x14ac:dyDescent="0.3">
      <c r="A2" s="152"/>
      <c r="B2" s="152"/>
      <c r="C2" s="165"/>
      <c r="D2" s="165"/>
      <c r="E2" s="165"/>
      <c r="F2" s="165" t="s">
        <v>923</v>
      </c>
    </row>
    <row r="3" spans="1:6" ht="26.25" customHeight="1" thickBot="1" x14ac:dyDescent="0.3">
      <c r="A3" s="189" t="s">
        <v>883</v>
      </c>
      <c r="B3" s="497" t="s">
        <v>195</v>
      </c>
      <c r="C3" s="748" t="s">
        <v>941</v>
      </c>
      <c r="D3" s="742" t="s">
        <v>993</v>
      </c>
      <c r="E3" s="742" t="s">
        <v>1038</v>
      </c>
      <c r="F3" s="743" t="s">
        <v>1073</v>
      </c>
    </row>
    <row r="4" spans="1:6" ht="15.75" thickBot="1" x14ac:dyDescent="0.3">
      <c r="A4" s="190">
        <v>1</v>
      </c>
      <c r="B4" s="498">
        <v>2</v>
      </c>
      <c r="C4" s="190">
        <v>3</v>
      </c>
      <c r="D4" s="191">
        <v>4</v>
      </c>
      <c r="E4" s="191">
        <v>4</v>
      </c>
      <c r="F4" s="192">
        <v>5</v>
      </c>
    </row>
    <row r="5" spans="1:6" x14ac:dyDescent="0.25">
      <c r="A5" s="193" t="s">
        <v>885</v>
      </c>
      <c r="B5" s="744" t="s">
        <v>928</v>
      </c>
      <c r="C5" s="749">
        <v>87700</v>
      </c>
      <c r="D5" s="750">
        <f>'8. sz. mell'!D10</f>
        <v>97000</v>
      </c>
      <c r="E5" s="750">
        <v>95500</v>
      </c>
      <c r="F5" s="751">
        <v>95500</v>
      </c>
    </row>
    <row r="6" spans="1:6" ht="24.75" x14ac:dyDescent="0.25">
      <c r="A6" s="194" t="s">
        <v>886</v>
      </c>
      <c r="B6" s="745" t="s">
        <v>371</v>
      </c>
      <c r="C6" s="752">
        <v>414</v>
      </c>
      <c r="D6" s="753">
        <f>'8. sz. mell'!D17</f>
        <v>15622</v>
      </c>
      <c r="E6" s="753">
        <f>15622-155</f>
        <v>15467</v>
      </c>
      <c r="F6" s="754">
        <v>15467</v>
      </c>
    </row>
    <row r="7" spans="1:6" x14ac:dyDescent="0.25">
      <c r="A7" s="194" t="s">
        <v>887</v>
      </c>
      <c r="B7" s="746" t="s">
        <v>201</v>
      </c>
      <c r="C7" s="752">
        <v>2816</v>
      </c>
      <c r="D7" s="755"/>
      <c r="E7" s="755"/>
      <c r="F7" s="754"/>
    </row>
    <row r="8" spans="1:6" ht="24.75" x14ac:dyDescent="0.25">
      <c r="A8" s="194" t="s">
        <v>888</v>
      </c>
      <c r="B8" s="746" t="s">
        <v>373</v>
      </c>
      <c r="C8" s="752">
        <v>0</v>
      </c>
      <c r="D8" s="755"/>
      <c r="E8" s="755"/>
      <c r="F8" s="754"/>
    </row>
    <row r="9" spans="1:6" x14ac:dyDescent="0.25">
      <c r="A9" s="195" t="s">
        <v>889</v>
      </c>
      <c r="B9" s="746" t="s">
        <v>372</v>
      </c>
      <c r="C9" s="752">
        <v>0</v>
      </c>
      <c r="D9" s="755">
        <f>'8. sz. mell'!D12</f>
        <v>1500</v>
      </c>
      <c r="E9" s="755"/>
      <c r="F9" s="754"/>
    </row>
    <row r="10" spans="1:6" ht="15.75" thickBot="1" x14ac:dyDescent="0.3">
      <c r="A10" s="194" t="s">
        <v>890</v>
      </c>
      <c r="B10" s="747" t="s">
        <v>196</v>
      </c>
      <c r="C10" s="756">
        <v>0</v>
      </c>
      <c r="D10" s="757"/>
      <c r="E10" s="757"/>
      <c r="F10" s="758"/>
    </row>
    <row r="11" spans="1:6" ht="15.75" thickBot="1" x14ac:dyDescent="0.3">
      <c r="A11" s="1297" t="s">
        <v>202</v>
      </c>
      <c r="B11" s="1298"/>
      <c r="C11" s="759">
        <v>90930</v>
      </c>
      <c r="D11" s="760">
        <f>SUM(D5:D10)</f>
        <v>114122</v>
      </c>
      <c r="E11" s="760">
        <f>SUM(E5:E10)</f>
        <v>110967</v>
      </c>
      <c r="F11" s="761">
        <f>SUM(F5:F10)</f>
        <v>110967</v>
      </c>
    </row>
    <row r="12" spans="1:6" ht="23.25" customHeight="1" x14ac:dyDescent="0.25">
      <c r="A12" s="1299" t="s">
        <v>238</v>
      </c>
      <c r="B12" s="1299"/>
      <c r="C12" s="1299"/>
    </row>
  </sheetData>
  <mergeCells count="3">
    <mergeCell ref="A11:B11"/>
    <mergeCell ref="A12:C12"/>
    <mergeCell ref="A1:F1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4/2018. (IV.27.)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1"/>
  <sheetViews>
    <sheetView view="pageLayout" zoomScaleNormal="100" zoomScaleSheetLayoutView="100" workbookViewId="0">
      <selection sqref="A1:G1"/>
    </sheetView>
  </sheetViews>
  <sheetFormatPr defaultColWidth="9.33203125" defaultRowHeight="12.75" x14ac:dyDescent="0.2"/>
  <cols>
    <col min="1" max="1" width="43.83203125" style="786" customWidth="1"/>
    <col min="2" max="2" width="37" style="785" customWidth="1"/>
    <col min="3" max="3" width="12.6640625" style="800" customWidth="1"/>
    <col min="4" max="5" width="15.5" style="674" customWidth="1"/>
    <col min="6" max="6" width="12.83203125" style="674" customWidth="1"/>
    <col min="7" max="7" width="13.83203125" style="45" customWidth="1"/>
    <col min="8" max="16384" width="9.33203125" style="45"/>
  </cols>
  <sheetData>
    <row r="1" spans="1:7" ht="24.75" customHeight="1" x14ac:dyDescent="0.2">
      <c r="A1" s="1304" t="s">
        <v>990</v>
      </c>
      <c r="B1" s="1304"/>
      <c r="C1" s="1304"/>
      <c r="D1" s="1304"/>
      <c r="E1" s="1304"/>
      <c r="F1" s="1304"/>
      <c r="G1" s="1304"/>
    </row>
    <row r="2" spans="1:7" ht="23.25" customHeight="1" thickBot="1" x14ac:dyDescent="0.3">
      <c r="B2" s="783"/>
      <c r="C2" s="796"/>
      <c r="G2" s="788" t="s">
        <v>1089</v>
      </c>
    </row>
    <row r="3" spans="1:7" s="48" customFormat="1" ht="48.75" customHeight="1" thickBot="1" x14ac:dyDescent="0.25">
      <c r="A3" s="1300" t="s">
        <v>14</v>
      </c>
      <c r="B3" s="1301"/>
      <c r="C3" s="789" t="s">
        <v>985</v>
      </c>
      <c r="D3" s="655" t="s">
        <v>993</v>
      </c>
      <c r="E3" s="1092" t="s">
        <v>1165</v>
      </c>
      <c r="F3" s="1154" t="s">
        <v>1208</v>
      </c>
      <c r="G3" s="1073" t="s">
        <v>1209</v>
      </c>
    </row>
    <row r="4" spans="1:7" s="51" customFormat="1" ht="15" customHeight="1" thickBot="1" x14ac:dyDescent="0.25">
      <c r="A4" s="1302">
        <v>1</v>
      </c>
      <c r="B4" s="1301"/>
      <c r="C4" s="790" t="s">
        <v>986</v>
      </c>
      <c r="D4" s="791">
        <v>3</v>
      </c>
      <c r="E4" s="791">
        <v>4</v>
      </c>
      <c r="F4" s="791">
        <v>5</v>
      </c>
      <c r="G4" s="791">
        <v>6</v>
      </c>
    </row>
    <row r="5" spans="1:7" s="51" customFormat="1" ht="15" customHeight="1" x14ac:dyDescent="0.2">
      <c r="A5" s="762" t="s">
        <v>1088</v>
      </c>
      <c r="B5" s="762" t="s">
        <v>1217</v>
      </c>
      <c r="C5" s="797" t="s">
        <v>1086</v>
      </c>
      <c r="D5" s="792">
        <v>1800000</v>
      </c>
      <c r="E5" s="792">
        <f>D5+700000+1082000</f>
        <v>3582000</v>
      </c>
      <c r="F5" s="1013">
        <v>0</v>
      </c>
      <c r="G5" s="1155">
        <v>0</v>
      </c>
    </row>
    <row r="6" spans="1:7" s="51" customFormat="1" ht="15" customHeight="1" x14ac:dyDescent="0.2">
      <c r="A6" s="762" t="s">
        <v>1088</v>
      </c>
      <c r="B6" s="762" t="s">
        <v>1169</v>
      </c>
      <c r="C6" s="797" t="s">
        <v>1086</v>
      </c>
      <c r="D6" s="1013">
        <v>0</v>
      </c>
      <c r="E6" s="792">
        <v>79000</v>
      </c>
      <c r="F6" s="792">
        <v>99000</v>
      </c>
      <c r="G6" s="1155">
        <f>F6/E6</f>
        <v>1.2531645569620253</v>
      </c>
    </row>
    <row r="7" spans="1:7" s="51" customFormat="1" ht="15" customHeight="1" x14ac:dyDescent="0.2">
      <c r="A7" s="762" t="s">
        <v>1162</v>
      </c>
      <c r="B7" s="762" t="s">
        <v>1077</v>
      </c>
      <c r="C7" s="797" t="s">
        <v>1086</v>
      </c>
      <c r="D7" s="1013">
        <v>200000</v>
      </c>
      <c r="E7" s="792">
        <f>200000+1450000</f>
        <v>1650000</v>
      </c>
      <c r="F7" s="792">
        <f>1709880-3000</f>
        <v>1706880</v>
      </c>
      <c r="G7" s="1155">
        <f t="shared" ref="G7:G36" si="0">F7/E7</f>
        <v>1.0344727272727272</v>
      </c>
    </row>
    <row r="8" spans="1:7" s="51" customFormat="1" ht="15" customHeight="1" x14ac:dyDescent="0.2">
      <c r="A8" s="762" t="s">
        <v>1162</v>
      </c>
      <c r="B8" s="762" t="s">
        <v>1173</v>
      </c>
      <c r="C8" s="797" t="s">
        <v>1086</v>
      </c>
      <c r="D8" s="1013">
        <v>0</v>
      </c>
      <c r="E8" s="792">
        <v>250000</v>
      </c>
      <c r="F8" s="1013">
        <v>0</v>
      </c>
      <c r="G8" s="1155">
        <f t="shared" si="0"/>
        <v>0</v>
      </c>
    </row>
    <row r="9" spans="1:7" s="51" customFormat="1" ht="23.25" customHeight="1" x14ac:dyDescent="0.2">
      <c r="A9" s="762" t="s">
        <v>1161</v>
      </c>
      <c r="B9" s="762" t="s">
        <v>1077</v>
      </c>
      <c r="C9" s="797" t="s">
        <v>1086</v>
      </c>
      <c r="D9" s="1013">
        <v>200000</v>
      </c>
      <c r="E9" s="1013">
        <v>0</v>
      </c>
      <c r="F9" s="1013">
        <v>0</v>
      </c>
      <c r="G9" s="1155">
        <v>0</v>
      </c>
    </row>
    <row r="10" spans="1:7" s="51" customFormat="1" ht="15" customHeight="1" x14ac:dyDescent="0.2">
      <c r="A10" s="762" t="s">
        <v>1082</v>
      </c>
      <c r="B10" s="762" t="s">
        <v>1083</v>
      </c>
      <c r="C10" s="797" t="s">
        <v>1086</v>
      </c>
      <c r="D10" s="1013">
        <v>3000000</v>
      </c>
      <c r="E10" s="792">
        <v>3000000</v>
      </c>
      <c r="F10" s="792">
        <v>0</v>
      </c>
      <c r="G10" s="1155">
        <f t="shared" si="0"/>
        <v>0</v>
      </c>
    </row>
    <row r="11" spans="1:7" ht="25.5" customHeight="1" x14ac:dyDescent="0.2">
      <c r="A11" s="762" t="s">
        <v>971</v>
      </c>
      <c r="B11" s="762" t="s">
        <v>1219</v>
      </c>
      <c r="C11" s="797" t="s">
        <v>1086</v>
      </c>
      <c r="D11" s="1013">
        <v>2300000</v>
      </c>
      <c r="E11" s="792">
        <f>D11+500000+1780000</f>
        <v>4580000</v>
      </c>
      <c r="F11" s="1013">
        <v>0</v>
      </c>
      <c r="G11" s="1155">
        <f t="shared" si="0"/>
        <v>0</v>
      </c>
    </row>
    <row r="12" spans="1:7" ht="27" customHeight="1" x14ac:dyDescent="0.2">
      <c r="A12" s="763" t="s">
        <v>971</v>
      </c>
      <c r="B12" s="763" t="s">
        <v>972</v>
      </c>
      <c r="C12" s="797" t="s">
        <v>1086</v>
      </c>
      <c r="D12" s="1013">
        <v>3000000</v>
      </c>
      <c r="E12" s="1013">
        <v>0</v>
      </c>
      <c r="F12" s="792">
        <v>0</v>
      </c>
      <c r="G12" s="1155">
        <v>0</v>
      </c>
    </row>
    <row r="13" spans="1:7" ht="27" customHeight="1" x14ac:dyDescent="0.2">
      <c r="A13" s="820" t="s">
        <v>971</v>
      </c>
      <c r="B13" s="820" t="s">
        <v>1174</v>
      </c>
      <c r="C13" s="797" t="s">
        <v>1086</v>
      </c>
      <c r="D13" s="1013">
        <v>0</v>
      </c>
      <c r="E13" s="1013">
        <v>0</v>
      </c>
      <c r="F13" s="1013">
        <v>0</v>
      </c>
      <c r="G13" s="1155">
        <v>0</v>
      </c>
    </row>
    <row r="14" spans="1:7" ht="27" customHeight="1" x14ac:dyDescent="0.2">
      <c r="A14" s="820" t="s">
        <v>971</v>
      </c>
      <c r="B14" s="820" t="s">
        <v>1178</v>
      </c>
      <c r="C14" s="797" t="s">
        <v>1086</v>
      </c>
      <c r="D14" s="1013">
        <v>0</v>
      </c>
      <c r="E14" s="1013">
        <v>0</v>
      </c>
      <c r="F14" s="792">
        <v>0</v>
      </c>
      <c r="G14" s="1155">
        <v>0</v>
      </c>
    </row>
    <row r="15" spans="1:7" ht="15.95" customHeight="1" x14ac:dyDescent="0.2">
      <c r="A15" s="820" t="s">
        <v>978</v>
      </c>
      <c r="B15" s="820" t="s">
        <v>1093</v>
      </c>
      <c r="C15" s="797" t="s">
        <v>1086</v>
      </c>
      <c r="D15" s="1013">
        <v>1000000</v>
      </c>
      <c r="E15" s="792">
        <f>1000000-735000</f>
        <v>265000</v>
      </c>
      <c r="F15" s="1013">
        <v>0</v>
      </c>
      <c r="G15" s="1155">
        <v>0</v>
      </c>
    </row>
    <row r="16" spans="1:7" ht="15.95" customHeight="1" x14ac:dyDescent="0.2">
      <c r="A16" s="768" t="s">
        <v>978</v>
      </c>
      <c r="B16" s="820" t="s">
        <v>1049</v>
      </c>
      <c r="C16" s="797" t="s">
        <v>1086</v>
      </c>
      <c r="D16" s="1013">
        <v>5000000</v>
      </c>
      <c r="E16" s="792">
        <f>D16+2840000</f>
        <v>7840000</v>
      </c>
      <c r="F16" s="792">
        <v>0</v>
      </c>
      <c r="G16" s="1155">
        <f t="shared" si="0"/>
        <v>0</v>
      </c>
    </row>
    <row r="17" spans="1:7" ht="15.95" customHeight="1" x14ac:dyDescent="0.2">
      <c r="A17" s="768" t="s">
        <v>978</v>
      </c>
      <c r="B17" s="820" t="s">
        <v>1168</v>
      </c>
      <c r="C17" s="797" t="s">
        <v>1086</v>
      </c>
      <c r="D17" s="1013">
        <v>0</v>
      </c>
      <c r="E17" s="792">
        <v>3000000</v>
      </c>
      <c r="F17" s="1013">
        <v>0</v>
      </c>
      <c r="G17" s="1155">
        <f t="shared" si="0"/>
        <v>0</v>
      </c>
    </row>
    <row r="18" spans="1:7" ht="15.95" customHeight="1" x14ac:dyDescent="0.2">
      <c r="A18" s="768" t="s">
        <v>978</v>
      </c>
      <c r="B18" s="820" t="s">
        <v>1170</v>
      </c>
      <c r="C18" s="797" t="s">
        <v>1086</v>
      </c>
      <c r="D18" s="1013">
        <v>0</v>
      </c>
      <c r="E18" s="792">
        <v>376000</v>
      </c>
      <c r="F18" s="792">
        <v>0</v>
      </c>
      <c r="G18" s="1155">
        <f t="shared" si="0"/>
        <v>0</v>
      </c>
    </row>
    <row r="19" spans="1:7" ht="15.95" customHeight="1" x14ac:dyDescent="0.2">
      <c r="A19" s="768" t="s">
        <v>978</v>
      </c>
      <c r="B19" s="820" t="s">
        <v>1176</v>
      </c>
      <c r="C19" s="797" t="s">
        <v>1086</v>
      </c>
      <c r="D19" s="1013">
        <v>0</v>
      </c>
      <c r="E19" s="792">
        <v>1205000</v>
      </c>
      <c r="F19" s="792">
        <v>2245805</v>
      </c>
      <c r="G19" s="1155">
        <f t="shared" si="0"/>
        <v>1.8637385892116183</v>
      </c>
    </row>
    <row r="20" spans="1:7" ht="15.95" customHeight="1" x14ac:dyDescent="0.2">
      <c r="A20" s="768" t="s">
        <v>978</v>
      </c>
      <c r="B20" s="820" t="s">
        <v>1177</v>
      </c>
      <c r="C20" s="797" t="s">
        <v>1086</v>
      </c>
      <c r="D20" s="1013">
        <v>0</v>
      </c>
      <c r="E20" s="792">
        <f>925000-120000</f>
        <v>805000</v>
      </c>
      <c r="F20" s="792">
        <v>795909</v>
      </c>
      <c r="G20" s="1155">
        <f t="shared" si="0"/>
        <v>0.98870683229813661</v>
      </c>
    </row>
    <row r="21" spans="1:7" ht="15.95" customHeight="1" x14ac:dyDescent="0.2">
      <c r="A21" s="768" t="s">
        <v>978</v>
      </c>
      <c r="B21" s="820" t="s">
        <v>1179</v>
      </c>
      <c r="C21" s="797" t="s">
        <v>1086</v>
      </c>
      <c r="D21" s="1013">
        <v>0</v>
      </c>
      <c r="E21" s="792">
        <v>150000</v>
      </c>
      <c r="F21" s="792">
        <v>112900</v>
      </c>
      <c r="G21" s="1155">
        <f t="shared" si="0"/>
        <v>0.75266666666666671</v>
      </c>
    </row>
    <row r="22" spans="1:7" ht="28.5" customHeight="1" x14ac:dyDescent="0.2">
      <c r="A22" s="768" t="s">
        <v>978</v>
      </c>
      <c r="B22" s="820" t="s">
        <v>1180</v>
      </c>
      <c r="C22" s="797" t="s">
        <v>1086</v>
      </c>
      <c r="D22" s="1013">
        <v>0</v>
      </c>
      <c r="E22" s="792">
        <v>157000</v>
      </c>
      <c r="F22" s="792">
        <v>199390</v>
      </c>
      <c r="G22" s="1155">
        <f t="shared" si="0"/>
        <v>1.27</v>
      </c>
    </row>
    <row r="23" spans="1:7" ht="28.5" customHeight="1" x14ac:dyDescent="0.2">
      <c r="A23" s="1067" t="s">
        <v>978</v>
      </c>
      <c r="B23" s="1068" t="s">
        <v>1189</v>
      </c>
      <c r="C23" s="1009" t="s">
        <v>1086</v>
      </c>
      <c r="D23" s="1069">
        <v>0</v>
      </c>
      <c r="E23" s="1012">
        <v>487000</v>
      </c>
      <c r="F23" s="1012">
        <v>0</v>
      </c>
      <c r="G23" s="1155">
        <f t="shared" si="0"/>
        <v>0</v>
      </c>
    </row>
    <row r="24" spans="1:7" ht="15.95" customHeight="1" x14ac:dyDescent="0.2">
      <c r="A24" s="762" t="s">
        <v>1087</v>
      </c>
      <c r="B24" s="763" t="s">
        <v>1047</v>
      </c>
      <c r="C24" s="797" t="s">
        <v>1086</v>
      </c>
      <c r="D24" s="1013">
        <v>3000000</v>
      </c>
      <c r="E24" s="1013">
        <v>0</v>
      </c>
      <c r="F24" s="1013">
        <v>0</v>
      </c>
      <c r="G24" s="1155">
        <v>0</v>
      </c>
    </row>
    <row r="25" spans="1:7" ht="15.95" customHeight="1" x14ac:dyDescent="0.2">
      <c r="A25" s="762" t="s">
        <v>1175</v>
      </c>
      <c r="B25" s="763" t="s">
        <v>1085</v>
      </c>
      <c r="C25" s="797" t="s">
        <v>1086</v>
      </c>
      <c r="D25" s="792">
        <v>13000000</v>
      </c>
      <c r="E25" s="792">
        <f>D25+2000000-155000</f>
        <v>14845000</v>
      </c>
      <c r="F25" s="792">
        <v>4704232</v>
      </c>
      <c r="G25" s="1155">
        <f t="shared" si="0"/>
        <v>0.31688999663186257</v>
      </c>
    </row>
    <row r="26" spans="1:7" ht="15.95" customHeight="1" x14ac:dyDescent="0.2">
      <c r="A26" s="762" t="s">
        <v>1171</v>
      </c>
      <c r="B26" s="763" t="s">
        <v>1172</v>
      </c>
      <c r="C26" s="797" t="s">
        <v>1086</v>
      </c>
      <c r="D26" s="1013">
        <v>0</v>
      </c>
      <c r="E26" s="1013">
        <f>3550000+155000</f>
        <v>3705000</v>
      </c>
      <c r="F26" s="1013"/>
      <c r="G26" s="1155">
        <f t="shared" si="0"/>
        <v>0</v>
      </c>
    </row>
    <row r="27" spans="1:7" ht="15.95" customHeight="1" x14ac:dyDescent="0.2">
      <c r="A27" s="762" t="s">
        <v>1166</v>
      </c>
      <c r="B27" s="763" t="s">
        <v>1167</v>
      </c>
      <c r="C27" s="797" t="s">
        <v>1086</v>
      </c>
      <c r="D27" s="1013">
        <v>0</v>
      </c>
      <c r="E27" s="1013">
        <v>2311000</v>
      </c>
      <c r="F27" s="1013">
        <v>2934442</v>
      </c>
      <c r="G27" s="1155">
        <f t="shared" si="0"/>
        <v>1.2697715274772825</v>
      </c>
    </row>
    <row r="28" spans="1:7" ht="15.95" customHeight="1" x14ac:dyDescent="0.2">
      <c r="A28" s="762" t="s">
        <v>1088</v>
      </c>
      <c r="B28" s="763" t="s">
        <v>1207</v>
      </c>
      <c r="C28" s="797" t="s">
        <v>1086</v>
      </c>
      <c r="D28" s="1013">
        <v>0</v>
      </c>
      <c r="E28" s="1013">
        <v>24000</v>
      </c>
      <c r="F28" s="1013">
        <v>29990</v>
      </c>
      <c r="G28" s="1155">
        <f t="shared" si="0"/>
        <v>1.2495833333333333</v>
      </c>
    </row>
    <row r="29" spans="1:7" ht="15.95" customHeight="1" x14ac:dyDescent="0.2">
      <c r="A29" s="762" t="s">
        <v>1088</v>
      </c>
      <c r="B29" s="763" t="s">
        <v>1193</v>
      </c>
      <c r="C29" s="797" t="s">
        <v>1086</v>
      </c>
      <c r="D29" s="1013">
        <v>0</v>
      </c>
      <c r="E29" s="1013">
        <v>54000</v>
      </c>
      <c r="F29" s="1013">
        <v>68000</v>
      </c>
      <c r="G29" s="1155">
        <f t="shared" si="0"/>
        <v>1.2592592592592593</v>
      </c>
    </row>
    <row r="30" spans="1:7" ht="15.95" customHeight="1" x14ac:dyDescent="0.2">
      <c r="A30" s="762" t="s">
        <v>1088</v>
      </c>
      <c r="B30" s="763" t="s">
        <v>1194</v>
      </c>
      <c r="C30" s="797" t="s">
        <v>1086</v>
      </c>
      <c r="D30" s="1013">
        <v>0</v>
      </c>
      <c r="E30" s="1013">
        <v>60000</v>
      </c>
      <c r="F30" s="1013">
        <v>65913</v>
      </c>
      <c r="G30" s="1155">
        <f t="shared" si="0"/>
        <v>1.0985499999999999</v>
      </c>
    </row>
    <row r="31" spans="1:7" ht="15.95" customHeight="1" x14ac:dyDescent="0.2">
      <c r="A31" s="762" t="s">
        <v>1088</v>
      </c>
      <c r="B31" s="763" t="s">
        <v>1196</v>
      </c>
      <c r="C31" s="797" t="s">
        <v>1086</v>
      </c>
      <c r="D31" s="1013">
        <v>0</v>
      </c>
      <c r="E31" s="1013">
        <v>250000</v>
      </c>
      <c r="F31" s="1013">
        <v>250012</v>
      </c>
      <c r="G31" s="1155">
        <f t="shared" si="0"/>
        <v>1.000048</v>
      </c>
    </row>
    <row r="32" spans="1:7" ht="15.95" customHeight="1" x14ac:dyDescent="0.2">
      <c r="A32" s="762" t="s">
        <v>978</v>
      </c>
      <c r="B32" s="763" t="s">
        <v>1197</v>
      </c>
      <c r="C32" s="797" t="s">
        <v>1086</v>
      </c>
      <c r="D32" s="1013">
        <v>0</v>
      </c>
      <c r="E32" s="1013">
        <f>8300000+1700000</f>
        <v>10000000</v>
      </c>
      <c r="F32" s="1013">
        <v>8611853</v>
      </c>
      <c r="G32" s="1155">
        <f t="shared" si="0"/>
        <v>0.86118530000000004</v>
      </c>
    </row>
    <row r="33" spans="1:7" ht="15.95" customHeight="1" x14ac:dyDescent="0.2">
      <c r="A33" s="762" t="s">
        <v>978</v>
      </c>
      <c r="B33" s="763" t="s">
        <v>1198</v>
      </c>
      <c r="C33" s="797" t="s">
        <v>1086</v>
      </c>
      <c r="D33" s="1013">
        <v>0</v>
      </c>
      <c r="E33" s="1013">
        <v>0</v>
      </c>
      <c r="F33" s="1013">
        <v>0</v>
      </c>
      <c r="G33" s="1155">
        <v>0</v>
      </c>
    </row>
    <row r="34" spans="1:7" ht="24.75" customHeight="1" x14ac:dyDescent="0.2">
      <c r="A34" s="762" t="s">
        <v>1199</v>
      </c>
      <c r="B34" s="763" t="s">
        <v>1178</v>
      </c>
      <c r="C34" s="797" t="s">
        <v>1086</v>
      </c>
      <c r="D34" s="1013">
        <v>0</v>
      </c>
      <c r="E34" s="1013">
        <v>600000</v>
      </c>
      <c r="F34" s="1013">
        <v>0</v>
      </c>
      <c r="G34" s="1155">
        <v>0</v>
      </c>
    </row>
    <row r="35" spans="1:7" ht="24.75" customHeight="1" x14ac:dyDescent="0.2">
      <c r="A35" s="762" t="s">
        <v>978</v>
      </c>
      <c r="B35" s="763" t="s">
        <v>1205</v>
      </c>
      <c r="C35" s="797" t="s">
        <v>1086</v>
      </c>
      <c r="D35" s="1013">
        <v>0</v>
      </c>
      <c r="E35" s="1013">
        <v>10500000</v>
      </c>
      <c r="F35" s="1013">
        <v>0</v>
      </c>
      <c r="G35" s="1155">
        <f t="shared" si="0"/>
        <v>0</v>
      </c>
    </row>
    <row r="36" spans="1:7" ht="24.75" customHeight="1" x14ac:dyDescent="0.2">
      <c r="A36" s="762" t="s">
        <v>978</v>
      </c>
      <c r="B36" s="763" t="s">
        <v>1206</v>
      </c>
      <c r="C36" s="797" t="s">
        <v>1086</v>
      </c>
      <c r="D36" s="1013">
        <v>0</v>
      </c>
      <c r="E36" s="1013">
        <v>14849000</v>
      </c>
      <c r="F36" s="1013">
        <v>0</v>
      </c>
      <c r="G36" s="1155">
        <f t="shared" si="0"/>
        <v>0</v>
      </c>
    </row>
    <row r="37" spans="1:7" ht="24.75" customHeight="1" x14ac:dyDescent="0.2">
      <c r="A37" s="762" t="s">
        <v>1088</v>
      </c>
      <c r="B37" s="1153" t="s">
        <v>1215</v>
      </c>
      <c r="C37" s="1009" t="s">
        <v>1086</v>
      </c>
      <c r="D37" s="1013">
        <v>0</v>
      </c>
      <c r="E37" s="1013">
        <v>0</v>
      </c>
      <c r="F37" s="1013">
        <v>23990</v>
      </c>
      <c r="G37" s="1155">
        <v>0</v>
      </c>
    </row>
    <row r="38" spans="1:7" ht="24.75" customHeight="1" x14ac:dyDescent="0.2">
      <c r="A38" s="762" t="s">
        <v>1088</v>
      </c>
      <c r="B38" s="1153" t="s">
        <v>1216</v>
      </c>
      <c r="C38" s="1009" t="s">
        <v>1086</v>
      </c>
      <c r="D38" s="1013">
        <v>0</v>
      </c>
      <c r="E38" s="1013">
        <v>0</v>
      </c>
      <c r="F38" s="1013">
        <v>918492</v>
      </c>
      <c r="G38" s="1155">
        <v>0</v>
      </c>
    </row>
    <row r="39" spans="1:7" ht="24.75" customHeight="1" x14ac:dyDescent="0.2">
      <c r="A39" s="762" t="s">
        <v>978</v>
      </c>
      <c r="B39" s="1153" t="s">
        <v>1210</v>
      </c>
      <c r="C39" s="1009" t="s">
        <v>1086</v>
      </c>
      <c r="D39" s="1013">
        <v>0</v>
      </c>
      <c r="E39" s="1013">
        <v>0</v>
      </c>
      <c r="F39" s="1013">
        <v>376428</v>
      </c>
      <c r="G39" s="1155">
        <v>0</v>
      </c>
    </row>
    <row r="40" spans="1:7" ht="24.75" customHeight="1" x14ac:dyDescent="0.2">
      <c r="A40" s="762" t="s">
        <v>978</v>
      </c>
      <c r="B40" s="1153" t="s">
        <v>1211</v>
      </c>
      <c r="C40" s="1009" t="s">
        <v>1086</v>
      </c>
      <c r="D40" s="1013">
        <v>0</v>
      </c>
      <c r="E40" s="1013">
        <v>0</v>
      </c>
      <c r="F40" s="1013">
        <v>197101</v>
      </c>
      <c r="G40" s="1155">
        <v>0</v>
      </c>
    </row>
    <row r="41" spans="1:7" ht="24.75" customHeight="1" x14ac:dyDescent="0.2">
      <c r="A41" s="762" t="s">
        <v>978</v>
      </c>
      <c r="B41" s="1153" t="s">
        <v>1212</v>
      </c>
      <c r="C41" s="1009" t="s">
        <v>1086</v>
      </c>
      <c r="D41" s="1013">
        <v>0</v>
      </c>
      <c r="E41" s="1013">
        <v>0</v>
      </c>
      <c r="F41" s="1013">
        <v>41990</v>
      </c>
      <c r="G41" s="1155">
        <v>0</v>
      </c>
    </row>
    <row r="42" spans="1:7" ht="24.75" customHeight="1" x14ac:dyDescent="0.2">
      <c r="A42" s="762" t="s">
        <v>978</v>
      </c>
      <c r="B42" s="1153" t="s">
        <v>1213</v>
      </c>
      <c r="C42" s="1009" t="s">
        <v>1086</v>
      </c>
      <c r="D42" s="1013">
        <v>0</v>
      </c>
      <c r="E42" s="1013">
        <v>0</v>
      </c>
      <c r="F42" s="1013">
        <v>617235</v>
      </c>
      <c r="G42" s="1155">
        <v>0</v>
      </c>
    </row>
    <row r="43" spans="1:7" ht="24.75" customHeight="1" x14ac:dyDescent="0.2">
      <c r="A43" s="762" t="s">
        <v>971</v>
      </c>
      <c r="B43" s="1153" t="s">
        <v>1214</v>
      </c>
      <c r="C43" s="1009" t="s">
        <v>1086</v>
      </c>
      <c r="D43" s="1013">
        <v>0</v>
      </c>
      <c r="E43" s="1013">
        <v>0</v>
      </c>
      <c r="F43" s="1013">
        <v>3490</v>
      </c>
      <c r="G43" s="1155">
        <v>0</v>
      </c>
    </row>
    <row r="44" spans="1:7" ht="24.75" customHeight="1" x14ac:dyDescent="0.2">
      <c r="A44" s="763" t="s">
        <v>978</v>
      </c>
      <c r="B44" s="763" t="s">
        <v>1195</v>
      </c>
      <c r="C44" s="797" t="s">
        <v>1086</v>
      </c>
      <c r="D44" s="1013">
        <v>0</v>
      </c>
      <c r="E44" s="1013">
        <v>0</v>
      </c>
      <c r="F44" s="1013">
        <v>871999</v>
      </c>
      <c r="G44" s="1155">
        <v>0</v>
      </c>
    </row>
    <row r="45" spans="1:7" x14ac:dyDescent="0.2">
      <c r="A45" s="1010" t="s">
        <v>991</v>
      </c>
      <c r="B45" s="1011"/>
      <c r="C45" s="1066"/>
      <c r="D45" s="795">
        <f>D47/1.27</f>
        <v>25590551.181102362</v>
      </c>
      <c r="E45" s="795">
        <f t="shared" ref="E45" si="1">E47/1.27</f>
        <v>66633070.866141729</v>
      </c>
      <c r="F45" s="795">
        <v>19586654</v>
      </c>
      <c r="G45" s="1156">
        <f>F45/E45</f>
        <v>0.29394794124598222</v>
      </c>
    </row>
    <row r="46" spans="1:7" x14ac:dyDescent="0.2">
      <c r="A46" s="793" t="s">
        <v>988</v>
      </c>
      <c r="B46" s="794"/>
      <c r="C46" s="798"/>
      <c r="D46" s="795">
        <f>D45*0.27</f>
        <v>6909448.8188976385</v>
      </c>
      <c r="E46" s="795">
        <f>E45*0.27</f>
        <v>17990929.133858267</v>
      </c>
      <c r="F46" s="795">
        <v>5288397</v>
      </c>
      <c r="G46" s="1156">
        <f t="shared" ref="G46:G47" si="2">F46/E46</f>
        <v>0.29394796459108002</v>
      </c>
    </row>
    <row r="47" spans="1:7" ht="13.5" thickBot="1" x14ac:dyDescent="0.25">
      <c r="A47" s="787" t="s">
        <v>992</v>
      </c>
      <c r="B47" s="784"/>
      <c r="C47" s="799"/>
      <c r="D47" s="1093">
        <f>SUM(D5:D25)</f>
        <v>32500000</v>
      </c>
      <c r="E47" s="1093">
        <f>SUM(E5:E36)</f>
        <v>84624000</v>
      </c>
      <c r="F47" s="1093">
        <f>SUM(F45:F46)</f>
        <v>24875051</v>
      </c>
      <c r="G47" s="1157">
        <f t="shared" si="2"/>
        <v>0.29394794620911324</v>
      </c>
    </row>
    <row r="48" spans="1:7" x14ac:dyDescent="0.2">
      <c r="F48" s="674">
        <f t="shared" ref="F48" si="3">E48-D48</f>
        <v>0</v>
      </c>
    </row>
    <row r="50" spans="1:2" ht="25.5" customHeight="1" x14ac:dyDescent="0.2">
      <c r="A50" s="1303" t="s">
        <v>1218</v>
      </c>
      <c r="B50" s="1303"/>
    </row>
    <row r="51" spans="1:2" ht="11.25" customHeight="1" x14ac:dyDescent="0.2">
      <c r="A51" s="1303" t="s">
        <v>1220</v>
      </c>
      <c r="B51" s="1303"/>
    </row>
  </sheetData>
  <mergeCells count="5">
    <mergeCell ref="A3:B3"/>
    <mergeCell ref="A4:B4"/>
    <mergeCell ref="A50:B50"/>
    <mergeCell ref="A51:B51"/>
    <mergeCell ref="A1:G1"/>
  </mergeCells>
  <phoneticPr fontId="0" type="noConversion"/>
  <printOptions horizontalCentered="1"/>
  <pageMargins left="0.39370078740157483" right="0.39370078740157483" top="0.70866141732283472" bottom="0.98425196850393704" header="0.39370078740157483" footer="0.78740157480314965"/>
  <pageSetup paperSize="9" scale="84" orientation="landscape" horizontalDpi="300" verticalDpi="300" r:id="rId1"/>
  <headerFooter alignWithMargins="0">
    <oddHeader>&amp;R&amp;"Times New Roman CE,Félkövér dőlt"&amp;11 &amp;"Times New Roman CE,Félkövér"5. melléklet a 4/2018. (IV.27.) önkormányzati rendelethez</oddHeader>
  </headerFooter>
  <rowBreaks count="1" manualBreakCount="1">
    <brk id="22" max="6" man="1"/>
  </rowBreaks>
  <ignoredErrors>
    <ignoredError sqref="C24:C25 C11:C12 C1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8"/>
  <sheetViews>
    <sheetView view="pageLayout" zoomScaleNormal="100" zoomScaleSheetLayoutView="100" workbookViewId="0">
      <selection activeCell="E23" sqref="E23"/>
    </sheetView>
  </sheetViews>
  <sheetFormatPr defaultColWidth="9.33203125" defaultRowHeight="12.75" x14ac:dyDescent="0.2"/>
  <cols>
    <col min="1" max="1" width="50" style="786" bestFit="1" customWidth="1"/>
    <col min="2" max="2" width="35" style="785" customWidth="1"/>
    <col min="3" max="3" width="16" style="800" customWidth="1"/>
    <col min="4" max="4" width="16" style="674" customWidth="1"/>
    <col min="5" max="5" width="16" style="1062" customWidth="1"/>
    <col min="6" max="7" width="16" style="45" customWidth="1"/>
    <col min="8" max="8" width="10.1640625" style="45" bestFit="1" customWidth="1"/>
    <col min="9" max="16384" width="9.33203125" style="45"/>
  </cols>
  <sheetData>
    <row r="1" spans="1:7" ht="24.75" customHeight="1" x14ac:dyDescent="0.2">
      <c r="A1" s="1304" t="s">
        <v>816</v>
      </c>
      <c r="B1" s="1304"/>
      <c r="C1" s="1304"/>
      <c r="D1" s="1304"/>
      <c r="E1" s="1304"/>
      <c r="F1" s="1304"/>
      <c r="G1" s="1304"/>
    </row>
    <row r="2" spans="1:7" ht="23.25" customHeight="1" x14ac:dyDescent="0.25">
      <c r="B2" s="783"/>
      <c r="C2" s="796"/>
      <c r="G2" s="788" t="s">
        <v>1089</v>
      </c>
    </row>
    <row r="3" spans="1:7" s="48" customFormat="1" ht="48.75" customHeight="1" x14ac:dyDescent="0.2">
      <c r="A3" s="1305" t="s">
        <v>15</v>
      </c>
      <c r="B3" s="1305"/>
      <c r="C3" s="856" t="s">
        <v>985</v>
      </c>
      <c r="D3" s="857" t="s">
        <v>993</v>
      </c>
      <c r="E3" s="1063" t="s">
        <v>1165</v>
      </c>
      <c r="F3" s="1091" t="s">
        <v>1208</v>
      </c>
      <c r="G3" s="1091" t="s">
        <v>1209</v>
      </c>
    </row>
    <row r="4" spans="1:7" s="51" customFormat="1" ht="15" customHeight="1" x14ac:dyDescent="0.2">
      <c r="A4" s="1305">
        <v>1</v>
      </c>
      <c r="B4" s="1305"/>
      <c r="C4" s="856" t="s">
        <v>986</v>
      </c>
      <c r="D4" s="857">
        <v>3</v>
      </c>
      <c r="E4" s="1063">
        <v>4</v>
      </c>
      <c r="F4" s="1063">
        <v>5</v>
      </c>
      <c r="G4" s="1063">
        <v>6</v>
      </c>
    </row>
    <row r="5" spans="1:7" ht="15.95" customHeight="1" x14ac:dyDescent="0.2">
      <c r="A5" s="763" t="s">
        <v>968</v>
      </c>
      <c r="B5" s="763" t="s">
        <v>969</v>
      </c>
      <c r="C5" s="797" t="s">
        <v>1086</v>
      </c>
      <c r="D5" s="792">
        <v>250000</v>
      </c>
      <c r="E5" s="1064">
        <v>0</v>
      </c>
      <c r="F5" s="1064">
        <v>0</v>
      </c>
      <c r="G5" s="1159">
        <v>0</v>
      </c>
    </row>
    <row r="6" spans="1:7" ht="15.95" customHeight="1" x14ac:dyDescent="0.2">
      <c r="A6" s="762" t="s">
        <v>968</v>
      </c>
      <c r="B6" s="762" t="s">
        <v>1090</v>
      </c>
      <c r="C6" s="797" t="s">
        <v>1086</v>
      </c>
      <c r="D6" s="792">
        <v>150000</v>
      </c>
      <c r="E6" s="1064">
        <v>150000</v>
      </c>
      <c r="F6" s="1064">
        <v>0</v>
      </c>
      <c r="G6" s="1159">
        <v>0</v>
      </c>
    </row>
    <row r="7" spans="1:7" s="577" customFormat="1" ht="15.95" customHeight="1" x14ac:dyDescent="0.2">
      <c r="A7" s="762" t="s">
        <v>1091</v>
      </c>
      <c r="B7" s="762" t="s">
        <v>1040</v>
      </c>
      <c r="C7" s="797" t="s">
        <v>1086</v>
      </c>
      <c r="D7" s="792">
        <v>250000</v>
      </c>
      <c r="E7" s="1064">
        <f>D7+250000</f>
        <v>500000</v>
      </c>
      <c r="F7" s="1064">
        <v>0</v>
      </c>
      <c r="G7" s="1159">
        <v>0</v>
      </c>
    </row>
    <row r="8" spans="1:7" s="577" customFormat="1" ht="21.75" customHeight="1" x14ac:dyDescent="0.2">
      <c r="A8" s="762" t="s">
        <v>1092</v>
      </c>
      <c r="B8" s="762" t="s">
        <v>1078</v>
      </c>
      <c r="C8" s="797" t="s">
        <v>1086</v>
      </c>
      <c r="D8" s="792">
        <v>100000</v>
      </c>
      <c r="E8" s="1064">
        <v>100000</v>
      </c>
      <c r="F8" s="1064">
        <v>0</v>
      </c>
      <c r="G8" s="1159">
        <v>0</v>
      </c>
    </row>
    <row r="9" spans="1:7" s="577" customFormat="1" ht="21.75" customHeight="1" x14ac:dyDescent="0.2">
      <c r="A9" s="762" t="s">
        <v>1091</v>
      </c>
      <c r="B9" s="762" t="s">
        <v>1079</v>
      </c>
      <c r="C9" s="797" t="s">
        <v>1086</v>
      </c>
      <c r="D9" s="792">
        <v>200000</v>
      </c>
      <c r="E9" s="1064">
        <v>200000</v>
      </c>
      <c r="F9" s="1064">
        <v>0</v>
      </c>
      <c r="G9" s="1159">
        <v>0</v>
      </c>
    </row>
    <row r="10" spans="1:7" s="577" customFormat="1" ht="25.5" customHeight="1" x14ac:dyDescent="0.2">
      <c r="A10" s="762" t="s">
        <v>1092</v>
      </c>
      <c r="B10" s="763" t="s">
        <v>1041</v>
      </c>
      <c r="C10" s="797" t="s">
        <v>1086</v>
      </c>
      <c r="D10" s="792">
        <v>400000</v>
      </c>
      <c r="E10" s="1064">
        <f>D10+200000</f>
        <v>600000</v>
      </c>
      <c r="F10" s="1064">
        <v>0</v>
      </c>
      <c r="G10" s="1159">
        <v>0</v>
      </c>
    </row>
    <row r="11" spans="1:7" s="577" customFormat="1" ht="25.5" customHeight="1" x14ac:dyDescent="0.2">
      <c r="A11" s="762" t="s">
        <v>1091</v>
      </c>
      <c r="B11" s="763" t="s">
        <v>1080</v>
      </c>
      <c r="C11" s="797" t="s">
        <v>1086</v>
      </c>
      <c r="D11" s="792">
        <v>350000</v>
      </c>
      <c r="E11" s="1013">
        <f>350000+120000</f>
        <v>470000</v>
      </c>
      <c r="F11" s="1064">
        <v>0</v>
      </c>
      <c r="G11" s="1159">
        <v>0</v>
      </c>
    </row>
    <row r="12" spans="1:7" s="577" customFormat="1" ht="15.95" customHeight="1" x14ac:dyDescent="0.2">
      <c r="A12" s="762" t="s">
        <v>1092</v>
      </c>
      <c r="B12" s="767" t="s">
        <v>1044</v>
      </c>
      <c r="C12" s="797" t="s">
        <v>1086</v>
      </c>
      <c r="D12" s="792">
        <v>100000</v>
      </c>
      <c r="E12" s="1013">
        <v>100000</v>
      </c>
      <c r="F12" s="1064">
        <v>0</v>
      </c>
      <c r="G12" s="1159">
        <v>0</v>
      </c>
    </row>
    <row r="13" spans="1:7" s="577" customFormat="1" ht="15.95" customHeight="1" x14ac:dyDescent="0.2">
      <c r="A13" s="762" t="s">
        <v>1091</v>
      </c>
      <c r="B13" s="767" t="s">
        <v>1181</v>
      </c>
      <c r="C13" s="797" t="s">
        <v>1086</v>
      </c>
      <c r="D13" s="1013">
        <v>0</v>
      </c>
      <c r="E13" s="1013">
        <v>500000</v>
      </c>
      <c r="F13" s="1064">
        <v>0</v>
      </c>
      <c r="G13" s="1159">
        <v>0</v>
      </c>
    </row>
    <row r="14" spans="1:7" s="577" customFormat="1" ht="15.95" customHeight="1" x14ac:dyDescent="0.2">
      <c r="A14" s="762" t="s">
        <v>1091</v>
      </c>
      <c r="B14" s="767" t="s">
        <v>1183</v>
      </c>
      <c r="C14" s="797" t="s">
        <v>1086</v>
      </c>
      <c r="D14" s="1013">
        <v>0</v>
      </c>
      <c r="E14" s="1013">
        <v>30000</v>
      </c>
      <c r="F14" s="1064">
        <v>0</v>
      </c>
      <c r="G14" s="1159">
        <v>0</v>
      </c>
    </row>
    <row r="15" spans="1:7" s="577" customFormat="1" ht="15.95" customHeight="1" x14ac:dyDescent="0.2">
      <c r="A15" s="763" t="s">
        <v>1163</v>
      </c>
      <c r="B15" s="767" t="s">
        <v>1081</v>
      </c>
      <c r="C15" s="797" t="s">
        <v>1086</v>
      </c>
      <c r="D15" s="792">
        <v>100000</v>
      </c>
      <c r="E15" s="1013">
        <v>100000</v>
      </c>
      <c r="F15" s="1064">
        <v>0</v>
      </c>
      <c r="G15" s="1159">
        <v>0</v>
      </c>
    </row>
    <row r="16" spans="1:7" s="577" customFormat="1" ht="15.95" customHeight="1" x14ac:dyDescent="0.2">
      <c r="A16" s="763" t="s">
        <v>1163</v>
      </c>
      <c r="B16" s="767" t="s">
        <v>966</v>
      </c>
      <c r="C16" s="797" t="s">
        <v>1086</v>
      </c>
      <c r="D16" s="792">
        <v>50000</v>
      </c>
      <c r="E16" s="1013">
        <v>50000</v>
      </c>
      <c r="F16" s="1064">
        <v>0</v>
      </c>
      <c r="G16" s="1159">
        <v>0</v>
      </c>
    </row>
    <row r="17" spans="1:7" ht="15.95" customHeight="1" x14ac:dyDescent="0.2">
      <c r="A17" s="763" t="s">
        <v>971</v>
      </c>
      <c r="B17" s="763" t="s">
        <v>1045</v>
      </c>
      <c r="C17" s="797" t="s">
        <v>1086</v>
      </c>
      <c r="D17" s="792">
        <v>100000</v>
      </c>
      <c r="E17" s="1013">
        <v>100000</v>
      </c>
      <c r="F17" s="1064">
        <v>0</v>
      </c>
      <c r="G17" s="1159">
        <v>0</v>
      </c>
    </row>
    <row r="18" spans="1:7" ht="15.95" customHeight="1" x14ac:dyDescent="0.2">
      <c r="A18" s="763" t="s">
        <v>971</v>
      </c>
      <c r="B18" s="763" t="s">
        <v>1182</v>
      </c>
      <c r="C18" s="797" t="s">
        <v>1086</v>
      </c>
      <c r="D18" s="1013">
        <v>0</v>
      </c>
      <c r="E18" s="1013">
        <v>150000</v>
      </c>
      <c r="F18" s="1064">
        <v>0</v>
      </c>
      <c r="G18" s="1159">
        <v>0</v>
      </c>
    </row>
    <row r="19" spans="1:7" ht="22.5" customHeight="1" x14ac:dyDescent="0.2">
      <c r="A19" s="763" t="s">
        <v>978</v>
      </c>
      <c r="B19" s="763" t="s">
        <v>1184</v>
      </c>
      <c r="C19" s="797" t="s">
        <v>1086</v>
      </c>
      <c r="D19" s="1013">
        <v>0</v>
      </c>
      <c r="E19" s="1013">
        <v>833000</v>
      </c>
      <c r="F19" s="1064">
        <v>0</v>
      </c>
      <c r="G19" s="1159">
        <v>0</v>
      </c>
    </row>
    <row r="20" spans="1:7" ht="22.5" customHeight="1" x14ac:dyDescent="0.2">
      <c r="A20" s="763" t="s">
        <v>1191</v>
      </c>
      <c r="B20" s="763" t="s">
        <v>1192</v>
      </c>
      <c r="C20" s="797" t="s">
        <v>1086</v>
      </c>
      <c r="D20" s="1013">
        <v>0</v>
      </c>
      <c r="E20" s="1013">
        <v>3735000</v>
      </c>
      <c r="F20" s="1013">
        <f>4930179-871999</f>
        <v>4058180</v>
      </c>
      <c r="G20" s="1217">
        <f>F20/E20</f>
        <v>1.0865274431057563</v>
      </c>
    </row>
    <row r="21" spans="1:7" ht="22.5" customHeight="1" x14ac:dyDescent="0.2">
      <c r="A21" s="763" t="s">
        <v>978</v>
      </c>
      <c r="B21" s="763" t="s">
        <v>1195</v>
      </c>
      <c r="C21" s="797" t="s">
        <v>1086</v>
      </c>
      <c r="D21" s="1013">
        <v>0</v>
      </c>
      <c r="E21" s="1013">
        <v>872000</v>
      </c>
      <c r="F21" s="1013">
        <v>871999</v>
      </c>
      <c r="G21" s="1217">
        <f t="shared" ref="G21:G22" si="0">F21/E21</f>
        <v>0.99999885321100912</v>
      </c>
    </row>
    <row r="22" spans="1:7" ht="22.5" customHeight="1" x14ac:dyDescent="0.2">
      <c r="A22" s="763" t="s">
        <v>978</v>
      </c>
      <c r="B22" s="763" t="s">
        <v>1204</v>
      </c>
      <c r="C22" s="797" t="s">
        <v>1086</v>
      </c>
      <c r="D22" s="1013">
        <v>0</v>
      </c>
      <c r="E22" s="1013">
        <v>5000000</v>
      </c>
      <c r="F22" s="1013">
        <v>0</v>
      </c>
      <c r="G22" s="1217">
        <f t="shared" si="0"/>
        <v>0</v>
      </c>
    </row>
    <row r="23" spans="1:7" ht="22.5" customHeight="1" x14ac:dyDescent="0.2">
      <c r="A23" s="762" t="s">
        <v>1088</v>
      </c>
      <c r="B23" s="762" t="s">
        <v>1217</v>
      </c>
      <c r="C23" s="797" t="s">
        <v>1086</v>
      </c>
      <c r="D23" s="1013">
        <v>0</v>
      </c>
      <c r="E23" s="1013">
        <v>0</v>
      </c>
      <c r="F23" s="1013">
        <v>3810000</v>
      </c>
      <c r="G23" s="1217">
        <v>0</v>
      </c>
    </row>
    <row r="24" spans="1:7" ht="22.5" customHeight="1" x14ac:dyDescent="0.2">
      <c r="A24" s="762" t="s">
        <v>971</v>
      </c>
      <c r="B24" s="762" t="s">
        <v>1219</v>
      </c>
      <c r="C24" s="797" t="s">
        <v>1086</v>
      </c>
      <c r="D24" s="1013">
        <v>0</v>
      </c>
      <c r="E24" s="1013">
        <v>0</v>
      </c>
      <c r="F24" s="1013">
        <v>4318000</v>
      </c>
      <c r="G24" s="1217">
        <v>0</v>
      </c>
    </row>
    <row r="25" spans="1:7" ht="28.5" customHeight="1" x14ac:dyDescent="0.2">
      <c r="A25" s="762" t="s">
        <v>978</v>
      </c>
      <c r="B25" s="762" t="s">
        <v>1221</v>
      </c>
      <c r="C25" s="797" t="s">
        <v>1086</v>
      </c>
      <c r="D25" s="1013">
        <v>0</v>
      </c>
      <c r="E25" s="1013">
        <v>0</v>
      </c>
      <c r="F25" s="1158">
        <v>758011</v>
      </c>
      <c r="G25" s="1217">
        <v>0</v>
      </c>
    </row>
    <row r="26" spans="1:7" x14ac:dyDescent="0.2">
      <c r="A26" s="858" t="s">
        <v>987</v>
      </c>
      <c r="B26" s="859"/>
      <c r="C26" s="798"/>
      <c r="D26" s="795">
        <f>D28/1.27</f>
        <v>1614173.2283464568</v>
      </c>
      <c r="E26" s="1065">
        <f>E28/1.27</f>
        <v>10622047.244094487</v>
      </c>
      <c r="F26" s="1065">
        <v>11040042</v>
      </c>
      <c r="G26" s="1160">
        <f>F26/E26</f>
        <v>1.03935161897702</v>
      </c>
    </row>
    <row r="27" spans="1:7" x14ac:dyDescent="0.2">
      <c r="A27" s="858" t="s">
        <v>988</v>
      </c>
      <c r="B27" s="859"/>
      <c r="C27" s="798"/>
      <c r="D27" s="795">
        <f>D26*0.27</f>
        <v>435826.77165354334</v>
      </c>
      <c r="E27" s="1065">
        <f t="shared" ref="E27" si="1">E26*0.27</f>
        <v>2867952.7559055118</v>
      </c>
      <c r="F27" s="1065">
        <v>2776148</v>
      </c>
      <c r="G27" s="1160">
        <f>F27/E27</f>
        <v>0.96798944622903116</v>
      </c>
    </row>
    <row r="28" spans="1:7" x14ac:dyDescent="0.2">
      <c r="A28" s="858" t="s">
        <v>989</v>
      </c>
      <c r="B28" s="859"/>
      <c r="C28" s="798"/>
      <c r="D28" s="795">
        <f>SUM(D5:D19)</f>
        <v>2050000</v>
      </c>
      <c r="E28" s="1065">
        <f>SUM(E5:E22)</f>
        <v>13490000</v>
      </c>
      <c r="F28" s="1065">
        <f>SUM(F5:F25)</f>
        <v>13816190</v>
      </c>
      <c r="G28" s="1160">
        <f>F28/E28</f>
        <v>1.0241801334321721</v>
      </c>
    </row>
  </sheetData>
  <mergeCells count="3">
    <mergeCell ref="A3:B3"/>
    <mergeCell ref="A4:B4"/>
    <mergeCell ref="A1:G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6" orientation="landscape" horizontalDpi="300" verticalDpi="300" r:id="rId1"/>
  <headerFooter alignWithMargins="0">
    <oddHeader>&amp;R&amp;"Times New Roman CE,Félkövér dőlt"&amp;12 &amp;11 &amp;"Times New Roman CE,Félkövér"6. melléklet a 4/2018. (IV.27.)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4"/>
  <sheetViews>
    <sheetView view="pageLayout" zoomScaleNormal="100" zoomScaleSheetLayoutView="85" workbookViewId="0">
      <selection activeCell="A21" sqref="A21"/>
    </sheetView>
  </sheetViews>
  <sheetFormatPr defaultColWidth="9.33203125" defaultRowHeight="12.75" x14ac:dyDescent="0.2"/>
  <cols>
    <col min="1" max="1" width="81.33203125" style="780" customWidth="1"/>
    <col min="2" max="2" width="15.33203125" style="780" customWidth="1"/>
    <col min="3" max="3" width="15.33203125" style="781" customWidth="1"/>
    <col min="4" max="5" width="15.33203125" style="780" customWidth="1"/>
    <col min="6" max="16384" width="9.33203125" style="780"/>
  </cols>
  <sheetData>
    <row r="1" spans="1:5" x14ac:dyDescent="0.2">
      <c r="A1" s="1306"/>
      <c r="B1" s="1306"/>
    </row>
    <row r="2" spans="1:5" x14ac:dyDescent="0.2">
      <c r="A2" s="1307" t="s">
        <v>929</v>
      </c>
      <c r="B2" s="1307"/>
      <c r="C2" s="1307"/>
      <c r="D2" s="1307"/>
      <c r="E2" s="1307"/>
    </row>
    <row r="3" spans="1:5" x14ac:dyDescent="0.2">
      <c r="A3" s="1307" t="s">
        <v>979</v>
      </c>
      <c r="B3" s="1307"/>
      <c r="C3" s="1307"/>
      <c r="D3" s="1307"/>
      <c r="E3" s="1307"/>
    </row>
    <row r="4" spans="1:5" x14ac:dyDescent="0.2">
      <c r="A4" s="1307" t="s">
        <v>1074</v>
      </c>
      <c r="B4" s="1307"/>
      <c r="C4" s="1307"/>
      <c r="D4" s="1307"/>
      <c r="E4" s="1307"/>
    </row>
    <row r="5" spans="1:5" ht="13.5" thickBot="1" x14ac:dyDescent="0.25"/>
    <row r="6" spans="1:5" ht="45" customHeight="1" thickBot="1" x14ac:dyDescent="0.25">
      <c r="A6" s="782" t="s">
        <v>388</v>
      </c>
      <c r="B6" s="655" t="s">
        <v>993</v>
      </c>
      <c r="C6" s="655" t="s">
        <v>1165</v>
      </c>
      <c r="D6" s="1045" t="s">
        <v>1208</v>
      </c>
      <c r="E6" s="1072" t="s">
        <v>1209</v>
      </c>
    </row>
    <row r="7" spans="1:5" ht="30" customHeight="1" x14ac:dyDescent="0.2">
      <c r="A7" s="822" t="s">
        <v>980</v>
      </c>
      <c r="B7" s="1149">
        <v>0</v>
      </c>
      <c r="C7" s="1149">
        <v>0</v>
      </c>
      <c r="D7" s="1149"/>
      <c r="E7" s="823"/>
    </row>
    <row r="8" spans="1:5" ht="30" customHeight="1" x14ac:dyDescent="0.2">
      <c r="A8" s="824" t="s">
        <v>389</v>
      </c>
      <c r="B8" s="764">
        <v>150000</v>
      </c>
      <c r="C8" s="764">
        <v>150000</v>
      </c>
      <c r="D8" s="764"/>
      <c r="E8" s="1147">
        <v>0</v>
      </c>
    </row>
    <row r="9" spans="1:5" ht="30" customHeight="1" x14ac:dyDescent="0.2">
      <c r="A9" s="824" t="s">
        <v>1071</v>
      </c>
      <c r="B9" s="764">
        <v>0</v>
      </c>
      <c r="C9" s="764">
        <v>0</v>
      </c>
      <c r="D9" s="764">
        <v>387858</v>
      </c>
      <c r="E9" s="1147">
        <v>0</v>
      </c>
    </row>
    <row r="10" spans="1:5" ht="30" customHeight="1" x14ac:dyDescent="0.2">
      <c r="A10" s="824" t="s">
        <v>981</v>
      </c>
      <c r="B10" s="764">
        <v>650000</v>
      </c>
      <c r="C10" s="764">
        <v>0</v>
      </c>
      <c r="D10" s="764"/>
      <c r="E10" s="1147">
        <v>0</v>
      </c>
    </row>
    <row r="11" spans="1:5" ht="30" customHeight="1" x14ac:dyDescent="0.2">
      <c r="A11" s="824" t="s">
        <v>1094</v>
      </c>
      <c r="B11" s="764">
        <v>600000</v>
      </c>
      <c r="C11" s="764">
        <f>600000+113000</f>
        <v>713000</v>
      </c>
      <c r="D11" s="764">
        <v>920115</v>
      </c>
      <c r="E11" s="1147">
        <f>D11/C11</f>
        <v>1.290483870967742</v>
      </c>
    </row>
    <row r="12" spans="1:5" ht="30" customHeight="1" x14ac:dyDescent="0.2">
      <c r="A12" s="824" t="s">
        <v>1095</v>
      </c>
      <c r="B12" s="764">
        <v>100000</v>
      </c>
      <c r="C12" s="764">
        <v>100000</v>
      </c>
      <c r="D12" s="764">
        <v>36800</v>
      </c>
      <c r="E12" s="1147">
        <f>D12/C12</f>
        <v>0.36799999999999999</v>
      </c>
    </row>
    <row r="13" spans="1:5" ht="30" customHeight="1" x14ac:dyDescent="0.2">
      <c r="A13" s="824" t="s">
        <v>982</v>
      </c>
      <c r="B13" s="764">
        <v>500000</v>
      </c>
      <c r="C13" s="764">
        <v>500000</v>
      </c>
      <c r="D13" s="764"/>
      <c r="E13" s="1147">
        <v>0</v>
      </c>
    </row>
    <row r="14" spans="1:5" ht="30" customHeight="1" x14ac:dyDescent="0.2">
      <c r="A14" s="824" t="s">
        <v>1050</v>
      </c>
      <c r="B14" s="764">
        <v>0</v>
      </c>
      <c r="C14" s="764">
        <v>0</v>
      </c>
      <c r="D14" s="764"/>
      <c r="E14" s="1147">
        <v>0</v>
      </c>
    </row>
    <row r="15" spans="1:5" ht="30" customHeight="1" x14ac:dyDescent="0.2">
      <c r="A15" s="824" t="s">
        <v>1051</v>
      </c>
      <c r="B15" s="764">
        <v>0</v>
      </c>
      <c r="C15" s="764">
        <v>0</v>
      </c>
      <c r="D15" s="764"/>
      <c r="E15" s="1147">
        <v>0</v>
      </c>
    </row>
    <row r="16" spans="1:5" ht="30" customHeight="1" x14ac:dyDescent="0.2">
      <c r="A16" s="824" t="s">
        <v>1052</v>
      </c>
      <c r="B16" s="764">
        <v>50000</v>
      </c>
      <c r="C16" s="764">
        <f>50000+60000</f>
        <v>110000</v>
      </c>
      <c r="D16" s="764"/>
      <c r="E16" s="1147">
        <v>0</v>
      </c>
    </row>
    <row r="17" spans="1:5" ht="30" customHeight="1" x14ac:dyDescent="0.2">
      <c r="A17" s="824" t="s">
        <v>983</v>
      </c>
      <c r="B17" s="764">
        <v>0</v>
      </c>
      <c r="C17" s="764">
        <v>0</v>
      </c>
      <c r="D17" s="764"/>
      <c r="E17" s="1147">
        <v>0</v>
      </c>
    </row>
    <row r="18" spans="1:5" ht="30" customHeight="1" x14ac:dyDescent="0.2">
      <c r="A18" s="824" t="s">
        <v>984</v>
      </c>
      <c r="B18" s="764">
        <v>0</v>
      </c>
      <c r="C18" s="764">
        <v>0</v>
      </c>
      <c r="D18" s="764"/>
      <c r="E18" s="1147">
        <v>0</v>
      </c>
    </row>
    <row r="19" spans="1:5" ht="30" customHeight="1" x14ac:dyDescent="0.2">
      <c r="A19" s="824" t="s">
        <v>1053</v>
      </c>
      <c r="B19" s="764">
        <v>130000</v>
      </c>
      <c r="C19" s="764">
        <f>130000+117000</f>
        <v>247000</v>
      </c>
      <c r="D19" s="764">
        <v>303225</v>
      </c>
      <c r="E19" s="1147">
        <f>D19/C19</f>
        <v>1.2276315789473684</v>
      </c>
    </row>
    <row r="20" spans="1:5" ht="30" customHeight="1" x14ac:dyDescent="0.2">
      <c r="A20" s="824" t="s">
        <v>1054</v>
      </c>
      <c r="B20" s="764">
        <v>100000</v>
      </c>
      <c r="C20" s="764">
        <v>100000</v>
      </c>
      <c r="D20" s="764">
        <v>75000</v>
      </c>
      <c r="E20" s="1147">
        <f t="shared" ref="E20:E24" si="0">D20/C20</f>
        <v>0.75</v>
      </c>
    </row>
    <row r="21" spans="1:5" ht="30" customHeight="1" x14ac:dyDescent="0.2">
      <c r="A21" s="824" t="s">
        <v>1055</v>
      </c>
      <c r="B21" s="764">
        <v>0</v>
      </c>
      <c r="C21" s="764">
        <v>0</v>
      </c>
      <c r="D21" s="764"/>
      <c r="E21" s="1147">
        <v>0</v>
      </c>
    </row>
    <row r="22" spans="1:5" ht="30" customHeight="1" x14ac:dyDescent="0.2">
      <c r="A22" s="824" t="s">
        <v>1056</v>
      </c>
      <c r="B22" s="764">
        <v>450000</v>
      </c>
      <c r="C22" s="764">
        <f>450000+360000</f>
        <v>810000</v>
      </c>
      <c r="D22" s="764">
        <v>809371</v>
      </c>
      <c r="E22" s="1147">
        <f t="shared" si="0"/>
        <v>0.99922345679012348</v>
      </c>
    </row>
    <row r="23" spans="1:5" ht="30" customHeight="1" thickBot="1" x14ac:dyDescent="0.25">
      <c r="A23" s="825" t="s">
        <v>1057</v>
      </c>
      <c r="B23" s="1150">
        <v>0</v>
      </c>
      <c r="C23" s="1150">
        <v>0</v>
      </c>
      <c r="D23" s="1150"/>
      <c r="E23" s="1148">
        <v>0</v>
      </c>
    </row>
    <row r="24" spans="1:5" ht="30" customHeight="1" thickBot="1" x14ac:dyDescent="0.25">
      <c r="A24" s="860" t="s">
        <v>1096</v>
      </c>
      <c r="B24" s="1151">
        <f>SUM(B7:B23)</f>
        <v>2730000</v>
      </c>
      <c r="C24" s="1151">
        <f t="shared" ref="C24:D24" si="1">SUM(C7:C23)</f>
        <v>2730000</v>
      </c>
      <c r="D24" s="1151">
        <f t="shared" si="1"/>
        <v>2532369</v>
      </c>
      <c r="E24" s="1152">
        <f t="shared" si="0"/>
        <v>0.92760769230769236</v>
      </c>
    </row>
  </sheetData>
  <mergeCells count="4">
    <mergeCell ref="A1:B1"/>
    <mergeCell ref="A2:E2"/>
    <mergeCell ref="A3:E3"/>
    <mergeCell ref="A4:E4"/>
  </mergeCells>
  <phoneticPr fontId="32" type="noConversion"/>
  <pageMargins left="0.7" right="0.7" top="0.75" bottom="0.75" header="0.3" footer="0.3"/>
  <pageSetup paperSize="9" scale="68" orientation="portrait" r:id="rId1"/>
  <headerFooter>
    <oddHeader>&amp;R&amp;"Times New Roman CE,Félkövér"&amp;11 7. melléklet a 4/2018. (IV.27.)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G116"/>
  <sheetViews>
    <sheetView view="pageLayout" zoomScaleNormal="115" zoomScaleSheetLayoutView="100" workbookViewId="0">
      <selection activeCell="C1" sqref="C1"/>
    </sheetView>
  </sheetViews>
  <sheetFormatPr defaultColWidth="9.33203125" defaultRowHeight="12.75" x14ac:dyDescent="0.2"/>
  <cols>
    <col min="1" max="1" width="4.6640625" style="549" customWidth="1"/>
    <col min="2" max="2" width="9.6640625" style="550" customWidth="1"/>
    <col min="3" max="3" width="71.83203125" style="550" customWidth="1"/>
    <col min="4" max="4" width="11.6640625" style="548" customWidth="1"/>
    <col min="5" max="5" width="11.6640625" style="1082" customWidth="1"/>
    <col min="6" max="7" width="11.6640625" style="548" customWidth="1"/>
    <col min="8" max="16384" width="9.33203125" style="548"/>
  </cols>
  <sheetData>
    <row r="1" spans="1:7" s="2" customFormat="1" ht="16.5" customHeight="1" thickBot="1" x14ac:dyDescent="0.25">
      <c r="A1" s="214"/>
      <c r="B1" s="215"/>
      <c r="C1" s="216"/>
      <c r="E1" s="1070"/>
    </row>
    <row r="2" spans="1:7" s="95" customFormat="1" ht="33.75" customHeight="1" thickBot="1" x14ac:dyDescent="0.25">
      <c r="A2" s="1308" t="s">
        <v>1076</v>
      </c>
      <c r="B2" s="1309"/>
      <c r="C2" s="1313" t="s">
        <v>657</v>
      </c>
      <c r="D2" s="1314"/>
      <c r="E2" s="1314"/>
      <c r="F2" s="1314"/>
      <c r="G2" s="1315"/>
    </row>
    <row r="3" spans="1:7" s="95" customFormat="1" ht="16.5" hidden="1" thickBot="1" x14ac:dyDescent="0.25">
      <c r="A3" s="842" t="s">
        <v>203</v>
      </c>
      <c r="B3" s="843"/>
      <c r="C3" s="844" t="s">
        <v>922</v>
      </c>
      <c r="E3" s="1083"/>
    </row>
    <row r="4" spans="1:7" s="96" customFormat="1" ht="15.95" customHeight="1" thickBot="1" x14ac:dyDescent="0.25">
      <c r="A4" s="219"/>
      <c r="B4" s="219"/>
      <c r="C4" s="219"/>
      <c r="D4" s="1005"/>
      <c r="E4" s="1071"/>
    </row>
    <row r="5" spans="1:7" ht="39" thickBot="1" x14ac:dyDescent="0.25">
      <c r="A5" s="1310" t="s">
        <v>205</v>
      </c>
      <c r="B5" s="1311"/>
      <c r="C5" s="542" t="s">
        <v>924</v>
      </c>
      <c r="D5" s="1045" t="s">
        <v>1164</v>
      </c>
      <c r="E5" s="1102" t="s">
        <v>1165</v>
      </c>
      <c r="F5" s="1102" t="s">
        <v>1208</v>
      </c>
      <c r="G5" s="1072" t="s">
        <v>1209</v>
      </c>
    </row>
    <row r="6" spans="1:7" s="53" customFormat="1" ht="12.95" customHeight="1" thickBot="1" x14ac:dyDescent="0.25">
      <c r="A6" s="201">
        <v>1</v>
      </c>
      <c r="B6" s="202">
        <v>2</v>
      </c>
      <c r="C6" s="543">
        <v>3</v>
      </c>
      <c r="D6" s="1008">
        <v>4</v>
      </c>
      <c r="E6" s="1142">
        <v>5</v>
      </c>
      <c r="F6" s="1142">
        <v>6</v>
      </c>
      <c r="G6" s="1084">
        <v>7</v>
      </c>
    </row>
    <row r="7" spans="1:7" s="53" customFormat="1" ht="15.95" customHeight="1" thickBot="1" x14ac:dyDescent="0.25">
      <c r="A7" s="223"/>
      <c r="B7" s="224"/>
      <c r="C7" s="224" t="s">
        <v>926</v>
      </c>
      <c r="D7" s="1143"/>
      <c r="E7" s="1116"/>
      <c r="F7" s="1116"/>
      <c r="G7" s="1144"/>
    </row>
    <row r="8" spans="1:7" s="53" customFormat="1" ht="12" customHeight="1" thickBot="1" x14ac:dyDescent="0.25">
      <c r="A8" s="201" t="s">
        <v>885</v>
      </c>
      <c r="B8" s="226"/>
      <c r="C8" s="687" t="s">
        <v>206</v>
      </c>
      <c r="D8" s="547">
        <f>+D9+D14</f>
        <v>115537</v>
      </c>
      <c r="E8" s="713">
        <f>+E9+E14</f>
        <v>131377</v>
      </c>
      <c r="F8" s="713">
        <f>+F9+F14</f>
        <v>132111</v>
      </c>
      <c r="G8" s="1095">
        <f>F8/E8</f>
        <v>1.0055869748890598</v>
      </c>
    </row>
    <row r="9" spans="1:7" s="97" customFormat="1" ht="12" customHeight="1" thickBot="1" x14ac:dyDescent="0.25">
      <c r="A9" s="201" t="s">
        <v>886</v>
      </c>
      <c r="B9" s="226"/>
      <c r="C9" s="685" t="s">
        <v>817</v>
      </c>
      <c r="D9" s="547">
        <f>SUM(D10:D13)</f>
        <v>98900</v>
      </c>
      <c r="E9" s="713">
        <f>SUM(E10:E13)</f>
        <v>105329</v>
      </c>
      <c r="F9" s="713">
        <f>SUM(F10:F13)</f>
        <v>105362</v>
      </c>
      <c r="G9" s="1095">
        <f>F9/E9</f>
        <v>1.0003133040283303</v>
      </c>
    </row>
    <row r="10" spans="1:7" s="98" customFormat="1" ht="12" customHeight="1" x14ac:dyDescent="0.2">
      <c r="A10" s="228"/>
      <c r="B10" s="229" t="s">
        <v>63</v>
      </c>
      <c r="C10" s="851" t="s">
        <v>928</v>
      </c>
      <c r="D10" s="708">
        <v>97000</v>
      </c>
      <c r="E10" s="708">
        <f>D10+3850+9</f>
        <v>100859</v>
      </c>
      <c r="F10" s="708">
        <f>62296+38535+9</f>
        <v>100840</v>
      </c>
      <c r="G10" s="1096">
        <f>F10/E10</f>
        <v>0.99981161819966491</v>
      </c>
    </row>
    <row r="11" spans="1:7" s="98" customFormat="1" ht="12" customHeight="1" x14ac:dyDescent="0.2">
      <c r="A11" s="228"/>
      <c r="B11" s="229" t="s">
        <v>64</v>
      </c>
      <c r="C11" s="680" t="s">
        <v>33</v>
      </c>
      <c r="D11" s="708"/>
      <c r="E11" s="708">
        <f t="shared" ref="E11" si="0">D11</f>
        <v>0</v>
      </c>
      <c r="F11" s="708"/>
      <c r="G11" s="1096"/>
    </row>
    <row r="12" spans="1:7" s="98" customFormat="1" ht="12" customHeight="1" x14ac:dyDescent="0.2">
      <c r="A12" s="228"/>
      <c r="B12" s="229" t="s">
        <v>65</v>
      </c>
      <c r="C12" s="680" t="s">
        <v>126</v>
      </c>
      <c r="D12" s="708">
        <v>1500</v>
      </c>
      <c r="E12" s="708">
        <f>D12+939</f>
        <v>2439</v>
      </c>
      <c r="F12" s="708">
        <v>2747</v>
      </c>
      <c r="G12" s="1096">
        <f>F12/E12</f>
        <v>1.1262812628126282</v>
      </c>
    </row>
    <row r="13" spans="1:7" s="98" customFormat="1" ht="12" customHeight="1" thickBot="1" x14ac:dyDescent="0.25">
      <c r="A13" s="228"/>
      <c r="B13" s="229" t="s">
        <v>66</v>
      </c>
      <c r="C13" s="852" t="s">
        <v>127</v>
      </c>
      <c r="D13" s="708">
        <v>400</v>
      </c>
      <c r="E13" s="708">
        <f>D13+1631</f>
        <v>2031</v>
      </c>
      <c r="F13" s="708">
        <f>1631+144</f>
        <v>1775</v>
      </c>
      <c r="G13" s="1096">
        <f>F13/E13</f>
        <v>0.87395371738060068</v>
      </c>
    </row>
    <row r="14" spans="1:7" s="97" customFormat="1" ht="12" customHeight="1" thickBot="1" x14ac:dyDescent="0.25">
      <c r="A14" s="201" t="s">
        <v>887</v>
      </c>
      <c r="B14" s="226"/>
      <c r="C14" s="685" t="s">
        <v>128</v>
      </c>
      <c r="D14" s="547">
        <f>SUM(D15:D22)</f>
        <v>16637</v>
      </c>
      <c r="E14" s="713">
        <f>SUM(E15:E22)</f>
        <v>26048</v>
      </c>
      <c r="F14" s="713">
        <f>SUM(F15:F22)</f>
        <v>26749</v>
      </c>
      <c r="G14" s="1095">
        <f>F14/E14</f>
        <v>1.026911855036855</v>
      </c>
    </row>
    <row r="15" spans="1:7" s="97" customFormat="1" ht="12" customHeight="1" x14ac:dyDescent="0.2">
      <c r="A15" s="230"/>
      <c r="B15" s="229" t="s">
        <v>37</v>
      </c>
      <c r="C15" s="851" t="s">
        <v>977</v>
      </c>
      <c r="D15" s="707">
        <v>760</v>
      </c>
      <c r="E15" s="707">
        <f>D15+1258</f>
        <v>2018</v>
      </c>
      <c r="F15" s="707">
        <v>2018</v>
      </c>
      <c r="G15" s="1100">
        <f>F15/E15</f>
        <v>1</v>
      </c>
    </row>
    <row r="16" spans="1:7" s="97" customFormat="1" ht="12" customHeight="1" x14ac:dyDescent="0.2">
      <c r="A16" s="228"/>
      <c r="B16" s="229" t="s">
        <v>38</v>
      </c>
      <c r="C16" s="680" t="s">
        <v>134</v>
      </c>
      <c r="D16" s="708">
        <v>255</v>
      </c>
      <c r="E16" s="710">
        <f>D16+1689</f>
        <v>1944</v>
      </c>
      <c r="F16" s="710">
        <v>1688</v>
      </c>
      <c r="G16" s="1139">
        <f>F16/E16</f>
        <v>0.86831275720164613</v>
      </c>
    </row>
    <row r="17" spans="1:7" s="97" customFormat="1" ht="12" customHeight="1" x14ac:dyDescent="0.2">
      <c r="A17" s="228"/>
      <c r="B17" s="229" t="s">
        <v>39</v>
      </c>
      <c r="C17" s="680" t="s">
        <v>135</v>
      </c>
      <c r="D17" s="708">
        <f>13764+1858</f>
        <v>15622</v>
      </c>
      <c r="E17" s="708">
        <f>D17+2197+3197</f>
        <v>21016</v>
      </c>
      <c r="F17" s="708">
        <v>21974</v>
      </c>
      <c r="G17" s="1139">
        <f t="shared" ref="G17:G22" si="1">F17/E17</f>
        <v>1.0455843167110772</v>
      </c>
    </row>
    <row r="18" spans="1:7" s="97" customFormat="1" ht="12" customHeight="1" x14ac:dyDescent="0.2">
      <c r="A18" s="228"/>
      <c r="B18" s="229" t="s">
        <v>40</v>
      </c>
      <c r="C18" s="680" t="s">
        <v>136</v>
      </c>
      <c r="D18" s="708"/>
      <c r="E18" s="708">
        <v>506</v>
      </c>
      <c r="F18" s="708">
        <v>506</v>
      </c>
      <c r="G18" s="1139">
        <f t="shared" si="1"/>
        <v>1</v>
      </c>
    </row>
    <row r="19" spans="1:7" s="97" customFormat="1" ht="12" customHeight="1" x14ac:dyDescent="0.2">
      <c r="A19" s="228"/>
      <c r="B19" s="229" t="s">
        <v>129</v>
      </c>
      <c r="C19" s="680" t="s">
        <v>137</v>
      </c>
      <c r="D19" s="708"/>
      <c r="E19" s="708"/>
      <c r="F19" s="708"/>
      <c r="G19" s="1139"/>
    </row>
    <row r="20" spans="1:7" s="97" customFormat="1" ht="12" customHeight="1" x14ac:dyDescent="0.2">
      <c r="A20" s="231"/>
      <c r="B20" s="229" t="s">
        <v>130</v>
      </c>
      <c r="C20" s="680" t="s">
        <v>239</v>
      </c>
      <c r="D20" s="709"/>
      <c r="E20" s="709">
        <v>43</v>
      </c>
      <c r="F20" s="709">
        <v>42</v>
      </c>
      <c r="G20" s="1139">
        <f t="shared" si="1"/>
        <v>0.97674418604651159</v>
      </c>
    </row>
    <row r="21" spans="1:7" s="98" customFormat="1" ht="12" customHeight="1" x14ac:dyDescent="0.2">
      <c r="A21" s="228"/>
      <c r="B21" s="229" t="s">
        <v>131</v>
      </c>
      <c r="C21" s="680" t="s">
        <v>139</v>
      </c>
      <c r="D21" s="708"/>
      <c r="E21" s="708">
        <v>6</v>
      </c>
      <c r="F21" s="708">
        <v>6</v>
      </c>
      <c r="G21" s="1139">
        <f t="shared" si="1"/>
        <v>1</v>
      </c>
    </row>
    <row r="22" spans="1:7" s="98" customFormat="1" ht="12" customHeight="1" thickBot="1" x14ac:dyDescent="0.25">
      <c r="A22" s="232"/>
      <c r="B22" s="233" t="s">
        <v>132</v>
      </c>
      <c r="C22" s="852" t="s">
        <v>140</v>
      </c>
      <c r="D22" s="710"/>
      <c r="E22" s="710">
        <v>515</v>
      </c>
      <c r="F22" s="710">
        <v>515</v>
      </c>
      <c r="G22" s="1139">
        <f t="shared" si="1"/>
        <v>1</v>
      </c>
    </row>
    <row r="23" spans="1:7" s="98" customFormat="1" ht="12" customHeight="1" thickBot="1" x14ac:dyDescent="0.25">
      <c r="A23" s="201" t="s">
        <v>888</v>
      </c>
      <c r="B23" s="234"/>
      <c r="C23" s="685" t="s">
        <v>240</v>
      </c>
      <c r="D23" s="666">
        <v>7800</v>
      </c>
      <c r="E23" s="1106">
        <v>7800</v>
      </c>
      <c r="F23" s="1106">
        <v>8024</v>
      </c>
      <c r="G23" s="1098">
        <f>F23/E23</f>
        <v>1.0287179487179487</v>
      </c>
    </row>
    <row r="24" spans="1:7" s="97" customFormat="1" ht="12" customHeight="1" thickBot="1" x14ac:dyDescent="0.25">
      <c r="A24" s="201" t="s">
        <v>889</v>
      </c>
      <c r="B24" s="226"/>
      <c r="C24" s="685" t="s">
        <v>818</v>
      </c>
      <c r="D24" s="547">
        <f>SUM(D25:D32)</f>
        <v>192240</v>
      </c>
      <c r="E24" s="713">
        <f>SUM(E25:E32)</f>
        <v>229493</v>
      </c>
      <c r="F24" s="713">
        <f>SUM(F25:F32)</f>
        <v>229492.155</v>
      </c>
      <c r="G24" s="1095">
        <f>F24/E24</f>
        <v>0.99999631797048272</v>
      </c>
    </row>
    <row r="25" spans="1:7" s="98" customFormat="1" ht="12" customHeight="1" x14ac:dyDescent="0.2">
      <c r="A25" s="228"/>
      <c r="B25" s="229" t="s">
        <v>41</v>
      </c>
      <c r="C25" s="851" t="s">
        <v>819</v>
      </c>
      <c r="D25" s="662">
        <v>192240</v>
      </c>
      <c r="E25" s="708">
        <f>D25+1103+798+1951+8979</f>
        <v>205071</v>
      </c>
      <c r="F25" s="708">
        <f>(81956793+78067135+41232787+3814440)/1000</f>
        <v>205071.155</v>
      </c>
      <c r="G25" s="1096">
        <f>F25/E25</f>
        <v>1.0000007558357837</v>
      </c>
    </row>
    <row r="26" spans="1:7" s="98" customFormat="1" ht="12" customHeight="1" x14ac:dyDescent="0.2">
      <c r="A26" s="228"/>
      <c r="B26" s="229" t="s">
        <v>42</v>
      </c>
      <c r="C26" s="680" t="s">
        <v>149</v>
      </c>
      <c r="D26" s="662"/>
      <c r="E26" s="708"/>
      <c r="F26" s="708"/>
      <c r="G26" s="1096"/>
    </row>
    <row r="27" spans="1:7" s="98" customFormat="1" ht="12" customHeight="1" x14ac:dyDescent="0.2">
      <c r="A27" s="228"/>
      <c r="B27" s="229" t="s">
        <v>43</v>
      </c>
      <c r="C27" s="680" t="s">
        <v>46</v>
      </c>
      <c r="D27" s="662"/>
      <c r="E27" s="708">
        <f>73+90+1002+12233+250</f>
        <v>13648</v>
      </c>
      <c r="F27" s="708">
        <v>13647</v>
      </c>
      <c r="G27" s="1096">
        <f>F27/E27</f>
        <v>0.99992672919109027</v>
      </c>
    </row>
    <row r="28" spans="1:7" s="98" customFormat="1" ht="12" customHeight="1" x14ac:dyDescent="0.2">
      <c r="A28" s="228"/>
      <c r="B28" s="229" t="s">
        <v>144</v>
      </c>
      <c r="C28" s="680" t="s">
        <v>931</v>
      </c>
      <c r="D28" s="662"/>
      <c r="E28" s="708"/>
      <c r="F28" s="708"/>
      <c r="G28" s="816"/>
    </row>
    <row r="29" spans="1:7" s="98" customFormat="1" ht="12" customHeight="1" x14ac:dyDescent="0.2">
      <c r="A29" s="228"/>
      <c r="B29" s="229" t="s">
        <v>145</v>
      </c>
      <c r="C29" s="680" t="s">
        <v>151</v>
      </c>
      <c r="D29" s="662"/>
      <c r="E29" s="708"/>
      <c r="F29" s="708"/>
      <c r="G29" s="816"/>
    </row>
    <row r="30" spans="1:7" s="98" customFormat="1" ht="12" customHeight="1" x14ac:dyDescent="0.2">
      <c r="A30" s="228"/>
      <c r="B30" s="229" t="s">
        <v>146</v>
      </c>
      <c r="C30" s="680" t="s">
        <v>152</v>
      </c>
      <c r="D30" s="662"/>
      <c r="E30" s="708"/>
      <c r="F30" s="708"/>
      <c r="G30" s="816"/>
    </row>
    <row r="31" spans="1:7" s="98" customFormat="1" ht="12" customHeight="1" x14ac:dyDescent="0.2">
      <c r="A31" s="228"/>
      <c r="B31" s="229" t="s">
        <v>147</v>
      </c>
      <c r="C31" s="680" t="s">
        <v>241</v>
      </c>
      <c r="D31" s="662"/>
      <c r="E31" s="708">
        <f>400+9998</f>
        <v>10398</v>
      </c>
      <c r="F31" s="708">
        <v>10398</v>
      </c>
      <c r="G31" s="1096">
        <f>F31/E31</f>
        <v>1</v>
      </c>
    </row>
    <row r="32" spans="1:7" s="98" customFormat="1" ht="12" customHeight="1" thickBot="1" x14ac:dyDescent="0.25">
      <c r="A32" s="232"/>
      <c r="B32" s="233" t="s">
        <v>148</v>
      </c>
      <c r="C32" s="853" t="s">
        <v>207</v>
      </c>
      <c r="D32" s="663"/>
      <c r="E32" s="710">
        <v>376</v>
      </c>
      <c r="F32" s="710">
        <v>376</v>
      </c>
      <c r="G32" s="1139">
        <v>1</v>
      </c>
    </row>
    <row r="33" spans="1:7" s="98" customFormat="1" ht="12" customHeight="1" thickBot="1" x14ac:dyDescent="0.25">
      <c r="A33" s="209" t="s">
        <v>890</v>
      </c>
      <c r="B33" s="126"/>
      <c r="C33" s="687" t="s">
        <v>390</v>
      </c>
      <c r="D33" s="547">
        <f>D40+D34</f>
        <v>21226</v>
      </c>
      <c r="E33" s="713">
        <f>E40+E34</f>
        <v>28516</v>
      </c>
      <c r="F33" s="713">
        <f>F40+F34</f>
        <v>15666</v>
      </c>
      <c r="G33" s="1095">
        <f>F33/E33</f>
        <v>0.5493757890307196</v>
      </c>
    </row>
    <row r="34" spans="1:7" s="98" customFormat="1" ht="12" customHeight="1" x14ac:dyDescent="0.2">
      <c r="A34" s="230"/>
      <c r="B34" s="167" t="s">
        <v>44</v>
      </c>
      <c r="C34" s="854" t="s">
        <v>376</v>
      </c>
      <c r="D34" s="741">
        <f>SUM(D35:D39)</f>
        <v>6522</v>
      </c>
      <c r="E34" s="1145">
        <f>SUM(E35:E39)</f>
        <v>13812</v>
      </c>
      <c r="F34" s="1145">
        <f>SUM(F35:F39)</f>
        <v>15666</v>
      </c>
      <c r="G34" s="1140">
        <f>F34/E34</f>
        <v>1.1342311033883579</v>
      </c>
    </row>
    <row r="35" spans="1:7" s="98" customFormat="1" ht="12" customHeight="1" x14ac:dyDescent="0.2">
      <c r="A35" s="228"/>
      <c r="B35" s="150" t="s">
        <v>47</v>
      </c>
      <c r="C35" s="680" t="s">
        <v>242</v>
      </c>
      <c r="D35" s="708">
        <v>5196</v>
      </c>
      <c r="E35" s="708">
        <f>D35</f>
        <v>5196</v>
      </c>
      <c r="F35" s="708">
        <v>5304</v>
      </c>
      <c r="G35" s="1096">
        <f>F35/E35</f>
        <v>1.0207852193995381</v>
      </c>
    </row>
    <row r="36" spans="1:7" s="98" customFormat="1" ht="12" customHeight="1" x14ac:dyDescent="0.2">
      <c r="A36" s="228"/>
      <c r="B36" s="150" t="s">
        <v>48</v>
      </c>
      <c r="C36" s="680" t="s">
        <v>930</v>
      </c>
      <c r="D36" s="708"/>
      <c r="E36" s="708">
        <f t="shared" ref="E36:E38" si="2">D36</f>
        <v>0</v>
      </c>
      <c r="F36" s="708"/>
      <c r="G36" s="1096"/>
    </row>
    <row r="37" spans="1:7" s="98" customFormat="1" ht="12" customHeight="1" x14ac:dyDescent="0.2">
      <c r="A37" s="228"/>
      <c r="B37" s="150" t="s">
        <v>49</v>
      </c>
      <c r="C37" s="680" t="s">
        <v>244</v>
      </c>
      <c r="D37" s="708"/>
      <c r="E37" s="708">
        <f t="shared" si="2"/>
        <v>0</v>
      </c>
      <c r="F37" s="708"/>
      <c r="G37" s="1096"/>
    </row>
    <row r="38" spans="1:7" s="98" customFormat="1" ht="12" customHeight="1" x14ac:dyDescent="0.2">
      <c r="A38" s="228"/>
      <c r="B38" s="150" t="s">
        <v>50</v>
      </c>
      <c r="C38" s="680" t="s">
        <v>245</v>
      </c>
      <c r="D38" s="708"/>
      <c r="E38" s="708">
        <f t="shared" si="2"/>
        <v>0</v>
      </c>
      <c r="F38" s="708"/>
      <c r="G38" s="1096"/>
    </row>
    <row r="39" spans="1:7" s="98" customFormat="1" ht="12" customHeight="1" x14ac:dyDescent="0.2">
      <c r="A39" s="228"/>
      <c r="B39" s="150" t="s">
        <v>154</v>
      </c>
      <c r="C39" s="680" t="s">
        <v>377</v>
      </c>
      <c r="D39" s="708">
        <v>1326</v>
      </c>
      <c r="E39" s="708">
        <f>D39+445+4205+199+600+1841</f>
        <v>8616</v>
      </c>
      <c r="F39" s="708">
        <f>210+3193+6959</f>
        <v>10362</v>
      </c>
      <c r="G39" s="1096">
        <f>F39/E39</f>
        <v>1.2026462395543176</v>
      </c>
    </row>
    <row r="40" spans="1:7" s="98" customFormat="1" ht="12" customHeight="1" x14ac:dyDescent="0.2">
      <c r="A40" s="228"/>
      <c r="B40" s="150" t="s">
        <v>45</v>
      </c>
      <c r="C40" s="854" t="s">
        <v>378</v>
      </c>
      <c r="D40" s="664">
        <f t="shared" ref="D40:E40" si="3">SUM(D41:D45)</f>
        <v>14704</v>
      </c>
      <c r="E40" s="1146">
        <f t="shared" si="3"/>
        <v>14704</v>
      </c>
      <c r="F40" s="1146"/>
      <c r="G40" s="1138"/>
    </row>
    <row r="41" spans="1:7" s="98" customFormat="1" ht="12" customHeight="1" x14ac:dyDescent="0.2">
      <c r="A41" s="228"/>
      <c r="B41" s="150" t="s">
        <v>53</v>
      </c>
      <c r="C41" s="680" t="s">
        <v>242</v>
      </c>
      <c r="D41" s="708"/>
      <c r="E41" s="708"/>
      <c r="F41" s="708"/>
      <c r="G41" s="816"/>
    </row>
    <row r="42" spans="1:7" s="98" customFormat="1" ht="12" customHeight="1" x14ac:dyDescent="0.2">
      <c r="A42" s="228"/>
      <c r="B42" s="150" t="s">
        <v>54</v>
      </c>
      <c r="C42" s="680" t="s">
        <v>243</v>
      </c>
      <c r="D42" s="708"/>
      <c r="E42" s="708"/>
      <c r="F42" s="708"/>
      <c r="G42" s="816"/>
    </row>
    <row r="43" spans="1:7" s="98" customFormat="1" ht="12" customHeight="1" x14ac:dyDescent="0.2">
      <c r="A43" s="228"/>
      <c r="B43" s="150" t="s">
        <v>55</v>
      </c>
      <c r="C43" s="680" t="s">
        <v>244</v>
      </c>
      <c r="D43" s="708">
        <v>14704</v>
      </c>
      <c r="E43" s="708">
        <v>14704</v>
      </c>
      <c r="F43" s="708">
        <v>0</v>
      </c>
      <c r="G43" s="816"/>
    </row>
    <row r="44" spans="1:7" s="98" customFormat="1" ht="12" customHeight="1" x14ac:dyDescent="0.2">
      <c r="A44" s="228"/>
      <c r="B44" s="150" t="s">
        <v>56</v>
      </c>
      <c r="C44" s="680" t="s">
        <v>245</v>
      </c>
      <c r="D44" s="708"/>
      <c r="E44" s="708"/>
      <c r="F44" s="708"/>
      <c r="G44" s="816"/>
    </row>
    <row r="45" spans="1:7" s="98" customFormat="1" ht="12" customHeight="1" thickBot="1" x14ac:dyDescent="0.25">
      <c r="A45" s="232"/>
      <c r="B45" s="170" t="s">
        <v>155</v>
      </c>
      <c r="C45" s="853" t="s">
        <v>1031</v>
      </c>
      <c r="D45" s="710"/>
      <c r="E45" s="710"/>
      <c r="F45" s="710"/>
      <c r="G45" s="818"/>
    </row>
    <row r="46" spans="1:7" s="97" customFormat="1" ht="12" customHeight="1" thickBot="1" x14ac:dyDescent="0.25">
      <c r="A46" s="209" t="s">
        <v>891</v>
      </c>
      <c r="B46" s="226"/>
      <c r="C46" s="693" t="s">
        <v>246</v>
      </c>
      <c r="D46" s="547">
        <f>D47+D48</f>
        <v>7000</v>
      </c>
      <c r="E46" s="713">
        <f>E47+E48</f>
        <v>7000</v>
      </c>
      <c r="F46" s="713">
        <f>F47+F48</f>
        <v>7865</v>
      </c>
      <c r="G46" s="1095">
        <f>F46/E46</f>
        <v>1.1235714285714287</v>
      </c>
    </row>
    <row r="47" spans="1:7" s="98" customFormat="1" ht="12" customHeight="1" x14ac:dyDescent="0.2">
      <c r="A47" s="228"/>
      <c r="B47" s="150" t="s">
        <v>51</v>
      </c>
      <c r="C47" s="851" t="s">
        <v>89</v>
      </c>
      <c r="D47" s="708"/>
      <c r="E47" s="708"/>
      <c r="F47" s="708"/>
      <c r="G47" s="1096"/>
    </row>
    <row r="48" spans="1:7" s="98" customFormat="1" ht="12" customHeight="1" thickBot="1" x14ac:dyDescent="0.25">
      <c r="A48" s="228"/>
      <c r="B48" s="150" t="s">
        <v>52</v>
      </c>
      <c r="C48" s="852" t="s">
        <v>821</v>
      </c>
      <c r="D48" s="708">
        <v>7000</v>
      </c>
      <c r="E48" s="708">
        <f>D48</f>
        <v>7000</v>
      </c>
      <c r="F48" s="708">
        <v>7865</v>
      </c>
      <c r="G48" s="1096">
        <f>F48/E48</f>
        <v>1.1235714285714287</v>
      </c>
    </row>
    <row r="49" spans="1:7" s="98" customFormat="1" ht="12" customHeight="1" thickBot="1" x14ac:dyDescent="0.25">
      <c r="A49" s="201" t="s">
        <v>892</v>
      </c>
      <c r="B49" s="226"/>
      <c r="C49" s="685" t="s">
        <v>820</v>
      </c>
      <c r="D49" s="547">
        <f t="shared" ref="D49:F49" si="4">SUM(D50:D52)</f>
        <v>414</v>
      </c>
      <c r="E49" s="713">
        <f t="shared" si="4"/>
        <v>564</v>
      </c>
      <c r="F49" s="713">
        <f t="shared" si="4"/>
        <v>563</v>
      </c>
      <c r="G49" s="1095">
        <f>F49/E49</f>
        <v>0.99822695035460995</v>
      </c>
    </row>
    <row r="50" spans="1:7" s="98" customFormat="1" ht="12" customHeight="1" x14ac:dyDescent="0.2">
      <c r="A50" s="236"/>
      <c r="B50" s="150" t="s">
        <v>159</v>
      </c>
      <c r="C50" s="851" t="s">
        <v>157</v>
      </c>
      <c r="D50" s="715"/>
      <c r="E50" s="715"/>
      <c r="F50" s="715"/>
      <c r="G50" s="1094"/>
    </row>
    <row r="51" spans="1:7" s="98" customFormat="1" ht="12" customHeight="1" x14ac:dyDescent="0.2">
      <c r="A51" s="236"/>
      <c r="B51" s="150" t="s">
        <v>160</v>
      </c>
      <c r="C51" s="680" t="s">
        <v>158</v>
      </c>
      <c r="D51" s="715">
        <v>414</v>
      </c>
      <c r="E51" s="715">
        <f>D51+150</f>
        <v>564</v>
      </c>
      <c r="F51" s="715">
        <v>563</v>
      </c>
      <c r="G51" s="1094">
        <f>F51/E51</f>
        <v>0.99822695035460995</v>
      </c>
    </row>
    <row r="52" spans="1:7" s="98" customFormat="1" ht="12" customHeight="1" thickBot="1" x14ac:dyDescent="0.25">
      <c r="A52" s="228"/>
      <c r="B52" s="150" t="s">
        <v>308</v>
      </c>
      <c r="C52" s="853" t="s">
        <v>248</v>
      </c>
      <c r="D52" s="708"/>
      <c r="E52" s="708"/>
      <c r="F52" s="708"/>
      <c r="G52" s="1096"/>
    </row>
    <row r="53" spans="1:7" s="98" customFormat="1" ht="12" customHeight="1" thickBot="1" x14ac:dyDescent="0.25">
      <c r="A53" s="209" t="s">
        <v>893</v>
      </c>
      <c r="B53" s="237"/>
      <c r="C53" s="687" t="s">
        <v>249</v>
      </c>
      <c r="D53" s="666"/>
      <c r="E53" s="1106"/>
      <c r="F53" s="1106"/>
      <c r="G53" s="1055"/>
    </row>
    <row r="54" spans="1:7" s="97" customFormat="1" ht="12" customHeight="1" thickBot="1" x14ac:dyDescent="0.25">
      <c r="A54" s="238" t="s">
        <v>894</v>
      </c>
      <c r="B54" s="239"/>
      <c r="C54" s="687" t="s">
        <v>391</v>
      </c>
      <c r="D54" s="1049">
        <f>D9+D14+D23+D24+D33+D46+D49+D53</f>
        <v>344217</v>
      </c>
      <c r="E54" s="1049">
        <f>E9+E14+E23+E24+E33+E46+E49+E53</f>
        <v>404750</v>
      </c>
      <c r="F54" s="1049">
        <f>F9+F14+F23+F24+F33+F46+F49+F53</f>
        <v>393721.15500000003</v>
      </c>
      <c r="G54" s="1141">
        <f>F54/E54</f>
        <v>0.9727514638665844</v>
      </c>
    </row>
    <row r="55" spans="1:7" s="97" customFormat="1" ht="12" customHeight="1" thickBot="1" x14ac:dyDescent="0.25">
      <c r="A55" s="201" t="s">
        <v>895</v>
      </c>
      <c r="B55" s="169"/>
      <c r="C55" s="687" t="s">
        <v>252</v>
      </c>
      <c r="D55" s="547">
        <f t="shared" ref="D55" si="5">D56</f>
        <v>0</v>
      </c>
      <c r="E55" s="713">
        <f>E56+E57</f>
        <v>170019</v>
      </c>
      <c r="F55" s="713">
        <f>F56+F57</f>
        <v>170019</v>
      </c>
      <c r="G55" s="1095">
        <f>F55/E55</f>
        <v>1</v>
      </c>
    </row>
    <row r="56" spans="1:7" s="97" customFormat="1" ht="12" customHeight="1" x14ac:dyDescent="0.2">
      <c r="A56" s="230"/>
      <c r="B56" s="167" t="s">
        <v>92</v>
      </c>
      <c r="C56" s="716" t="s">
        <v>933</v>
      </c>
      <c r="D56" s="711"/>
      <c r="E56" s="707">
        <v>151594</v>
      </c>
      <c r="F56" s="707">
        <v>151594</v>
      </c>
      <c r="G56" s="1100">
        <v>1</v>
      </c>
    </row>
    <row r="57" spans="1:7" s="97" customFormat="1" ht="12" customHeight="1" x14ac:dyDescent="0.2">
      <c r="A57" s="231"/>
      <c r="B57" s="150" t="s">
        <v>93</v>
      </c>
      <c r="C57" s="689" t="s">
        <v>1200</v>
      </c>
      <c r="D57" s="662"/>
      <c r="E57" s="708">
        <f>11117+7308</f>
        <v>18425</v>
      </c>
      <c r="F57" s="708">
        <v>18425</v>
      </c>
      <c r="G57" s="1096">
        <v>1</v>
      </c>
    </row>
    <row r="58" spans="1:7" s="97" customFormat="1" ht="12" customHeight="1" thickBot="1" x14ac:dyDescent="0.25">
      <c r="A58" s="235"/>
      <c r="B58" s="168" t="s">
        <v>1201</v>
      </c>
      <c r="C58" s="724" t="s">
        <v>1202</v>
      </c>
      <c r="D58" s="712"/>
      <c r="E58" s="1119"/>
      <c r="F58" s="1119"/>
      <c r="G58" s="1080"/>
    </row>
    <row r="59" spans="1:7" s="98" customFormat="1" ht="15" customHeight="1" thickBot="1" x14ac:dyDescent="0.25">
      <c r="A59" s="240" t="s">
        <v>896</v>
      </c>
      <c r="B59" s="675"/>
      <c r="C59" s="855" t="s">
        <v>266</v>
      </c>
      <c r="D59" s="547"/>
      <c r="E59" s="1116"/>
      <c r="F59" s="1116"/>
      <c r="G59" s="1075"/>
    </row>
    <row r="60" spans="1:7" s="98" customFormat="1" ht="12" customHeight="1" thickBot="1" x14ac:dyDescent="0.25">
      <c r="A60" s="240" t="s">
        <v>897</v>
      </c>
      <c r="B60" s="675"/>
      <c r="C60" s="855" t="s">
        <v>935</v>
      </c>
      <c r="D60" s="547">
        <f>D54+D55+D59</f>
        <v>344217</v>
      </c>
      <c r="E60" s="1116">
        <f>E54+E55+E59</f>
        <v>574769</v>
      </c>
      <c r="F60" s="1116">
        <f>F54+F55+F59</f>
        <v>563740.15500000003</v>
      </c>
      <c r="G60" s="1110">
        <f>F60/E60</f>
        <v>0.98081169130555068</v>
      </c>
    </row>
    <row r="61" spans="1:7" s="98" customFormat="1" ht="15" customHeight="1" thickBot="1" x14ac:dyDescent="0.25">
      <c r="A61" s="243"/>
      <c r="B61" s="676"/>
      <c r="C61" s="677"/>
      <c r="D61" s="667"/>
      <c r="E61" s="1086"/>
      <c r="G61" s="673">
        <f>E60-E100</f>
        <v>0</v>
      </c>
    </row>
    <row r="62" spans="1:7" s="95" customFormat="1" ht="36.75" customHeight="1" thickBot="1" x14ac:dyDescent="0.25">
      <c r="A62" s="1308" t="s">
        <v>1076</v>
      </c>
      <c r="B62" s="1312"/>
      <c r="C62" s="1314" t="s">
        <v>657</v>
      </c>
      <c r="D62" s="1314"/>
      <c r="E62" s="1314"/>
      <c r="F62" s="1314"/>
      <c r="G62" s="1315"/>
    </row>
    <row r="63" spans="1:7" ht="13.5" thickBot="1" x14ac:dyDescent="0.25">
      <c r="A63" s="245"/>
      <c r="B63" s="246"/>
      <c r="C63" s="246"/>
      <c r="D63" s="1089"/>
      <c r="E63" s="1090"/>
    </row>
    <row r="64" spans="1:7" s="53" customFormat="1" ht="39" thickBot="1" x14ac:dyDescent="0.25">
      <c r="A64" s="247"/>
      <c r="B64" s="248"/>
      <c r="C64" s="249" t="s">
        <v>1</v>
      </c>
      <c r="D64" s="1045" t="s">
        <v>1164</v>
      </c>
      <c r="E64" s="1102" t="s">
        <v>1165</v>
      </c>
      <c r="F64" s="1102" t="s">
        <v>1208</v>
      </c>
      <c r="G64" s="1072" t="s">
        <v>1209</v>
      </c>
    </row>
    <row r="65" spans="1:7" s="99" customFormat="1" ht="12" customHeight="1" thickBot="1" x14ac:dyDescent="0.25">
      <c r="A65" s="209" t="s">
        <v>885</v>
      </c>
      <c r="B65" s="24"/>
      <c r="C65" s="558" t="s">
        <v>840</v>
      </c>
      <c r="D65" s="547">
        <f>SUM(D66:D70)</f>
        <v>137389</v>
      </c>
      <c r="E65" s="1116">
        <f>SUM(E66:E70)</f>
        <v>183915</v>
      </c>
      <c r="F65" s="1116">
        <f>SUM(F66:F70)</f>
        <v>171183</v>
      </c>
      <c r="G65" s="1110">
        <f>F65/E65</f>
        <v>0.9307723676698475</v>
      </c>
    </row>
    <row r="66" spans="1:7" ht="12" customHeight="1" x14ac:dyDescent="0.2">
      <c r="A66" s="250"/>
      <c r="B66" s="166" t="s">
        <v>57</v>
      </c>
      <c r="C66" s="554" t="s">
        <v>916</v>
      </c>
      <c r="D66" s="715">
        <v>36407</v>
      </c>
      <c r="E66" s="1132">
        <f>D66+534+954+4925</f>
        <v>42820</v>
      </c>
      <c r="F66" s="1132">
        <v>36651</v>
      </c>
      <c r="G66" s="1131">
        <f>F66/E66</f>
        <v>0.85593180756655773</v>
      </c>
    </row>
    <row r="67" spans="1:7" ht="12" customHeight="1" x14ac:dyDescent="0.2">
      <c r="A67" s="251"/>
      <c r="B67" s="150" t="s">
        <v>58</v>
      </c>
      <c r="C67" s="555" t="s">
        <v>164</v>
      </c>
      <c r="D67" s="662">
        <v>8061</v>
      </c>
      <c r="E67" s="1132">
        <f>D67+210+1080</f>
        <v>9351</v>
      </c>
      <c r="F67" s="1132">
        <v>7389</v>
      </c>
      <c r="G67" s="1131">
        <f>F67/E67</f>
        <v>0.79018286814244465</v>
      </c>
    </row>
    <row r="68" spans="1:7" ht="12" customHeight="1" x14ac:dyDescent="0.2">
      <c r="A68" s="251"/>
      <c r="B68" s="150" t="s">
        <v>59</v>
      </c>
      <c r="C68" s="555" t="s">
        <v>88</v>
      </c>
      <c r="D68" s="708">
        <v>70242</v>
      </c>
      <c r="E68" s="1133">
        <f>D68+5848+15818+5000</f>
        <v>96908</v>
      </c>
      <c r="F68" s="1133">
        <v>96011</v>
      </c>
      <c r="G68" s="1131">
        <f t="shared" ref="G68:G75" si="6">F68/E68</f>
        <v>0.99074379824163128</v>
      </c>
    </row>
    <row r="69" spans="1:7" ht="12" customHeight="1" x14ac:dyDescent="0.2">
      <c r="A69" s="251"/>
      <c r="B69" s="150" t="s">
        <v>60</v>
      </c>
      <c r="C69" s="555" t="s">
        <v>165</v>
      </c>
      <c r="D69" s="708">
        <v>19559</v>
      </c>
      <c r="E69" s="1132">
        <f t="shared" ref="E69:E73" si="7">D69</f>
        <v>19559</v>
      </c>
      <c r="F69" s="1132">
        <f>1352+14710</f>
        <v>16062</v>
      </c>
      <c r="G69" s="1131">
        <f t="shared" si="6"/>
        <v>0.82120762820185078</v>
      </c>
    </row>
    <row r="70" spans="1:7" ht="12" customHeight="1" x14ac:dyDescent="0.2">
      <c r="A70" s="251"/>
      <c r="B70" s="150" t="s">
        <v>71</v>
      </c>
      <c r="C70" s="555" t="s">
        <v>166</v>
      </c>
      <c r="D70" s="1135">
        <f>SUM(D72:D78)</f>
        <v>3120</v>
      </c>
      <c r="E70" s="1132">
        <f>SUM(E71:E78)</f>
        <v>15277</v>
      </c>
      <c r="F70" s="1132">
        <f>SUM(F71:F78)</f>
        <v>15070</v>
      </c>
      <c r="G70" s="1131">
        <f t="shared" si="6"/>
        <v>0.98645021928389076</v>
      </c>
    </row>
    <row r="71" spans="1:7" ht="12" customHeight="1" x14ac:dyDescent="0.2">
      <c r="A71" s="251"/>
      <c r="B71" s="150" t="s">
        <v>61</v>
      </c>
      <c r="C71" s="555" t="s">
        <v>188</v>
      </c>
      <c r="D71" s="662"/>
      <c r="E71" s="1132">
        <f t="shared" si="7"/>
        <v>0</v>
      </c>
      <c r="F71" s="1132"/>
      <c r="G71" s="1131"/>
    </row>
    <row r="72" spans="1:7" ht="12" customHeight="1" x14ac:dyDescent="0.2">
      <c r="A72" s="251"/>
      <c r="B72" s="150" t="s">
        <v>62</v>
      </c>
      <c r="C72" s="568" t="s">
        <v>822</v>
      </c>
      <c r="D72" s="708"/>
      <c r="E72" s="1132">
        <f t="shared" si="7"/>
        <v>0</v>
      </c>
      <c r="F72" s="1132"/>
      <c r="G72" s="1131"/>
    </row>
    <row r="73" spans="1:7" ht="12" customHeight="1" x14ac:dyDescent="0.2">
      <c r="A73" s="251"/>
      <c r="B73" s="150" t="s">
        <v>72</v>
      </c>
      <c r="C73" s="678" t="s">
        <v>392</v>
      </c>
      <c r="D73" s="708"/>
      <c r="E73" s="1132">
        <f t="shared" si="7"/>
        <v>0</v>
      </c>
      <c r="F73" s="1132"/>
      <c r="G73" s="1131"/>
    </row>
    <row r="74" spans="1:7" ht="12" customHeight="1" x14ac:dyDescent="0.2">
      <c r="A74" s="251"/>
      <c r="B74" s="150" t="s">
        <v>73</v>
      </c>
      <c r="C74" s="678" t="s">
        <v>823</v>
      </c>
      <c r="D74" s="708">
        <v>2120</v>
      </c>
      <c r="E74" s="1132">
        <f>D74+12233+74</f>
        <v>14427</v>
      </c>
      <c r="F74" s="1132">
        <f>400+2437+12233-650</f>
        <v>14420</v>
      </c>
      <c r="G74" s="1131">
        <f t="shared" si="6"/>
        <v>0.99951479864143622</v>
      </c>
    </row>
    <row r="75" spans="1:7" ht="12" customHeight="1" x14ac:dyDescent="0.2">
      <c r="A75" s="251"/>
      <c r="B75" s="150" t="s">
        <v>74</v>
      </c>
      <c r="C75" s="678" t="s">
        <v>1039</v>
      </c>
      <c r="D75" s="708">
        <v>1000</v>
      </c>
      <c r="E75" s="1132">
        <f>D75-150</f>
        <v>850</v>
      </c>
      <c r="F75" s="1132">
        <v>650</v>
      </c>
      <c r="G75" s="1131">
        <f t="shared" si="6"/>
        <v>0.76470588235294112</v>
      </c>
    </row>
    <row r="76" spans="1:7" ht="12" customHeight="1" x14ac:dyDescent="0.2">
      <c r="A76" s="251"/>
      <c r="B76" s="150" t="s">
        <v>75</v>
      </c>
      <c r="C76" s="569" t="s">
        <v>824</v>
      </c>
      <c r="D76" s="708"/>
      <c r="E76" s="1134"/>
      <c r="F76" s="1134"/>
      <c r="G76" s="1077"/>
    </row>
    <row r="77" spans="1:7" ht="12" customHeight="1" x14ac:dyDescent="0.2">
      <c r="A77" s="251"/>
      <c r="B77" s="150" t="s">
        <v>77</v>
      </c>
      <c r="C77" s="570" t="s">
        <v>825</v>
      </c>
      <c r="D77" s="708"/>
      <c r="E77" s="1134"/>
      <c r="F77" s="1134"/>
      <c r="G77" s="1077"/>
    </row>
    <row r="78" spans="1:7" ht="12" customHeight="1" thickBot="1" x14ac:dyDescent="0.25">
      <c r="A78" s="252"/>
      <c r="B78" s="170" t="s">
        <v>167</v>
      </c>
      <c r="C78" s="571" t="s">
        <v>973</v>
      </c>
      <c r="D78" s="710"/>
      <c r="E78" s="1128"/>
      <c r="F78" s="1128"/>
      <c r="G78" s="1085"/>
    </row>
    <row r="79" spans="1:7" ht="12" customHeight="1" thickBot="1" x14ac:dyDescent="0.25">
      <c r="A79" s="209" t="s">
        <v>886</v>
      </c>
      <c r="B79" s="24"/>
      <c r="C79" s="558" t="s">
        <v>839</v>
      </c>
      <c r="D79" s="547">
        <f>SUM(D80:D81)</f>
        <v>34550</v>
      </c>
      <c r="E79" s="1116">
        <f>SUM(E80:E81)</f>
        <v>98114</v>
      </c>
      <c r="F79" s="1116">
        <f>SUM(F80:F81)</f>
        <v>38691</v>
      </c>
      <c r="G79" s="1110">
        <f>F79/E79</f>
        <v>0.39434739180952771</v>
      </c>
    </row>
    <row r="80" spans="1:7" s="99" customFormat="1" ht="12" customHeight="1" x14ac:dyDescent="0.2">
      <c r="A80" s="250"/>
      <c r="B80" s="166" t="s">
        <v>63</v>
      </c>
      <c r="C80" s="679" t="s">
        <v>826</v>
      </c>
      <c r="D80" s="661">
        <f>'5.sz.mell.'!D47/1000</f>
        <v>32500</v>
      </c>
      <c r="E80" s="1127">
        <f>'5.sz.mell.'!E47/1000</f>
        <v>84624</v>
      </c>
      <c r="F80" s="1127">
        <v>24875</v>
      </c>
      <c r="G80" s="1136">
        <f>F80/E80</f>
        <v>0.2939473435432029</v>
      </c>
    </row>
    <row r="81" spans="1:7" ht="12" customHeight="1" x14ac:dyDescent="0.2">
      <c r="A81" s="251"/>
      <c r="B81" s="150" t="s">
        <v>64</v>
      </c>
      <c r="C81" s="680" t="s">
        <v>168</v>
      </c>
      <c r="D81" s="662">
        <f>'6.sz.mell.'!D28/1000</f>
        <v>2050</v>
      </c>
      <c r="E81" s="1127">
        <f>'6.sz.mell.'!E28/1000</f>
        <v>13490</v>
      </c>
      <c r="F81" s="1127">
        <v>13816</v>
      </c>
      <c r="G81" s="1136">
        <f>F81/E81</f>
        <v>1.0241660489251296</v>
      </c>
    </row>
    <row r="82" spans="1:7" ht="12" customHeight="1" x14ac:dyDescent="0.2">
      <c r="A82" s="251"/>
      <c r="B82" s="150" t="s">
        <v>65</v>
      </c>
      <c r="C82" s="680" t="s">
        <v>280</v>
      </c>
      <c r="D82" s="662"/>
      <c r="E82" s="1117"/>
      <c r="F82" s="1117"/>
      <c r="G82" s="1077"/>
    </row>
    <row r="83" spans="1:7" ht="12" customHeight="1" x14ac:dyDescent="0.2">
      <c r="A83" s="251"/>
      <c r="B83" s="150" t="s">
        <v>66</v>
      </c>
      <c r="C83" s="680" t="s">
        <v>827</v>
      </c>
      <c r="D83" s="662"/>
      <c r="E83" s="1117"/>
      <c r="F83" s="1117"/>
      <c r="G83" s="1077"/>
    </row>
    <row r="84" spans="1:7" ht="12" customHeight="1" x14ac:dyDescent="0.2">
      <c r="A84" s="251"/>
      <c r="B84" s="150" t="s">
        <v>67</v>
      </c>
      <c r="C84" s="678" t="s">
        <v>832</v>
      </c>
      <c r="D84" s="662"/>
      <c r="E84" s="1117"/>
      <c r="F84" s="1117"/>
      <c r="G84" s="1077"/>
    </row>
    <row r="85" spans="1:7" ht="12" customHeight="1" x14ac:dyDescent="0.2">
      <c r="A85" s="251"/>
      <c r="B85" s="150" t="s">
        <v>76</v>
      </c>
      <c r="C85" s="678" t="s">
        <v>831</v>
      </c>
      <c r="D85" s="662"/>
      <c r="E85" s="1117"/>
      <c r="F85" s="1117"/>
      <c r="G85" s="1077"/>
    </row>
    <row r="86" spans="1:7" ht="12" customHeight="1" x14ac:dyDescent="0.2">
      <c r="A86" s="251"/>
      <c r="B86" s="150" t="s">
        <v>78</v>
      </c>
      <c r="C86" s="678" t="s">
        <v>830</v>
      </c>
      <c r="D86" s="662"/>
      <c r="E86" s="1117"/>
      <c r="F86" s="1117"/>
      <c r="G86" s="1077"/>
    </row>
    <row r="87" spans="1:7" s="99" customFormat="1" ht="12" customHeight="1" x14ac:dyDescent="0.2">
      <c r="A87" s="251"/>
      <c r="B87" s="150" t="s">
        <v>169</v>
      </c>
      <c r="C87" s="678" t="s">
        <v>829</v>
      </c>
      <c r="D87" s="662"/>
      <c r="E87" s="1117"/>
      <c r="F87" s="1117"/>
      <c r="G87" s="1077"/>
    </row>
    <row r="88" spans="1:7" ht="23.25" customHeight="1" x14ac:dyDescent="0.2">
      <c r="A88" s="251"/>
      <c r="B88" s="150" t="s">
        <v>170</v>
      </c>
      <c r="C88" s="678" t="s">
        <v>828</v>
      </c>
      <c r="D88" s="662"/>
      <c r="E88" s="1117"/>
      <c r="F88" s="1117"/>
      <c r="G88" s="1077"/>
    </row>
    <row r="89" spans="1:7" ht="34.5" thickBot="1" x14ac:dyDescent="0.25">
      <c r="A89" s="251"/>
      <c r="B89" s="150" t="s">
        <v>171</v>
      </c>
      <c r="C89" s="681" t="s">
        <v>833</v>
      </c>
      <c r="D89" s="662"/>
      <c r="E89" s="1117"/>
      <c r="F89" s="1117"/>
      <c r="G89" s="1077"/>
    </row>
    <row r="90" spans="1:7" ht="12" customHeight="1" thickBot="1" x14ac:dyDescent="0.25">
      <c r="A90" s="369" t="s">
        <v>887</v>
      </c>
      <c r="B90" s="26"/>
      <c r="C90" s="682" t="s">
        <v>834</v>
      </c>
      <c r="D90" s="1046">
        <f>SUM(D91:D92)</f>
        <v>25616</v>
      </c>
      <c r="E90" s="1116">
        <f>SUM(E91:E92)</f>
        <v>121090</v>
      </c>
      <c r="F90" s="1116"/>
      <c r="G90" s="1075"/>
    </row>
    <row r="91" spans="1:7" s="99" customFormat="1" ht="12" customHeight="1" x14ac:dyDescent="0.2">
      <c r="A91" s="370"/>
      <c r="B91" s="167" t="s">
        <v>37</v>
      </c>
      <c r="C91" s="683" t="s">
        <v>3</v>
      </c>
      <c r="D91" s="711">
        <v>17116</v>
      </c>
      <c r="E91" s="715">
        <f>D91+56367+618-57169+35078</f>
        <v>52010</v>
      </c>
      <c r="F91" s="1129"/>
      <c r="G91" s="1050"/>
    </row>
    <row r="92" spans="1:7" s="99" customFormat="1" ht="12" customHeight="1" thickBot="1" x14ac:dyDescent="0.25">
      <c r="A92" s="371"/>
      <c r="B92" s="168" t="s">
        <v>38</v>
      </c>
      <c r="C92" s="684" t="s">
        <v>976</v>
      </c>
      <c r="D92" s="714">
        <v>8500</v>
      </c>
      <c r="E92" s="1119">
        <f>D92+60180+400</f>
        <v>69080</v>
      </c>
      <c r="F92" s="1119"/>
      <c r="G92" s="1080"/>
    </row>
    <row r="93" spans="1:7" s="99" customFormat="1" ht="12" customHeight="1" thickBot="1" x14ac:dyDescent="0.25">
      <c r="A93" s="373" t="s">
        <v>888</v>
      </c>
      <c r="B93" s="374"/>
      <c r="C93" s="685" t="s">
        <v>285</v>
      </c>
      <c r="D93" s="1047"/>
      <c r="E93" s="1130"/>
      <c r="F93" s="1130"/>
      <c r="G93" s="1087"/>
    </row>
    <row r="94" spans="1:7" s="99" customFormat="1" ht="12" customHeight="1" thickBot="1" x14ac:dyDescent="0.25">
      <c r="A94" s="209" t="s">
        <v>889</v>
      </c>
      <c r="B94" s="182"/>
      <c r="C94" s="686" t="s">
        <v>235</v>
      </c>
      <c r="D94" s="666">
        <f>'9. sz. mell.'!D25+'10. sz. mell.'!D25</f>
        <v>146662</v>
      </c>
      <c r="E94" s="1123">
        <f>'9. sz. mell.'!E25+'10. sz. mell.'!E25</f>
        <v>153829</v>
      </c>
      <c r="F94" s="1123">
        <v>148775</v>
      </c>
      <c r="G94" s="1137">
        <f>F94/E94</f>
        <v>0.96714533670504266</v>
      </c>
    </row>
    <row r="95" spans="1:7" s="99" customFormat="1" ht="12" customHeight="1" thickBot="1" x14ac:dyDescent="0.25">
      <c r="A95" s="209" t="s">
        <v>890</v>
      </c>
      <c r="B95" s="24"/>
      <c r="C95" s="687" t="s">
        <v>835</v>
      </c>
      <c r="D95" s="1048">
        <f>D65+D79+D90+D93+D94</f>
        <v>344217</v>
      </c>
      <c r="E95" s="1088">
        <f>E65+E79+E90+E93+E94</f>
        <v>556948</v>
      </c>
      <c r="F95" s="1088">
        <f>F65+F79+F90+F93+F94</f>
        <v>358649</v>
      </c>
      <c r="G95" s="1137">
        <f>F95/E95</f>
        <v>0.64395419321013814</v>
      </c>
    </row>
    <row r="96" spans="1:7" s="99" customFormat="1" ht="12" customHeight="1" thickBot="1" x14ac:dyDescent="0.25">
      <c r="A96" s="209" t="s">
        <v>891</v>
      </c>
      <c r="B96" s="24"/>
      <c r="C96" s="687" t="s">
        <v>838</v>
      </c>
      <c r="D96" s="547"/>
      <c r="E96" s="1116">
        <f>SUM(E97:E98)</f>
        <v>17821</v>
      </c>
      <c r="F96" s="1116">
        <f>SUM(F97:F98)</f>
        <v>17822</v>
      </c>
      <c r="G96" s="1137">
        <f>F96/E96</f>
        <v>1.0000561135738735</v>
      </c>
    </row>
    <row r="97" spans="1:7" ht="12.75" customHeight="1" x14ac:dyDescent="0.2">
      <c r="A97" s="250"/>
      <c r="B97" s="150" t="s">
        <v>234</v>
      </c>
      <c r="C97" s="679" t="s">
        <v>837</v>
      </c>
      <c r="D97" s="715"/>
      <c r="E97" s="1127">
        <f>6704+11117</f>
        <v>17821</v>
      </c>
      <c r="F97" s="1127">
        <v>17822</v>
      </c>
      <c r="G97" s="1136">
        <f>F97/E97</f>
        <v>1.0000561135738735</v>
      </c>
    </row>
    <row r="98" spans="1:7" ht="12" customHeight="1" thickBot="1" x14ac:dyDescent="0.25">
      <c r="A98" s="252"/>
      <c r="B98" s="170" t="s">
        <v>52</v>
      </c>
      <c r="C98" s="688" t="s">
        <v>836</v>
      </c>
      <c r="D98" s="710"/>
      <c r="E98" s="1128"/>
      <c r="F98" s="1128"/>
      <c r="G98" s="1085"/>
    </row>
    <row r="99" spans="1:7" ht="13.5" thickBot="1" x14ac:dyDescent="0.25">
      <c r="A99" s="209" t="s">
        <v>892</v>
      </c>
      <c r="B99" s="237"/>
      <c r="C99" s="687" t="s">
        <v>296</v>
      </c>
      <c r="D99" s="713"/>
      <c r="E99" s="1116"/>
      <c r="F99" s="1116"/>
      <c r="G99" s="1075"/>
    </row>
    <row r="100" spans="1:7" ht="15" customHeight="1" thickBot="1" x14ac:dyDescent="0.25">
      <c r="A100" s="209" t="s">
        <v>893</v>
      </c>
      <c r="B100" s="237"/>
      <c r="C100" s="687" t="s">
        <v>936</v>
      </c>
      <c r="D100" s="713">
        <f>D95+D96+D99</f>
        <v>344217</v>
      </c>
      <c r="E100" s="1116">
        <f>E95+E96+E99</f>
        <v>574769</v>
      </c>
      <c r="F100" s="1116">
        <f>F95+F96+F99</f>
        <v>376471</v>
      </c>
      <c r="G100" s="1110">
        <f>F100/E100</f>
        <v>0.65499531115978771</v>
      </c>
    </row>
    <row r="101" spans="1:7" ht="15" hidden="1" customHeight="1" thickBot="1" x14ac:dyDescent="0.25">
      <c r="A101" s="256" t="s">
        <v>208</v>
      </c>
      <c r="B101" s="257"/>
      <c r="C101" s="258"/>
    </row>
    <row r="102" spans="1:7" ht="14.25" hidden="1" customHeight="1" thickBot="1" x14ac:dyDescent="0.25">
      <c r="A102" s="256" t="s">
        <v>209</v>
      </c>
      <c r="B102" s="257"/>
      <c r="C102" s="258"/>
    </row>
    <row r="103" spans="1:7" hidden="1" x14ac:dyDescent="0.2"/>
    <row r="107" spans="1:7" x14ac:dyDescent="0.2">
      <c r="E107" s="1081"/>
    </row>
    <row r="111" spans="1:7" x14ac:dyDescent="0.2">
      <c r="E111" s="1081"/>
    </row>
    <row r="112" spans="1:7" x14ac:dyDescent="0.2">
      <c r="E112" s="1081"/>
    </row>
    <row r="113" spans="5:5" x14ac:dyDescent="0.2">
      <c r="E113" s="1081"/>
    </row>
    <row r="114" spans="5:5" x14ac:dyDescent="0.2">
      <c r="E114" s="1081"/>
    </row>
    <row r="115" spans="5:5" x14ac:dyDescent="0.2">
      <c r="E115" s="1081"/>
    </row>
    <row r="116" spans="5:5" x14ac:dyDescent="0.2">
      <c r="E116" s="1081"/>
    </row>
  </sheetData>
  <sheetProtection formatCells="0"/>
  <mergeCells count="5">
    <mergeCell ref="A2:B2"/>
    <mergeCell ref="A5:B5"/>
    <mergeCell ref="A62:B62"/>
    <mergeCell ref="C2:G2"/>
    <mergeCell ref="C62:G6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CE,Félkövér"&amp;11 8. melléklet a 4/2018. (IV.27.) önkormányzati rendelethez</oddHeader>
  </headerFooter>
  <rowBreaks count="1" manualBreakCount="1">
    <brk id="61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4" customWidth="1"/>
    <col min="2" max="2" width="9.6640625" style="255" customWidth="1"/>
    <col min="3" max="3" width="72" style="255" customWidth="1"/>
    <col min="4" max="4" width="25" style="255" customWidth="1"/>
    <col min="5" max="16384" width="9.33203125" style="4"/>
  </cols>
  <sheetData>
    <row r="1" spans="1:4" s="2" customFormat="1" ht="21" customHeight="1" thickBot="1" x14ac:dyDescent="0.25">
      <c r="A1" s="214"/>
      <c r="B1" s="215"/>
      <c r="C1" s="216"/>
      <c r="D1" s="261" t="s">
        <v>841</v>
      </c>
    </row>
    <row r="2" spans="1:4" s="95" customFormat="1" ht="25.5" customHeight="1" x14ac:dyDescent="0.2">
      <c r="A2" s="1316" t="s">
        <v>204</v>
      </c>
      <c r="B2" s="1317"/>
      <c r="C2" s="372" t="s">
        <v>211</v>
      </c>
      <c r="D2" s="392" t="s">
        <v>7</v>
      </c>
    </row>
    <row r="3" spans="1:4" s="95" customFormat="1" ht="16.5" hidden="1" thickBot="1" x14ac:dyDescent="0.25">
      <c r="A3" s="217" t="s">
        <v>203</v>
      </c>
      <c r="B3" s="218"/>
      <c r="C3" s="393" t="s">
        <v>213</v>
      </c>
      <c r="D3" s="394" t="s">
        <v>236</v>
      </c>
    </row>
    <row r="4" spans="1:4" s="96" customFormat="1" ht="15.95" customHeight="1" thickBot="1" x14ac:dyDescent="0.3">
      <c r="A4" s="219"/>
      <c r="B4" s="219"/>
      <c r="C4" s="219"/>
      <c r="D4" s="220" t="s">
        <v>923</v>
      </c>
    </row>
    <row r="5" spans="1:4" ht="13.5" thickBot="1" x14ac:dyDescent="0.25">
      <c r="A5" s="1310" t="s">
        <v>205</v>
      </c>
      <c r="B5" s="1311"/>
      <c r="C5" s="221" t="s">
        <v>924</v>
      </c>
      <c r="D5" s="222" t="s">
        <v>925</v>
      </c>
    </row>
    <row r="6" spans="1:4" s="53" customFormat="1" ht="12.95" customHeight="1" thickBot="1" x14ac:dyDescent="0.25">
      <c r="A6" s="201">
        <v>1</v>
      </c>
      <c r="B6" s="202">
        <v>2</v>
      </c>
      <c r="C6" s="202">
        <v>3</v>
      </c>
      <c r="D6" s="203">
        <v>4</v>
      </c>
    </row>
    <row r="7" spans="1:4" s="53" customFormat="1" ht="15.95" customHeight="1" thickBot="1" x14ac:dyDescent="0.25">
      <c r="A7" s="223"/>
      <c r="B7" s="224"/>
      <c r="C7" s="224" t="s">
        <v>926</v>
      </c>
      <c r="D7" s="225"/>
    </row>
    <row r="8" spans="1:4" s="97" customFormat="1" ht="12" customHeight="1" thickBot="1" x14ac:dyDescent="0.25">
      <c r="A8" s="201" t="s">
        <v>885</v>
      </c>
      <c r="B8" s="226"/>
      <c r="C8" s="227" t="s">
        <v>210</v>
      </c>
      <c r="D8" s="337">
        <f>SUM(D9:D16)</f>
        <v>0</v>
      </c>
    </row>
    <row r="9" spans="1:4" s="97" customFormat="1" ht="12" customHeight="1" x14ac:dyDescent="0.2">
      <c r="A9" s="230"/>
      <c r="B9" s="229" t="s">
        <v>57</v>
      </c>
      <c r="C9" s="12" t="s">
        <v>133</v>
      </c>
      <c r="D9" s="375"/>
    </row>
    <row r="10" spans="1:4" s="97" customFormat="1" ht="12" customHeight="1" x14ac:dyDescent="0.2">
      <c r="A10" s="228"/>
      <c r="B10" s="229" t="s">
        <v>58</v>
      </c>
      <c r="C10" s="9" t="s">
        <v>134</v>
      </c>
      <c r="D10" s="335"/>
    </row>
    <row r="11" spans="1:4" s="97" customFormat="1" ht="12" customHeight="1" x14ac:dyDescent="0.2">
      <c r="A11" s="228"/>
      <c r="B11" s="229" t="s">
        <v>59</v>
      </c>
      <c r="C11" s="9" t="s">
        <v>135</v>
      </c>
      <c r="D11" s="335"/>
    </row>
    <row r="12" spans="1:4" s="97" customFormat="1" ht="12" customHeight="1" x14ac:dyDescent="0.2">
      <c r="A12" s="228"/>
      <c r="B12" s="229" t="s">
        <v>60</v>
      </c>
      <c r="C12" s="9" t="s">
        <v>136</v>
      </c>
      <c r="D12" s="335"/>
    </row>
    <row r="13" spans="1:4" s="97" customFormat="1" ht="12" customHeight="1" x14ac:dyDescent="0.2">
      <c r="A13" s="228"/>
      <c r="B13" s="229" t="s">
        <v>91</v>
      </c>
      <c r="C13" s="8" t="s">
        <v>137</v>
      </c>
      <c r="D13" s="335"/>
    </row>
    <row r="14" spans="1:4" s="97" customFormat="1" ht="12" customHeight="1" x14ac:dyDescent="0.2">
      <c r="A14" s="231"/>
      <c r="B14" s="229" t="s">
        <v>61</v>
      </c>
      <c r="C14" s="9" t="s">
        <v>138</v>
      </c>
      <c r="D14" s="376"/>
    </row>
    <row r="15" spans="1:4" s="98" customFormat="1" ht="12" customHeight="1" x14ac:dyDescent="0.2">
      <c r="A15" s="228"/>
      <c r="B15" s="229" t="s">
        <v>62</v>
      </c>
      <c r="C15" s="9" t="s">
        <v>845</v>
      </c>
      <c r="D15" s="335"/>
    </row>
    <row r="16" spans="1:4" s="98" customFormat="1" ht="12" customHeight="1" thickBot="1" x14ac:dyDescent="0.25">
      <c r="A16" s="232"/>
      <c r="B16" s="233" t="s">
        <v>72</v>
      </c>
      <c r="C16" s="8" t="s">
        <v>197</v>
      </c>
      <c r="D16" s="336"/>
    </row>
    <row r="17" spans="1:4" s="97" customFormat="1" ht="12" customHeight="1" thickBot="1" x14ac:dyDescent="0.25">
      <c r="A17" s="201" t="s">
        <v>886</v>
      </c>
      <c r="B17" s="226"/>
      <c r="C17" s="227" t="s">
        <v>846</v>
      </c>
      <c r="D17" s="337">
        <f>SUM(D18:D21)</f>
        <v>0</v>
      </c>
    </row>
    <row r="18" spans="1:4" s="98" customFormat="1" ht="12" customHeight="1" x14ac:dyDescent="0.2">
      <c r="A18" s="228"/>
      <c r="B18" s="229" t="s">
        <v>63</v>
      </c>
      <c r="C18" s="11" t="s">
        <v>842</v>
      </c>
      <c r="D18" s="335"/>
    </row>
    <row r="19" spans="1:4" s="98" customFormat="1" ht="12" customHeight="1" x14ac:dyDescent="0.2">
      <c r="A19" s="228"/>
      <c r="B19" s="229" t="s">
        <v>64</v>
      </c>
      <c r="C19" s="9" t="s">
        <v>843</v>
      </c>
      <c r="D19" s="335"/>
    </row>
    <row r="20" spans="1:4" s="98" customFormat="1" ht="12" customHeight="1" x14ac:dyDescent="0.2">
      <c r="A20" s="228"/>
      <c r="B20" s="229" t="s">
        <v>65</v>
      </c>
      <c r="C20" s="9" t="s">
        <v>844</v>
      </c>
      <c r="D20" s="335"/>
    </row>
    <row r="21" spans="1:4" s="98" customFormat="1" ht="12" customHeight="1" thickBot="1" x14ac:dyDescent="0.25">
      <c r="A21" s="228"/>
      <c r="B21" s="229" t="s">
        <v>66</v>
      </c>
      <c r="C21" s="9" t="s">
        <v>843</v>
      </c>
      <c r="D21" s="335"/>
    </row>
    <row r="22" spans="1:4" s="98" customFormat="1" ht="12" customHeight="1" thickBot="1" x14ac:dyDescent="0.25">
      <c r="A22" s="209" t="s">
        <v>887</v>
      </c>
      <c r="B22" s="126"/>
      <c r="C22" s="126" t="s">
        <v>847</v>
      </c>
      <c r="D22" s="337">
        <f>+D23+D24</f>
        <v>0</v>
      </c>
    </row>
    <row r="23" spans="1:4" s="98" customFormat="1" ht="12" customHeight="1" x14ac:dyDescent="0.2">
      <c r="A23" s="370"/>
      <c r="B23" s="391" t="s">
        <v>37</v>
      </c>
      <c r="C23" s="142" t="s">
        <v>247</v>
      </c>
      <c r="D23" s="397"/>
    </row>
    <row r="24" spans="1:4" s="98" customFormat="1" ht="12" customHeight="1" thickBot="1" x14ac:dyDescent="0.25">
      <c r="A24" s="389"/>
      <c r="B24" s="390" t="s">
        <v>38</v>
      </c>
      <c r="C24" s="143" t="s">
        <v>251</v>
      </c>
      <c r="D24" s="398"/>
    </row>
    <row r="25" spans="1:4" s="98" customFormat="1" ht="12" customHeight="1" thickBot="1" x14ac:dyDescent="0.25">
      <c r="A25" s="209" t="s">
        <v>888</v>
      </c>
      <c r="B25" s="126"/>
      <c r="C25" s="126" t="s">
        <v>237</v>
      </c>
      <c r="D25" s="356"/>
    </row>
    <row r="26" spans="1:4" s="97" customFormat="1" ht="12" customHeight="1" thickBot="1" x14ac:dyDescent="0.25">
      <c r="A26" s="209" t="s">
        <v>889</v>
      </c>
      <c r="B26" s="226"/>
      <c r="C26" s="126" t="s">
        <v>848</v>
      </c>
      <c r="D26" s="356"/>
    </row>
    <row r="27" spans="1:4" s="97" customFormat="1" ht="12" customHeight="1" thickBot="1" x14ac:dyDescent="0.25">
      <c r="A27" s="201" t="s">
        <v>890</v>
      </c>
      <c r="B27" s="169"/>
      <c r="C27" s="126" t="s">
        <v>853</v>
      </c>
      <c r="D27" s="378">
        <f>+D8+D17+D22+D25+D26</f>
        <v>0</v>
      </c>
    </row>
    <row r="28" spans="1:4" s="97" customFormat="1" ht="12" customHeight="1" thickBot="1" x14ac:dyDescent="0.25">
      <c r="A28" s="386" t="s">
        <v>891</v>
      </c>
      <c r="B28" s="395"/>
      <c r="C28" s="388" t="s">
        <v>849</v>
      </c>
      <c r="D28" s="399">
        <f>+D29+D30</f>
        <v>0</v>
      </c>
    </row>
    <row r="29" spans="1:4" s="97" customFormat="1" ht="12" customHeight="1" x14ac:dyDescent="0.2">
      <c r="A29" s="230"/>
      <c r="B29" s="167" t="s">
        <v>51</v>
      </c>
      <c r="C29" s="142" t="s">
        <v>354</v>
      </c>
      <c r="D29" s="397"/>
    </row>
    <row r="30" spans="1:4" s="98" customFormat="1" ht="12" customHeight="1" thickBot="1" x14ac:dyDescent="0.25">
      <c r="A30" s="396"/>
      <c r="B30" s="168" t="s">
        <v>52</v>
      </c>
      <c r="C30" s="387" t="s">
        <v>850</v>
      </c>
      <c r="D30" s="91"/>
    </row>
    <row r="31" spans="1:4" s="98" customFormat="1" ht="12" customHeight="1" thickBot="1" x14ac:dyDescent="0.25">
      <c r="A31" s="240" t="s">
        <v>892</v>
      </c>
      <c r="B31" s="384"/>
      <c r="C31" s="385" t="s">
        <v>851</v>
      </c>
      <c r="D31" s="377"/>
    </row>
    <row r="32" spans="1:4" s="98" customFormat="1" ht="15" customHeight="1" thickBot="1" x14ac:dyDescent="0.25">
      <c r="A32" s="240" t="s">
        <v>893</v>
      </c>
      <c r="B32" s="241"/>
      <c r="C32" s="242" t="s">
        <v>852</v>
      </c>
      <c r="D32" s="381">
        <f>+D27+D28+D31</f>
        <v>0</v>
      </c>
    </row>
    <row r="33" spans="1:4" s="98" customFormat="1" ht="15" customHeight="1" x14ac:dyDescent="0.2">
      <c r="A33" s="243"/>
      <c r="B33" s="243"/>
      <c r="C33" s="244"/>
      <c r="D33" s="379"/>
    </row>
    <row r="34" spans="1:4" ht="13.5" thickBot="1" x14ac:dyDescent="0.25">
      <c r="A34" s="245"/>
      <c r="B34" s="246"/>
      <c r="C34" s="246"/>
      <c r="D34" s="380"/>
    </row>
    <row r="35" spans="1:4" s="53" customFormat="1" ht="16.5" customHeight="1" thickBot="1" x14ac:dyDescent="0.25">
      <c r="A35" s="247"/>
      <c r="B35" s="248"/>
      <c r="C35" s="249" t="s">
        <v>1</v>
      </c>
      <c r="D35" s="381"/>
    </row>
    <row r="36" spans="1:4" s="99" customFormat="1" ht="12" customHeight="1" thickBot="1" x14ac:dyDescent="0.25">
      <c r="A36" s="209" t="s">
        <v>885</v>
      </c>
      <c r="B36" s="24"/>
      <c r="C36" s="126" t="s">
        <v>840</v>
      </c>
      <c r="D36" s="337">
        <f>SUM(D37:D41)</f>
        <v>0</v>
      </c>
    </row>
    <row r="37" spans="1:4" ht="12" customHeight="1" x14ac:dyDescent="0.2">
      <c r="A37" s="250"/>
      <c r="B37" s="166" t="s">
        <v>57</v>
      </c>
      <c r="C37" s="11" t="s">
        <v>916</v>
      </c>
      <c r="D37" s="84"/>
    </row>
    <row r="38" spans="1:4" ht="12" customHeight="1" x14ac:dyDescent="0.2">
      <c r="A38" s="251"/>
      <c r="B38" s="150" t="s">
        <v>58</v>
      </c>
      <c r="C38" s="9" t="s">
        <v>164</v>
      </c>
      <c r="D38" s="87"/>
    </row>
    <row r="39" spans="1:4" ht="12" customHeight="1" x14ac:dyDescent="0.2">
      <c r="A39" s="251"/>
      <c r="B39" s="150" t="s">
        <v>59</v>
      </c>
      <c r="C39" s="9" t="s">
        <v>88</v>
      </c>
      <c r="D39" s="87"/>
    </row>
    <row r="40" spans="1:4" ht="12" customHeight="1" x14ac:dyDescent="0.2">
      <c r="A40" s="251"/>
      <c r="B40" s="150" t="s">
        <v>60</v>
      </c>
      <c r="C40" s="9" t="s">
        <v>165</v>
      </c>
      <c r="D40" s="87"/>
    </row>
    <row r="41" spans="1:4" ht="12" customHeight="1" thickBot="1" x14ac:dyDescent="0.25">
      <c r="A41" s="251"/>
      <c r="B41" s="150" t="s">
        <v>71</v>
      </c>
      <c r="C41" s="9" t="s">
        <v>166</v>
      </c>
      <c r="D41" s="87"/>
    </row>
    <row r="42" spans="1:4" ht="12" customHeight="1" thickBot="1" x14ac:dyDescent="0.25">
      <c r="A42" s="209" t="s">
        <v>886</v>
      </c>
      <c r="B42" s="24"/>
      <c r="C42" s="126" t="s">
        <v>857</v>
      </c>
      <c r="D42" s="337">
        <f>SUM(D43:D46)</f>
        <v>0</v>
      </c>
    </row>
    <row r="43" spans="1:4" s="99" customFormat="1" ht="12" customHeight="1" x14ac:dyDescent="0.2">
      <c r="A43" s="250"/>
      <c r="B43" s="166" t="s">
        <v>63</v>
      </c>
      <c r="C43" s="11" t="s">
        <v>279</v>
      </c>
      <c r="D43" s="84"/>
    </row>
    <row r="44" spans="1:4" ht="12" customHeight="1" x14ac:dyDescent="0.2">
      <c r="A44" s="251"/>
      <c r="B44" s="150" t="s">
        <v>64</v>
      </c>
      <c r="C44" s="9" t="s">
        <v>168</v>
      </c>
      <c r="D44" s="87"/>
    </row>
    <row r="45" spans="1:4" ht="12" customHeight="1" x14ac:dyDescent="0.2">
      <c r="A45" s="251"/>
      <c r="B45" s="150" t="s">
        <v>67</v>
      </c>
      <c r="C45" s="9" t="s">
        <v>2</v>
      </c>
      <c r="D45" s="87"/>
    </row>
    <row r="46" spans="1:4" ht="12" customHeight="1" thickBot="1" x14ac:dyDescent="0.25">
      <c r="A46" s="251"/>
      <c r="B46" s="150" t="s">
        <v>78</v>
      </c>
      <c r="C46" s="9" t="s">
        <v>854</v>
      </c>
      <c r="D46" s="87"/>
    </row>
    <row r="47" spans="1:4" ht="12" customHeight="1" thickBot="1" x14ac:dyDescent="0.25">
      <c r="A47" s="209" t="s">
        <v>887</v>
      </c>
      <c r="B47" s="24"/>
      <c r="C47" s="24" t="s">
        <v>855</v>
      </c>
      <c r="D47" s="356"/>
    </row>
    <row r="48" spans="1:4" s="98" customFormat="1" ht="12" customHeight="1" thickBot="1" x14ac:dyDescent="0.25">
      <c r="A48" s="240" t="s">
        <v>888</v>
      </c>
      <c r="B48" s="384"/>
      <c r="C48" s="385" t="s">
        <v>858</v>
      </c>
      <c r="D48" s="377"/>
    </row>
    <row r="49" spans="1:4" ht="15" customHeight="1" thickBot="1" x14ac:dyDescent="0.25">
      <c r="A49" s="209" t="s">
        <v>889</v>
      </c>
      <c r="B49" s="237"/>
      <c r="C49" s="253" t="s">
        <v>856</v>
      </c>
      <c r="D49" s="382">
        <f>+D36+D42+D47+D48</f>
        <v>0</v>
      </c>
    </row>
    <row r="50" spans="1:4" ht="13.5" thickBot="1" x14ac:dyDescent="0.25">
      <c r="D50" s="383"/>
    </row>
    <row r="51" spans="1:4" ht="15" customHeight="1" thickBot="1" x14ac:dyDescent="0.25">
      <c r="A51" s="256" t="s">
        <v>208</v>
      </c>
      <c r="B51" s="257"/>
      <c r="C51" s="258"/>
      <c r="D51" s="124"/>
    </row>
    <row r="52" spans="1:4" ht="14.25" customHeight="1" thickBot="1" x14ac:dyDescent="0.25">
      <c r="A52" s="256" t="s">
        <v>209</v>
      </c>
      <c r="B52" s="257"/>
      <c r="C52" s="258"/>
      <c r="D52" s="124"/>
    </row>
  </sheetData>
  <sheetProtection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4"/>
      <c r="B1" s="215"/>
      <c r="C1" s="262"/>
      <c r="D1" s="261" t="s">
        <v>400</v>
      </c>
    </row>
    <row r="2" spans="1:4" s="95" customFormat="1" ht="25.5" customHeight="1" x14ac:dyDescent="0.2">
      <c r="A2" s="1316" t="s">
        <v>204</v>
      </c>
      <c r="B2" s="1317"/>
      <c r="C2" s="259" t="s">
        <v>211</v>
      </c>
      <c r="D2" s="263" t="s">
        <v>7</v>
      </c>
    </row>
    <row r="3" spans="1:4" s="95" customFormat="1" ht="16.5" thickBot="1" x14ac:dyDescent="0.25">
      <c r="A3" s="217" t="s">
        <v>203</v>
      </c>
      <c r="B3" s="218"/>
      <c r="C3" s="260" t="s">
        <v>5</v>
      </c>
      <c r="D3" s="264" t="s">
        <v>921</v>
      </c>
    </row>
    <row r="4" spans="1:4" s="96" customFormat="1" ht="15.95" customHeight="1" thickBot="1" x14ac:dyDescent="0.3">
      <c r="A4" s="219"/>
      <c r="B4" s="219"/>
      <c r="C4" s="219"/>
      <c r="D4" s="220" t="s">
        <v>923</v>
      </c>
    </row>
    <row r="5" spans="1:4" ht="13.5" thickBot="1" x14ac:dyDescent="0.25">
      <c r="A5" s="1310" t="s">
        <v>205</v>
      </c>
      <c r="B5" s="1311"/>
      <c r="C5" s="221" t="s">
        <v>924</v>
      </c>
      <c r="D5" s="222" t="s">
        <v>925</v>
      </c>
    </row>
    <row r="6" spans="1:4" s="53" customFormat="1" ht="12.95" customHeight="1" thickBot="1" x14ac:dyDescent="0.25">
      <c r="A6" s="201">
        <v>1</v>
      </c>
      <c r="B6" s="202">
        <v>2</v>
      </c>
      <c r="C6" s="202">
        <v>3</v>
      </c>
      <c r="D6" s="203">
        <v>4</v>
      </c>
    </row>
    <row r="7" spans="1:4" s="53" customFormat="1" ht="15.95" customHeight="1" thickBot="1" x14ac:dyDescent="0.25">
      <c r="A7" s="223"/>
      <c r="B7" s="224"/>
      <c r="C7" s="224" t="s">
        <v>926</v>
      </c>
      <c r="D7" s="225"/>
    </row>
    <row r="8" spans="1:4" s="97" customFormat="1" ht="12" customHeight="1" thickBot="1" x14ac:dyDescent="0.25">
      <c r="A8" s="201" t="s">
        <v>885</v>
      </c>
      <c r="B8" s="226"/>
      <c r="C8" s="227" t="s">
        <v>210</v>
      </c>
      <c r="D8" s="337">
        <f>SUM(D9:D16)</f>
        <v>0</v>
      </c>
    </row>
    <row r="9" spans="1:4" s="97" customFormat="1" ht="12" customHeight="1" x14ac:dyDescent="0.2">
      <c r="A9" s="230"/>
      <c r="B9" s="229" t="s">
        <v>57</v>
      </c>
      <c r="C9" s="12" t="s">
        <v>133</v>
      </c>
      <c r="D9" s="375"/>
    </row>
    <row r="10" spans="1:4" s="97" customFormat="1" ht="12" customHeight="1" x14ac:dyDescent="0.2">
      <c r="A10" s="228"/>
      <c r="B10" s="229" t="s">
        <v>58</v>
      </c>
      <c r="C10" s="9" t="s">
        <v>134</v>
      </c>
      <c r="D10" s="335"/>
    </row>
    <row r="11" spans="1:4" s="97" customFormat="1" ht="12" customHeight="1" x14ac:dyDescent="0.2">
      <c r="A11" s="228"/>
      <c r="B11" s="229" t="s">
        <v>59</v>
      </c>
      <c r="C11" s="9" t="s">
        <v>135</v>
      </c>
      <c r="D11" s="335"/>
    </row>
    <row r="12" spans="1:4" s="97" customFormat="1" ht="12" customHeight="1" x14ac:dyDescent="0.2">
      <c r="A12" s="228"/>
      <c r="B12" s="229" t="s">
        <v>60</v>
      </c>
      <c r="C12" s="9" t="s">
        <v>136</v>
      </c>
      <c r="D12" s="335"/>
    </row>
    <row r="13" spans="1:4" s="97" customFormat="1" ht="12" customHeight="1" x14ac:dyDescent="0.2">
      <c r="A13" s="228"/>
      <c r="B13" s="229" t="s">
        <v>91</v>
      </c>
      <c r="C13" s="8" t="s">
        <v>137</v>
      </c>
      <c r="D13" s="335"/>
    </row>
    <row r="14" spans="1:4" s="97" customFormat="1" ht="12" customHeight="1" x14ac:dyDescent="0.2">
      <c r="A14" s="231"/>
      <c r="B14" s="229" t="s">
        <v>61</v>
      </c>
      <c r="C14" s="9" t="s">
        <v>138</v>
      </c>
      <c r="D14" s="376"/>
    </row>
    <row r="15" spans="1:4" s="98" customFormat="1" ht="12" customHeight="1" x14ac:dyDescent="0.2">
      <c r="A15" s="228"/>
      <c r="B15" s="229" t="s">
        <v>62</v>
      </c>
      <c r="C15" s="9" t="s">
        <v>845</v>
      </c>
      <c r="D15" s="335"/>
    </row>
    <row r="16" spans="1:4" s="98" customFormat="1" ht="12" customHeight="1" thickBot="1" x14ac:dyDescent="0.25">
      <c r="A16" s="232"/>
      <c r="B16" s="233" t="s">
        <v>72</v>
      </c>
      <c r="C16" s="8" t="s">
        <v>197</v>
      </c>
      <c r="D16" s="336"/>
    </row>
    <row r="17" spans="1:4" s="97" customFormat="1" ht="12" customHeight="1" thickBot="1" x14ac:dyDescent="0.25">
      <c r="A17" s="201" t="s">
        <v>886</v>
      </c>
      <c r="B17" s="226"/>
      <c r="C17" s="227" t="s">
        <v>846</v>
      </c>
      <c r="D17" s="337">
        <f>SUM(D18:D21)</f>
        <v>0</v>
      </c>
    </row>
    <row r="18" spans="1:4" s="98" customFormat="1" ht="12" customHeight="1" x14ac:dyDescent="0.2">
      <c r="A18" s="228"/>
      <c r="B18" s="229" t="s">
        <v>63</v>
      </c>
      <c r="C18" s="11" t="s">
        <v>842</v>
      </c>
      <c r="D18" s="335"/>
    </row>
    <row r="19" spans="1:4" s="98" customFormat="1" ht="12" customHeight="1" x14ac:dyDescent="0.2">
      <c r="A19" s="228"/>
      <c r="B19" s="229" t="s">
        <v>64</v>
      </c>
      <c r="C19" s="9" t="s">
        <v>843</v>
      </c>
      <c r="D19" s="335"/>
    </row>
    <row r="20" spans="1:4" s="98" customFormat="1" ht="12" customHeight="1" x14ac:dyDescent="0.2">
      <c r="A20" s="228"/>
      <c r="B20" s="229" t="s">
        <v>65</v>
      </c>
      <c r="C20" s="9" t="s">
        <v>844</v>
      </c>
      <c r="D20" s="335"/>
    </row>
    <row r="21" spans="1:4" s="98" customFormat="1" ht="12" customHeight="1" thickBot="1" x14ac:dyDescent="0.25">
      <c r="A21" s="228"/>
      <c r="B21" s="229" t="s">
        <v>66</v>
      </c>
      <c r="C21" s="9" t="s">
        <v>843</v>
      </c>
      <c r="D21" s="335"/>
    </row>
    <row r="22" spans="1:4" s="98" customFormat="1" ht="12" customHeight="1" thickBot="1" x14ac:dyDescent="0.25">
      <c r="A22" s="209" t="s">
        <v>887</v>
      </c>
      <c r="B22" s="126"/>
      <c r="C22" s="126" t="s">
        <v>847</v>
      </c>
      <c r="D22" s="337">
        <f>+D23+D24</f>
        <v>0</v>
      </c>
    </row>
    <row r="23" spans="1:4" s="97" customFormat="1" ht="12" customHeight="1" x14ac:dyDescent="0.2">
      <c r="A23" s="370"/>
      <c r="B23" s="391" t="s">
        <v>37</v>
      </c>
      <c r="C23" s="142" t="s">
        <v>247</v>
      </c>
      <c r="D23" s="397"/>
    </row>
    <row r="24" spans="1:4" s="97" customFormat="1" ht="12" customHeight="1" thickBot="1" x14ac:dyDescent="0.25">
      <c r="A24" s="389"/>
      <c r="B24" s="390" t="s">
        <v>38</v>
      </c>
      <c r="C24" s="143" t="s">
        <v>251</v>
      </c>
      <c r="D24" s="398"/>
    </row>
    <row r="25" spans="1:4" s="97" customFormat="1" ht="12" customHeight="1" thickBot="1" x14ac:dyDescent="0.25">
      <c r="A25" s="209" t="s">
        <v>888</v>
      </c>
      <c r="B25" s="226"/>
      <c r="C25" s="126" t="s">
        <v>864</v>
      </c>
      <c r="D25" s="356"/>
    </row>
    <row r="26" spans="1:4" s="98" customFormat="1" ht="12" customHeight="1" thickBot="1" x14ac:dyDescent="0.25">
      <c r="A26" s="201" t="s">
        <v>889</v>
      </c>
      <c r="B26" s="169"/>
      <c r="C26" s="126" t="s">
        <v>860</v>
      </c>
      <c r="D26" s="378"/>
    </row>
    <row r="27" spans="1:4" s="98" customFormat="1" ht="15" customHeight="1" thickBot="1" x14ac:dyDescent="0.25">
      <c r="A27" s="386" t="s">
        <v>890</v>
      </c>
      <c r="B27" s="395"/>
      <c r="C27" s="388" t="s">
        <v>862</v>
      </c>
      <c r="D27" s="399">
        <f>+D28+D29</f>
        <v>0</v>
      </c>
    </row>
    <row r="28" spans="1:4" s="98" customFormat="1" ht="15" customHeight="1" x14ac:dyDescent="0.2">
      <c r="A28" s="230"/>
      <c r="B28" s="167" t="s">
        <v>44</v>
      </c>
      <c r="C28" s="142" t="s">
        <v>354</v>
      </c>
      <c r="D28" s="397"/>
    </row>
    <row r="29" spans="1:4" ht="15.75" thickBot="1" x14ac:dyDescent="0.25">
      <c r="A29" s="396"/>
      <c r="B29" s="168" t="s">
        <v>45</v>
      </c>
      <c r="C29" s="387" t="s">
        <v>850</v>
      </c>
      <c r="D29" s="91"/>
    </row>
    <row r="30" spans="1:4" s="53" customFormat="1" ht="16.5" customHeight="1" thickBot="1" x14ac:dyDescent="0.25">
      <c r="A30" s="240" t="s">
        <v>891</v>
      </c>
      <c r="B30" s="384"/>
      <c r="C30" s="385" t="s">
        <v>863</v>
      </c>
      <c r="D30" s="377"/>
    </row>
    <row r="31" spans="1:4" s="99" customFormat="1" ht="12" customHeight="1" thickBot="1" x14ac:dyDescent="0.25">
      <c r="A31" s="240" t="s">
        <v>892</v>
      </c>
      <c r="B31" s="241"/>
      <c r="C31" s="242" t="s">
        <v>861</v>
      </c>
      <c r="D31" s="381">
        <f>+D26+D27+D30</f>
        <v>0</v>
      </c>
    </row>
    <row r="32" spans="1:4" ht="12" customHeight="1" x14ac:dyDescent="0.2">
      <c r="A32" s="243"/>
      <c r="B32" s="243"/>
      <c r="C32" s="244"/>
      <c r="D32" s="379"/>
    </row>
    <row r="33" spans="1:4" ht="12" customHeight="1" thickBot="1" x14ac:dyDescent="0.25">
      <c r="A33" s="245"/>
      <c r="B33" s="246"/>
      <c r="C33" s="246"/>
      <c r="D33" s="380"/>
    </row>
    <row r="34" spans="1:4" ht="12" customHeight="1" thickBot="1" x14ac:dyDescent="0.25">
      <c r="A34" s="247"/>
      <c r="B34" s="248"/>
      <c r="C34" s="249" t="s">
        <v>1</v>
      </c>
      <c r="D34" s="381"/>
    </row>
    <row r="35" spans="1:4" ht="12" customHeight="1" thickBot="1" x14ac:dyDescent="0.25">
      <c r="A35" s="209" t="s">
        <v>885</v>
      </c>
      <c r="B35" s="24"/>
      <c r="C35" s="126" t="s">
        <v>840</v>
      </c>
      <c r="D35" s="337">
        <f>SUM(D36:D40)</f>
        <v>0</v>
      </c>
    </row>
    <row r="36" spans="1:4" ht="12" customHeight="1" x14ac:dyDescent="0.2">
      <c r="A36" s="250"/>
      <c r="B36" s="166" t="s">
        <v>57</v>
      </c>
      <c r="C36" s="11" t="s">
        <v>916</v>
      </c>
      <c r="D36" s="84"/>
    </row>
    <row r="37" spans="1:4" ht="12" customHeight="1" x14ac:dyDescent="0.2">
      <c r="A37" s="251"/>
      <c r="B37" s="150" t="s">
        <v>58</v>
      </c>
      <c r="C37" s="9" t="s">
        <v>164</v>
      </c>
      <c r="D37" s="87"/>
    </row>
    <row r="38" spans="1:4" s="99" customFormat="1" ht="12" customHeight="1" x14ac:dyDescent="0.2">
      <c r="A38" s="251"/>
      <c r="B38" s="150" t="s">
        <v>59</v>
      </c>
      <c r="C38" s="9" t="s">
        <v>88</v>
      </c>
      <c r="D38" s="87"/>
    </row>
    <row r="39" spans="1:4" ht="12" customHeight="1" x14ac:dyDescent="0.2">
      <c r="A39" s="251"/>
      <c r="B39" s="150" t="s">
        <v>60</v>
      </c>
      <c r="C39" s="9" t="s">
        <v>165</v>
      </c>
      <c r="D39" s="87"/>
    </row>
    <row r="40" spans="1:4" ht="12" customHeight="1" thickBot="1" x14ac:dyDescent="0.25">
      <c r="A40" s="251"/>
      <c r="B40" s="150" t="s">
        <v>71</v>
      </c>
      <c r="C40" s="9" t="s">
        <v>166</v>
      </c>
      <c r="D40" s="87"/>
    </row>
    <row r="41" spans="1:4" ht="12" customHeight="1" thickBot="1" x14ac:dyDescent="0.25">
      <c r="A41" s="209" t="s">
        <v>886</v>
      </c>
      <c r="B41" s="24"/>
      <c r="C41" s="126" t="s">
        <v>857</v>
      </c>
      <c r="D41" s="337">
        <f>SUM(D42:D45)</f>
        <v>0</v>
      </c>
    </row>
    <row r="42" spans="1:4" ht="12" customHeight="1" x14ac:dyDescent="0.2">
      <c r="A42" s="250"/>
      <c r="B42" s="166" t="s">
        <v>63</v>
      </c>
      <c r="C42" s="11" t="s">
        <v>279</v>
      </c>
      <c r="D42" s="84"/>
    </row>
    <row r="43" spans="1:4" ht="15" customHeight="1" x14ac:dyDescent="0.2">
      <c r="A43" s="251"/>
      <c r="B43" s="150" t="s">
        <v>64</v>
      </c>
      <c r="C43" s="9" t="s">
        <v>168</v>
      </c>
      <c r="D43" s="87"/>
    </row>
    <row r="44" spans="1:4" x14ac:dyDescent="0.2">
      <c r="A44" s="251"/>
      <c r="B44" s="150" t="s">
        <v>67</v>
      </c>
      <c r="C44" s="9" t="s">
        <v>2</v>
      </c>
      <c r="D44" s="87"/>
    </row>
    <row r="45" spans="1:4" ht="15" customHeight="1" thickBot="1" x14ac:dyDescent="0.25">
      <c r="A45" s="251"/>
      <c r="B45" s="150" t="s">
        <v>78</v>
      </c>
      <c r="C45" s="9" t="s">
        <v>854</v>
      </c>
      <c r="D45" s="87"/>
    </row>
    <row r="46" spans="1:4" ht="14.25" customHeight="1" thickBot="1" x14ac:dyDescent="0.25">
      <c r="A46" s="209" t="s">
        <v>887</v>
      </c>
      <c r="B46" s="24"/>
      <c r="C46" s="24" t="s">
        <v>855</v>
      </c>
      <c r="D46" s="356"/>
    </row>
    <row r="47" spans="1:4" ht="13.5" thickBot="1" x14ac:dyDescent="0.25">
      <c r="A47" s="240" t="s">
        <v>888</v>
      </c>
      <c r="B47" s="384"/>
      <c r="C47" s="385" t="s">
        <v>858</v>
      </c>
      <c r="D47" s="377"/>
    </row>
    <row r="48" spans="1:4" ht="13.5" thickBot="1" x14ac:dyDescent="0.25">
      <c r="A48" s="209" t="s">
        <v>889</v>
      </c>
      <c r="B48" s="237"/>
      <c r="C48" s="253" t="s">
        <v>856</v>
      </c>
      <c r="D48" s="382">
        <f>+D35+D41+D46+D47</f>
        <v>0</v>
      </c>
    </row>
    <row r="49" spans="1:4" ht="13.5" thickBot="1" x14ac:dyDescent="0.25">
      <c r="A49" s="254"/>
      <c r="B49" s="255"/>
      <c r="C49" s="255"/>
      <c r="D49" s="383"/>
    </row>
    <row r="50" spans="1:4" ht="13.5" thickBot="1" x14ac:dyDescent="0.25">
      <c r="A50" s="256" t="s">
        <v>208</v>
      </c>
      <c r="B50" s="257"/>
      <c r="C50" s="258"/>
      <c r="D50" s="124"/>
    </row>
    <row r="51" spans="1:4" ht="13.5" thickBot="1" x14ac:dyDescent="0.25">
      <c r="A51" s="256" t="s">
        <v>209</v>
      </c>
      <c r="B51" s="257"/>
      <c r="C51" s="258"/>
      <c r="D51" s="124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4"/>
      <c r="B1" s="215"/>
      <c r="C1" s="262"/>
      <c r="D1" s="261" t="s">
        <v>399</v>
      </c>
    </row>
    <row r="2" spans="1:4" s="95" customFormat="1" ht="25.5" customHeight="1" x14ac:dyDescent="0.2">
      <c r="A2" s="1316" t="s">
        <v>204</v>
      </c>
      <c r="B2" s="1317"/>
      <c r="C2" s="259" t="s">
        <v>211</v>
      </c>
      <c r="D2" s="263" t="s">
        <v>7</v>
      </c>
    </row>
    <row r="3" spans="1:4" s="95" customFormat="1" ht="16.5" thickBot="1" x14ac:dyDescent="0.25">
      <c r="A3" s="217" t="s">
        <v>203</v>
      </c>
      <c r="B3" s="218"/>
      <c r="C3" s="260" t="s">
        <v>6</v>
      </c>
      <c r="D3" s="264" t="s">
        <v>7</v>
      </c>
    </row>
    <row r="4" spans="1:4" s="96" customFormat="1" ht="15.95" customHeight="1" thickBot="1" x14ac:dyDescent="0.3">
      <c r="A4" s="219"/>
      <c r="B4" s="219"/>
      <c r="C4" s="219"/>
      <c r="D4" s="220" t="s">
        <v>923</v>
      </c>
    </row>
    <row r="5" spans="1:4" ht="13.5" thickBot="1" x14ac:dyDescent="0.25">
      <c r="A5" s="1310" t="s">
        <v>205</v>
      </c>
      <c r="B5" s="1311"/>
      <c r="C5" s="221" t="s">
        <v>924</v>
      </c>
      <c r="D5" s="222" t="s">
        <v>925</v>
      </c>
    </row>
    <row r="6" spans="1:4" s="53" customFormat="1" ht="12.95" customHeight="1" thickBot="1" x14ac:dyDescent="0.25">
      <c r="A6" s="201">
        <v>1</v>
      </c>
      <c r="B6" s="202">
        <v>2</v>
      </c>
      <c r="C6" s="202">
        <v>3</v>
      </c>
      <c r="D6" s="203">
        <v>4</v>
      </c>
    </row>
    <row r="7" spans="1:4" s="53" customFormat="1" ht="15.95" customHeight="1" thickBot="1" x14ac:dyDescent="0.25">
      <c r="A7" s="223"/>
      <c r="B7" s="224"/>
      <c r="C7" s="224" t="s">
        <v>926</v>
      </c>
      <c r="D7" s="225"/>
    </row>
    <row r="8" spans="1:4" s="97" customFormat="1" ht="12" customHeight="1" thickBot="1" x14ac:dyDescent="0.25">
      <c r="A8" s="201" t="s">
        <v>885</v>
      </c>
      <c r="B8" s="226"/>
      <c r="C8" s="227" t="s">
        <v>210</v>
      </c>
      <c r="D8" s="337">
        <f>SUM(D9:D16)</f>
        <v>0</v>
      </c>
    </row>
    <row r="9" spans="1:4" s="97" customFormat="1" ht="12" customHeight="1" x14ac:dyDescent="0.2">
      <c r="A9" s="230"/>
      <c r="B9" s="229" t="s">
        <v>57</v>
      </c>
      <c r="C9" s="12" t="s">
        <v>133</v>
      </c>
      <c r="D9" s="375"/>
    </row>
    <row r="10" spans="1:4" s="97" customFormat="1" ht="12" customHeight="1" x14ac:dyDescent="0.2">
      <c r="A10" s="228"/>
      <c r="B10" s="229" t="s">
        <v>58</v>
      </c>
      <c r="C10" s="9" t="s">
        <v>134</v>
      </c>
      <c r="D10" s="335"/>
    </row>
    <row r="11" spans="1:4" s="97" customFormat="1" ht="12" customHeight="1" x14ac:dyDescent="0.2">
      <c r="A11" s="228"/>
      <c r="B11" s="229" t="s">
        <v>59</v>
      </c>
      <c r="C11" s="9" t="s">
        <v>135</v>
      </c>
      <c r="D11" s="335"/>
    </row>
    <row r="12" spans="1:4" s="97" customFormat="1" ht="12" customHeight="1" x14ac:dyDescent="0.2">
      <c r="A12" s="228"/>
      <c r="B12" s="229" t="s">
        <v>60</v>
      </c>
      <c r="C12" s="9" t="s">
        <v>136</v>
      </c>
      <c r="D12" s="335"/>
    </row>
    <row r="13" spans="1:4" s="97" customFormat="1" ht="12" customHeight="1" x14ac:dyDescent="0.2">
      <c r="A13" s="228"/>
      <c r="B13" s="229" t="s">
        <v>91</v>
      </c>
      <c r="C13" s="8" t="s">
        <v>137</v>
      </c>
      <c r="D13" s="335"/>
    </row>
    <row r="14" spans="1:4" s="97" customFormat="1" ht="12" customHeight="1" x14ac:dyDescent="0.2">
      <c r="A14" s="231"/>
      <c r="B14" s="229" t="s">
        <v>61</v>
      </c>
      <c r="C14" s="9" t="s">
        <v>138</v>
      </c>
      <c r="D14" s="376"/>
    </row>
    <row r="15" spans="1:4" s="98" customFormat="1" ht="12" customHeight="1" x14ac:dyDescent="0.2">
      <c r="A15" s="228"/>
      <c r="B15" s="229" t="s">
        <v>62</v>
      </c>
      <c r="C15" s="9" t="s">
        <v>845</v>
      </c>
      <c r="D15" s="335"/>
    </row>
    <row r="16" spans="1:4" s="98" customFormat="1" ht="12" customHeight="1" thickBot="1" x14ac:dyDescent="0.25">
      <c r="A16" s="232"/>
      <c r="B16" s="233" t="s">
        <v>72</v>
      </c>
      <c r="C16" s="8" t="s">
        <v>197</v>
      </c>
      <c r="D16" s="336"/>
    </row>
    <row r="17" spans="1:4" s="97" customFormat="1" ht="12" customHeight="1" thickBot="1" x14ac:dyDescent="0.25">
      <c r="A17" s="201" t="s">
        <v>886</v>
      </c>
      <c r="B17" s="226"/>
      <c r="C17" s="227" t="s">
        <v>846</v>
      </c>
      <c r="D17" s="337">
        <f>SUM(D18:D21)</f>
        <v>0</v>
      </c>
    </row>
    <row r="18" spans="1:4" s="98" customFormat="1" ht="12" customHeight="1" x14ac:dyDescent="0.2">
      <c r="A18" s="228"/>
      <c r="B18" s="229" t="s">
        <v>63</v>
      </c>
      <c r="C18" s="11" t="s">
        <v>842</v>
      </c>
      <c r="D18" s="335"/>
    </row>
    <row r="19" spans="1:4" s="98" customFormat="1" ht="12" customHeight="1" x14ac:dyDescent="0.2">
      <c r="A19" s="228"/>
      <c r="B19" s="229" t="s">
        <v>64</v>
      </c>
      <c r="C19" s="9" t="s">
        <v>843</v>
      </c>
      <c r="D19" s="335"/>
    </row>
    <row r="20" spans="1:4" s="98" customFormat="1" ht="12" customHeight="1" x14ac:dyDescent="0.2">
      <c r="A20" s="228"/>
      <c r="B20" s="229" t="s">
        <v>65</v>
      </c>
      <c r="C20" s="9" t="s">
        <v>844</v>
      </c>
      <c r="D20" s="335"/>
    </row>
    <row r="21" spans="1:4" s="98" customFormat="1" ht="12" customHeight="1" thickBot="1" x14ac:dyDescent="0.25">
      <c r="A21" s="228"/>
      <c r="B21" s="229" t="s">
        <v>66</v>
      </c>
      <c r="C21" s="9" t="s">
        <v>843</v>
      </c>
      <c r="D21" s="335"/>
    </row>
    <row r="22" spans="1:4" s="98" customFormat="1" ht="12" customHeight="1" thickBot="1" x14ac:dyDescent="0.25">
      <c r="A22" s="209" t="s">
        <v>887</v>
      </c>
      <c r="B22" s="126"/>
      <c r="C22" s="126" t="s">
        <v>847</v>
      </c>
      <c r="D22" s="337">
        <f>+D23+D24</f>
        <v>0</v>
      </c>
    </row>
    <row r="23" spans="1:4" s="97" customFormat="1" ht="12" customHeight="1" x14ac:dyDescent="0.2">
      <c r="A23" s="370"/>
      <c r="B23" s="391" t="s">
        <v>37</v>
      </c>
      <c r="C23" s="142" t="s">
        <v>247</v>
      </c>
      <c r="D23" s="397"/>
    </row>
    <row r="24" spans="1:4" s="97" customFormat="1" ht="12" customHeight="1" thickBot="1" x14ac:dyDescent="0.25">
      <c r="A24" s="389"/>
      <c r="B24" s="390" t="s">
        <v>38</v>
      </c>
      <c r="C24" s="143" t="s">
        <v>251</v>
      </c>
      <c r="D24" s="398"/>
    </row>
    <row r="25" spans="1:4" s="97" customFormat="1" ht="12" customHeight="1" thickBot="1" x14ac:dyDescent="0.25">
      <c r="A25" s="209" t="s">
        <v>888</v>
      </c>
      <c r="B25" s="226"/>
      <c r="C25" s="126" t="s">
        <v>864</v>
      </c>
      <c r="D25" s="356"/>
    </row>
    <row r="26" spans="1:4" s="97" customFormat="1" ht="12" customHeight="1" thickBot="1" x14ac:dyDescent="0.25">
      <c r="A26" s="201" t="s">
        <v>889</v>
      </c>
      <c r="B26" s="169"/>
      <c r="C26" s="126" t="s">
        <v>860</v>
      </c>
      <c r="D26" s="378"/>
    </row>
    <row r="27" spans="1:4" s="98" customFormat="1" ht="12" customHeight="1" thickBot="1" x14ac:dyDescent="0.25">
      <c r="A27" s="386" t="s">
        <v>890</v>
      </c>
      <c r="B27" s="395"/>
      <c r="C27" s="388" t="s">
        <v>862</v>
      </c>
      <c r="D27" s="399">
        <f>+D28+D29</f>
        <v>0</v>
      </c>
    </row>
    <row r="28" spans="1:4" s="98" customFormat="1" ht="15" customHeight="1" x14ac:dyDescent="0.2">
      <c r="A28" s="230"/>
      <c r="B28" s="167" t="s">
        <v>44</v>
      </c>
      <c r="C28" s="142" t="s">
        <v>354</v>
      </c>
      <c r="D28" s="397"/>
    </row>
    <row r="29" spans="1:4" s="98" customFormat="1" ht="15" customHeight="1" thickBot="1" x14ac:dyDescent="0.25">
      <c r="A29" s="396"/>
      <c r="B29" s="168" t="s">
        <v>45</v>
      </c>
      <c r="C29" s="387" t="s">
        <v>850</v>
      </c>
      <c r="D29" s="91"/>
    </row>
    <row r="30" spans="1:4" ht="13.5" thickBot="1" x14ac:dyDescent="0.25">
      <c r="A30" s="240" t="s">
        <v>891</v>
      </c>
      <c r="B30" s="384"/>
      <c r="C30" s="385" t="s">
        <v>863</v>
      </c>
      <c r="D30" s="377"/>
    </row>
    <row r="31" spans="1:4" s="53" customFormat="1" ht="16.5" customHeight="1" thickBot="1" x14ac:dyDescent="0.25">
      <c r="A31" s="240" t="s">
        <v>892</v>
      </c>
      <c r="B31" s="241"/>
      <c r="C31" s="242" t="s">
        <v>861</v>
      </c>
      <c r="D31" s="381">
        <f>+D26+D27+D30</f>
        <v>0</v>
      </c>
    </row>
    <row r="32" spans="1:4" s="99" customFormat="1" ht="12" customHeight="1" x14ac:dyDescent="0.2">
      <c r="A32" s="243"/>
      <c r="B32" s="243"/>
      <c r="C32" s="244"/>
      <c r="D32" s="379"/>
    </row>
    <row r="33" spans="1:4" ht="12" customHeight="1" thickBot="1" x14ac:dyDescent="0.25">
      <c r="A33" s="245"/>
      <c r="B33" s="246"/>
      <c r="C33" s="246"/>
      <c r="D33" s="380"/>
    </row>
    <row r="34" spans="1:4" ht="12" customHeight="1" thickBot="1" x14ac:dyDescent="0.25">
      <c r="A34" s="247"/>
      <c r="B34" s="248"/>
      <c r="C34" s="249" t="s">
        <v>1</v>
      </c>
      <c r="D34" s="381"/>
    </row>
    <row r="35" spans="1:4" ht="12" customHeight="1" thickBot="1" x14ac:dyDescent="0.25">
      <c r="A35" s="209" t="s">
        <v>885</v>
      </c>
      <c r="B35" s="24"/>
      <c r="C35" s="126" t="s">
        <v>840</v>
      </c>
      <c r="D35" s="337">
        <f>SUM(D36:D40)</f>
        <v>0</v>
      </c>
    </row>
    <row r="36" spans="1:4" ht="12" customHeight="1" x14ac:dyDescent="0.2">
      <c r="A36" s="250"/>
      <c r="B36" s="166" t="s">
        <v>57</v>
      </c>
      <c r="C36" s="11" t="s">
        <v>916</v>
      </c>
      <c r="D36" s="84"/>
    </row>
    <row r="37" spans="1:4" ht="12" customHeight="1" x14ac:dyDescent="0.2">
      <c r="A37" s="251"/>
      <c r="B37" s="150" t="s">
        <v>58</v>
      </c>
      <c r="C37" s="9" t="s">
        <v>164</v>
      </c>
      <c r="D37" s="87"/>
    </row>
    <row r="38" spans="1:4" ht="12" customHeight="1" x14ac:dyDescent="0.2">
      <c r="A38" s="251"/>
      <c r="B38" s="150" t="s">
        <v>59</v>
      </c>
      <c r="C38" s="9" t="s">
        <v>88</v>
      </c>
      <c r="D38" s="87"/>
    </row>
    <row r="39" spans="1:4" s="99" customFormat="1" ht="12" customHeight="1" x14ac:dyDescent="0.2">
      <c r="A39" s="251"/>
      <c r="B39" s="150" t="s">
        <v>60</v>
      </c>
      <c r="C39" s="9" t="s">
        <v>165</v>
      </c>
      <c r="D39" s="87"/>
    </row>
    <row r="40" spans="1:4" ht="12" customHeight="1" thickBot="1" x14ac:dyDescent="0.25">
      <c r="A40" s="251"/>
      <c r="B40" s="150" t="s">
        <v>71</v>
      </c>
      <c r="C40" s="9" t="s">
        <v>166</v>
      </c>
      <c r="D40" s="87"/>
    </row>
    <row r="41" spans="1:4" ht="12" customHeight="1" thickBot="1" x14ac:dyDescent="0.25">
      <c r="A41" s="209" t="s">
        <v>886</v>
      </c>
      <c r="B41" s="24"/>
      <c r="C41" s="126" t="s">
        <v>857</v>
      </c>
      <c r="D41" s="337">
        <f>SUM(D42:D45)</f>
        <v>0</v>
      </c>
    </row>
    <row r="42" spans="1:4" ht="12" customHeight="1" x14ac:dyDescent="0.2">
      <c r="A42" s="250"/>
      <c r="B42" s="166" t="s">
        <v>63</v>
      </c>
      <c r="C42" s="11" t="s">
        <v>279</v>
      </c>
      <c r="D42" s="84"/>
    </row>
    <row r="43" spans="1:4" ht="12" customHeight="1" x14ac:dyDescent="0.2">
      <c r="A43" s="251"/>
      <c r="B43" s="150" t="s">
        <v>64</v>
      </c>
      <c r="C43" s="9" t="s">
        <v>168</v>
      </c>
      <c r="D43" s="87"/>
    </row>
    <row r="44" spans="1:4" ht="15" customHeight="1" x14ac:dyDescent="0.2">
      <c r="A44" s="251"/>
      <c r="B44" s="150" t="s">
        <v>67</v>
      </c>
      <c r="C44" s="9" t="s">
        <v>2</v>
      </c>
      <c r="D44" s="87"/>
    </row>
    <row r="45" spans="1:4" ht="13.5" thickBot="1" x14ac:dyDescent="0.25">
      <c r="A45" s="251"/>
      <c r="B45" s="150" t="s">
        <v>78</v>
      </c>
      <c r="C45" s="9" t="s">
        <v>854</v>
      </c>
      <c r="D45" s="87"/>
    </row>
    <row r="46" spans="1:4" ht="15" customHeight="1" thickBot="1" x14ac:dyDescent="0.25">
      <c r="A46" s="209" t="s">
        <v>887</v>
      </c>
      <c r="B46" s="24"/>
      <c r="C46" s="24" t="s">
        <v>855</v>
      </c>
      <c r="D46" s="356"/>
    </row>
    <row r="47" spans="1:4" ht="14.25" customHeight="1" thickBot="1" x14ac:dyDescent="0.25">
      <c r="A47" s="240" t="s">
        <v>888</v>
      </c>
      <c r="B47" s="384"/>
      <c r="C47" s="385" t="s">
        <v>858</v>
      </c>
      <c r="D47" s="377"/>
    </row>
    <row r="48" spans="1:4" ht="13.5" thickBot="1" x14ac:dyDescent="0.25">
      <c r="A48" s="209" t="s">
        <v>889</v>
      </c>
      <c r="B48" s="237"/>
      <c r="C48" s="253" t="s">
        <v>856</v>
      </c>
      <c r="D48" s="382">
        <f>+D35+D41+D46+D47</f>
        <v>0</v>
      </c>
    </row>
    <row r="49" spans="1:4" ht="13.5" thickBot="1" x14ac:dyDescent="0.25">
      <c r="A49" s="254"/>
      <c r="B49" s="255"/>
      <c r="C49" s="255"/>
      <c r="D49" s="383"/>
    </row>
    <row r="50" spans="1:4" ht="13.5" thickBot="1" x14ac:dyDescent="0.25">
      <c r="A50" s="256" t="s">
        <v>208</v>
      </c>
      <c r="B50" s="257"/>
      <c r="C50" s="258"/>
      <c r="D50" s="124"/>
    </row>
    <row r="51" spans="1:4" ht="13.5" thickBot="1" x14ac:dyDescent="0.25">
      <c r="A51" s="256" t="s">
        <v>209</v>
      </c>
      <c r="B51" s="257"/>
      <c r="C51" s="258"/>
      <c r="D51" s="124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7"/>
      <c r="B4" s="137"/>
    </row>
    <row r="5" spans="1:2" s="149" customFormat="1" ht="15.75" x14ac:dyDescent="0.25">
      <c r="A5" s="94" t="s">
        <v>395</v>
      </c>
      <c r="B5" s="148"/>
    </row>
    <row r="6" spans="1:2" x14ac:dyDescent="0.2">
      <c r="A6" s="137"/>
      <c r="B6" s="137"/>
    </row>
    <row r="7" spans="1:2" x14ac:dyDescent="0.2">
      <c r="A7" s="137" t="s">
        <v>194</v>
      </c>
      <c r="B7" s="137" t="s">
        <v>402</v>
      </c>
    </row>
    <row r="8" spans="1:2" x14ac:dyDescent="0.2">
      <c r="A8" s="137" t="s">
        <v>97</v>
      </c>
      <c r="B8" s="137" t="s">
        <v>403</v>
      </c>
    </row>
    <row r="9" spans="1:2" x14ac:dyDescent="0.2">
      <c r="A9" s="137" t="s">
        <v>393</v>
      </c>
      <c r="B9" s="137" t="s">
        <v>404</v>
      </c>
    </row>
    <row r="10" spans="1:2" x14ac:dyDescent="0.2">
      <c r="A10" s="137"/>
      <c r="B10" s="137"/>
    </row>
    <row r="11" spans="1:2" x14ac:dyDescent="0.2">
      <c r="A11" s="137"/>
      <c r="B11" s="137"/>
    </row>
    <row r="12" spans="1:2" s="149" customFormat="1" ht="15.75" x14ac:dyDescent="0.25">
      <c r="A12" s="94" t="s">
        <v>396</v>
      </c>
      <c r="B12" s="148"/>
    </row>
    <row r="13" spans="1:2" x14ac:dyDescent="0.2">
      <c r="A13" s="137"/>
      <c r="B13" s="137"/>
    </row>
    <row r="14" spans="1:2" x14ac:dyDescent="0.2">
      <c r="A14" s="137" t="s">
        <v>121</v>
      </c>
      <c r="B14" s="137" t="s">
        <v>405</v>
      </c>
    </row>
    <row r="15" spans="1:2" x14ac:dyDescent="0.2">
      <c r="A15" s="137" t="s">
        <v>98</v>
      </c>
      <c r="B15" s="137" t="s">
        <v>406</v>
      </c>
    </row>
    <row r="16" spans="1:2" x14ac:dyDescent="0.2">
      <c r="A16" s="137" t="s">
        <v>394</v>
      </c>
      <c r="B16" s="137" t="s">
        <v>407</v>
      </c>
    </row>
  </sheetData>
  <sheetProtection sheet="1"/>
  <phoneticPr fontId="3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4"/>
      <c r="B1" s="215"/>
      <c r="C1" s="262"/>
      <c r="D1" s="261" t="s">
        <v>398</v>
      </c>
    </row>
    <row r="2" spans="1:4" s="95" customFormat="1" ht="25.5" customHeight="1" x14ac:dyDescent="0.2">
      <c r="A2" s="1316" t="s">
        <v>204</v>
      </c>
      <c r="B2" s="1317"/>
      <c r="C2" s="259" t="s">
        <v>211</v>
      </c>
      <c r="D2" s="263" t="s">
        <v>7</v>
      </c>
    </row>
    <row r="3" spans="1:4" s="95" customFormat="1" ht="16.5" thickBot="1" x14ac:dyDescent="0.25">
      <c r="A3" s="217" t="s">
        <v>203</v>
      </c>
      <c r="B3" s="218"/>
      <c r="C3" s="260" t="s">
        <v>9</v>
      </c>
      <c r="D3" s="264" t="s">
        <v>8</v>
      </c>
    </row>
    <row r="4" spans="1:4" s="96" customFormat="1" ht="15.95" customHeight="1" thickBot="1" x14ac:dyDescent="0.3">
      <c r="A4" s="219"/>
      <c r="B4" s="219"/>
      <c r="C4" s="219"/>
      <c r="D4" s="220" t="s">
        <v>923</v>
      </c>
    </row>
    <row r="5" spans="1:4" ht="13.5" thickBot="1" x14ac:dyDescent="0.25">
      <c r="A5" s="1310" t="s">
        <v>205</v>
      </c>
      <c r="B5" s="1311"/>
      <c r="C5" s="221" t="s">
        <v>924</v>
      </c>
      <c r="D5" s="222" t="s">
        <v>925</v>
      </c>
    </row>
    <row r="6" spans="1:4" s="53" customFormat="1" ht="12.95" customHeight="1" thickBot="1" x14ac:dyDescent="0.25">
      <c r="A6" s="201">
        <v>1</v>
      </c>
      <c r="B6" s="202">
        <v>2</v>
      </c>
      <c r="C6" s="202">
        <v>3</v>
      </c>
      <c r="D6" s="203">
        <v>4</v>
      </c>
    </row>
    <row r="7" spans="1:4" s="53" customFormat="1" ht="15.95" customHeight="1" thickBot="1" x14ac:dyDescent="0.25">
      <c r="A7" s="223"/>
      <c r="B7" s="224"/>
      <c r="C7" s="224" t="s">
        <v>926</v>
      </c>
      <c r="D7" s="225"/>
    </row>
    <row r="8" spans="1:4" s="97" customFormat="1" ht="12" customHeight="1" thickBot="1" x14ac:dyDescent="0.25">
      <c r="A8" s="201" t="s">
        <v>885</v>
      </c>
      <c r="B8" s="226"/>
      <c r="C8" s="227" t="s">
        <v>210</v>
      </c>
      <c r="D8" s="337">
        <f>SUM(D9:D16)</f>
        <v>0</v>
      </c>
    </row>
    <row r="9" spans="1:4" s="97" customFormat="1" ht="12" customHeight="1" x14ac:dyDescent="0.2">
      <c r="A9" s="230"/>
      <c r="B9" s="229" t="s">
        <v>57</v>
      </c>
      <c r="C9" s="12" t="s">
        <v>133</v>
      </c>
      <c r="D9" s="375"/>
    </row>
    <row r="10" spans="1:4" s="97" customFormat="1" ht="12" customHeight="1" x14ac:dyDescent="0.2">
      <c r="A10" s="228"/>
      <c r="B10" s="229" t="s">
        <v>58</v>
      </c>
      <c r="C10" s="9" t="s">
        <v>134</v>
      </c>
      <c r="D10" s="335"/>
    </row>
    <row r="11" spans="1:4" s="97" customFormat="1" ht="12" customHeight="1" x14ac:dyDescent="0.2">
      <c r="A11" s="228"/>
      <c r="B11" s="229" t="s">
        <v>59</v>
      </c>
      <c r="C11" s="9" t="s">
        <v>135</v>
      </c>
      <c r="D11" s="335"/>
    </row>
    <row r="12" spans="1:4" s="97" customFormat="1" ht="12" customHeight="1" x14ac:dyDescent="0.2">
      <c r="A12" s="228"/>
      <c r="B12" s="229" t="s">
        <v>60</v>
      </c>
      <c r="C12" s="9" t="s">
        <v>136</v>
      </c>
      <c r="D12" s="335"/>
    </row>
    <row r="13" spans="1:4" s="97" customFormat="1" ht="12" customHeight="1" x14ac:dyDescent="0.2">
      <c r="A13" s="228"/>
      <c r="B13" s="229" t="s">
        <v>91</v>
      </c>
      <c r="C13" s="8" t="s">
        <v>137</v>
      </c>
      <c r="D13" s="335"/>
    </row>
    <row r="14" spans="1:4" s="97" customFormat="1" ht="12" customHeight="1" x14ac:dyDescent="0.2">
      <c r="A14" s="231"/>
      <c r="B14" s="229" t="s">
        <v>61</v>
      </c>
      <c r="C14" s="9" t="s">
        <v>138</v>
      </c>
      <c r="D14" s="376"/>
    </row>
    <row r="15" spans="1:4" s="98" customFormat="1" ht="12" customHeight="1" x14ac:dyDescent="0.2">
      <c r="A15" s="228"/>
      <c r="B15" s="229" t="s">
        <v>62</v>
      </c>
      <c r="C15" s="9" t="s">
        <v>845</v>
      </c>
      <c r="D15" s="335"/>
    </row>
    <row r="16" spans="1:4" s="98" customFormat="1" ht="12" customHeight="1" thickBot="1" x14ac:dyDescent="0.25">
      <c r="A16" s="232"/>
      <c r="B16" s="233" t="s">
        <v>72</v>
      </c>
      <c r="C16" s="8" t="s">
        <v>197</v>
      </c>
      <c r="D16" s="336"/>
    </row>
    <row r="17" spans="1:4" s="97" customFormat="1" ht="12" customHeight="1" thickBot="1" x14ac:dyDescent="0.25">
      <c r="A17" s="201" t="s">
        <v>886</v>
      </c>
      <c r="B17" s="226"/>
      <c r="C17" s="227" t="s">
        <v>846</v>
      </c>
      <c r="D17" s="337">
        <f>SUM(D18:D21)</f>
        <v>0</v>
      </c>
    </row>
    <row r="18" spans="1:4" s="98" customFormat="1" ht="12" customHeight="1" x14ac:dyDescent="0.2">
      <c r="A18" s="228"/>
      <c r="B18" s="229" t="s">
        <v>63</v>
      </c>
      <c r="C18" s="11" t="s">
        <v>842</v>
      </c>
      <c r="D18" s="335"/>
    </row>
    <row r="19" spans="1:4" s="98" customFormat="1" ht="12" customHeight="1" x14ac:dyDescent="0.2">
      <c r="A19" s="228"/>
      <c r="B19" s="229" t="s">
        <v>64</v>
      </c>
      <c r="C19" s="9" t="s">
        <v>843</v>
      </c>
      <c r="D19" s="335"/>
    </row>
    <row r="20" spans="1:4" s="98" customFormat="1" ht="12" customHeight="1" x14ac:dyDescent="0.2">
      <c r="A20" s="228"/>
      <c r="B20" s="229" t="s">
        <v>65</v>
      </c>
      <c r="C20" s="9" t="s">
        <v>844</v>
      </c>
      <c r="D20" s="335"/>
    </row>
    <row r="21" spans="1:4" s="98" customFormat="1" ht="12" customHeight="1" thickBot="1" x14ac:dyDescent="0.25">
      <c r="A21" s="228"/>
      <c r="B21" s="229" t="s">
        <v>66</v>
      </c>
      <c r="C21" s="9" t="s">
        <v>843</v>
      </c>
      <c r="D21" s="335"/>
    </row>
    <row r="22" spans="1:4" s="98" customFormat="1" ht="12" customHeight="1" thickBot="1" x14ac:dyDescent="0.25">
      <c r="A22" s="209" t="s">
        <v>887</v>
      </c>
      <c r="B22" s="126"/>
      <c r="C22" s="126" t="s">
        <v>847</v>
      </c>
      <c r="D22" s="337">
        <f>+D23+D24</f>
        <v>0</v>
      </c>
    </row>
    <row r="23" spans="1:4" s="97" customFormat="1" ht="12" customHeight="1" x14ac:dyDescent="0.2">
      <c r="A23" s="370"/>
      <c r="B23" s="391" t="s">
        <v>37</v>
      </c>
      <c r="C23" s="142" t="s">
        <v>247</v>
      </c>
      <c r="D23" s="397"/>
    </row>
    <row r="24" spans="1:4" s="97" customFormat="1" ht="12" customHeight="1" thickBot="1" x14ac:dyDescent="0.25">
      <c r="A24" s="389"/>
      <c r="B24" s="390" t="s">
        <v>38</v>
      </c>
      <c r="C24" s="143" t="s">
        <v>251</v>
      </c>
      <c r="D24" s="398"/>
    </row>
    <row r="25" spans="1:4" s="97" customFormat="1" ht="12" customHeight="1" thickBot="1" x14ac:dyDescent="0.25">
      <c r="A25" s="209" t="s">
        <v>888</v>
      </c>
      <c r="B25" s="226"/>
      <c r="C25" s="126" t="s">
        <v>864</v>
      </c>
      <c r="D25" s="356"/>
    </row>
    <row r="26" spans="1:4" s="97" customFormat="1" ht="12" customHeight="1" thickBot="1" x14ac:dyDescent="0.25">
      <c r="A26" s="201" t="s">
        <v>889</v>
      </c>
      <c r="B26" s="169"/>
      <c r="C26" s="126" t="s">
        <v>860</v>
      </c>
      <c r="D26" s="378"/>
    </row>
    <row r="27" spans="1:4" s="98" customFormat="1" ht="12" customHeight="1" thickBot="1" x14ac:dyDescent="0.25">
      <c r="A27" s="386" t="s">
        <v>890</v>
      </c>
      <c r="B27" s="395"/>
      <c r="C27" s="388" t="s">
        <v>862</v>
      </c>
      <c r="D27" s="399">
        <f>+D28+D29</f>
        <v>0</v>
      </c>
    </row>
    <row r="28" spans="1:4" s="98" customFormat="1" ht="15" customHeight="1" x14ac:dyDescent="0.2">
      <c r="A28" s="230"/>
      <c r="B28" s="167" t="s">
        <v>44</v>
      </c>
      <c r="C28" s="142" t="s">
        <v>354</v>
      </c>
      <c r="D28" s="397"/>
    </row>
    <row r="29" spans="1:4" s="98" customFormat="1" ht="15" customHeight="1" thickBot="1" x14ac:dyDescent="0.25">
      <c r="A29" s="396"/>
      <c r="B29" s="168" t="s">
        <v>45</v>
      </c>
      <c r="C29" s="387" t="s">
        <v>850</v>
      </c>
      <c r="D29" s="91"/>
    </row>
    <row r="30" spans="1:4" ht="13.5" thickBot="1" x14ac:dyDescent="0.25">
      <c r="A30" s="240" t="s">
        <v>891</v>
      </c>
      <c r="B30" s="384"/>
      <c r="C30" s="385" t="s">
        <v>863</v>
      </c>
      <c r="D30" s="377"/>
    </row>
    <row r="31" spans="1:4" s="53" customFormat="1" ht="16.5" customHeight="1" thickBot="1" x14ac:dyDescent="0.25">
      <c r="A31" s="240" t="s">
        <v>892</v>
      </c>
      <c r="B31" s="241"/>
      <c r="C31" s="242" t="s">
        <v>861</v>
      </c>
      <c r="D31" s="381">
        <f>+D26+D27+D30</f>
        <v>0</v>
      </c>
    </row>
    <row r="32" spans="1:4" s="99" customFormat="1" ht="12" customHeight="1" x14ac:dyDescent="0.2">
      <c r="A32" s="243"/>
      <c r="B32" s="243"/>
      <c r="C32" s="244"/>
      <c r="D32" s="379"/>
    </row>
    <row r="33" spans="1:4" ht="12" customHeight="1" thickBot="1" x14ac:dyDescent="0.25">
      <c r="A33" s="245"/>
      <c r="B33" s="246"/>
      <c r="C33" s="246"/>
      <c r="D33" s="380"/>
    </row>
    <row r="34" spans="1:4" ht="12" customHeight="1" thickBot="1" x14ac:dyDescent="0.25">
      <c r="A34" s="247"/>
      <c r="B34" s="248"/>
      <c r="C34" s="249" t="s">
        <v>1</v>
      </c>
      <c r="D34" s="381"/>
    </row>
    <row r="35" spans="1:4" ht="12" customHeight="1" thickBot="1" x14ac:dyDescent="0.25">
      <c r="A35" s="209" t="s">
        <v>885</v>
      </c>
      <c r="B35" s="24"/>
      <c r="C35" s="126" t="s">
        <v>840</v>
      </c>
      <c r="D35" s="337">
        <f>SUM(D36:D40)</f>
        <v>0</v>
      </c>
    </row>
    <row r="36" spans="1:4" ht="12" customHeight="1" x14ac:dyDescent="0.2">
      <c r="A36" s="250"/>
      <c r="B36" s="166" t="s">
        <v>57</v>
      </c>
      <c r="C36" s="11" t="s">
        <v>916</v>
      </c>
      <c r="D36" s="84"/>
    </row>
    <row r="37" spans="1:4" ht="12" customHeight="1" x14ac:dyDescent="0.2">
      <c r="A37" s="251"/>
      <c r="B37" s="150" t="s">
        <v>58</v>
      </c>
      <c r="C37" s="9" t="s">
        <v>164</v>
      </c>
      <c r="D37" s="87"/>
    </row>
    <row r="38" spans="1:4" ht="12" customHeight="1" x14ac:dyDescent="0.2">
      <c r="A38" s="251"/>
      <c r="B38" s="150" t="s">
        <v>59</v>
      </c>
      <c r="C38" s="9" t="s">
        <v>88</v>
      </c>
      <c r="D38" s="87"/>
    </row>
    <row r="39" spans="1:4" s="99" customFormat="1" ht="12" customHeight="1" x14ac:dyDescent="0.2">
      <c r="A39" s="251"/>
      <c r="B39" s="150" t="s">
        <v>60</v>
      </c>
      <c r="C39" s="9" t="s">
        <v>165</v>
      </c>
      <c r="D39" s="87"/>
    </row>
    <row r="40" spans="1:4" ht="12" customHeight="1" thickBot="1" x14ac:dyDescent="0.25">
      <c r="A40" s="251"/>
      <c r="B40" s="150" t="s">
        <v>71</v>
      </c>
      <c r="C40" s="9" t="s">
        <v>166</v>
      </c>
      <c r="D40" s="87"/>
    </row>
    <row r="41" spans="1:4" ht="12" customHeight="1" thickBot="1" x14ac:dyDescent="0.25">
      <c r="A41" s="209" t="s">
        <v>886</v>
      </c>
      <c r="B41" s="24"/>
      <c r="C41" s="126" t="s">
        <v>857</v>
      </c>
      <c r="D41" s="337">
        <f>SUM(D42:D45)</f>
        <v>0</v>
      </c>
    </row>
    <row r="42" spans="1:4" ht="12" customHeight="1" x14ac:dyDescent="0.2">
      <c r="A42" s="250"/>
      <c r="B42" s="166" t="s">
        <v>63</v>
      </c>
      <c r="C42" s="11" t="s">
        <v>279</v>
      </c>
      <c r="D42" s="84"/>
    </row>
    <row r="43" spans="1:4" ht="12" customHeight="1" x14ac:dyDescent="0.2">
      <c r="A43" s="251"/>
      <c r="B43" s="150" t="s">
        <v>64</v>
      </c>
      <c r="C43" s="9" t="s">
        <v>168</v>
      </c>
      <c r="D43" s="87"/>
    </row>
    <row r="44" spans="1:4" ht="15" customHeight="1" x14ac:dyDescent="0.2">
      <c r="A44" s="251"/>
      <c r="B44" s="150" t="s">
        <v>67</v>
      </c>
      <c r="C44" s="9" t="s">
        <v>2</v>
      </c>
      <c r="D44" s="87"/>
    </row>
    <row r="45" spans="1:4" ht="13.5" thickBot="1" x14ac:dyDescent="0.25">
      <c r="A45" s="251"/>
      <c r="B45" s="150" t="s">
        <v>78</v>
      </c>
      <c r="C45" s="9" t="s">
        <v>854</v>
      </c>
      <c r="D45" s="87"/>
    </row>
    <row r="46" spans="1:4" ht="15" customHeight="1" thickBot="1" x14ac:dyDescent="0.25">
      <c r="A46" s="209" t="s">
        <v>887</v>
      </c>
      <c r="B46" s="24"/>
      <c r="C46" s="24" t="s">
        <v>855</v>
      </c>
      <c r="D46" s="356"/>
    </row>
    <row r="47" spans="1:4" ht="14.25" customHeight="1" thickBot="1" x14ac:dyDescent="0.25">
      <c r="A47" s="240" t="s">
        <v>888</v>
      </c>
      <c r="B47" s="384"/>
      <c r="C47" s="385" t="s">
        <v>858</v>
      </c>
      <c r="D47" s="377"/>
    </row>
    <row r="48" spans="1:4" ht="13.5" thickBot="1" x14ac:dyDescent="0.25">
      <c r="A48" s="209" t="s">
        <v>889</v>
      </c>
      <c r="B48" s="237"/>
      <c r="C48" s="253" t="s">
        <v>856</v>
      </c>
      <c r="D48" s="382">
        <f>+D35+D41+D46+D47</f>
        <v>0</v>
      </c>
    </row>
    <row r="49" spans="1:4" ht="13.5" thickBot="1" x14ac:dyDescent="0.25">
      <c r="A49" s="254"/>
      <c r="B49" s="255"/>
      <c r="C49" s="255"/>
      <c r="D49" s="383"/>
    </row>
    <row r="50" spans="1:4" ht="13.5" thickBot="1" x14ac:dyDescent="0.25">
      <c r="A50" s="256" t="s">
        <v>208</v>
      </c>
      <c r="B50" s="257"/>
      <c r="C50" s="258"/>
      <c r="D50" s="124"/>
    </row>
    <row r="51" spans="1:4" ht="13.5" thickBot="1" x14ac:dyDescent="0.25">
      <c r="A51" s="256" t="s">
        <v>209</v>
      </c>
      <c r="B51" s="257"/>
      <c r="C51" s="258"/>
      <c r="D51" s="124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4"/>
      <c r="B1" s="215"/>
      <c r="C1" s="262"/>
      <c r="D1" s="261" t="s">
        <v>859</v>
      </c>
    </row>
    <row r="2" spans="1:4" s="95" customFormat="1" ht="25.5" customHeight="1" x14ac:dyDescent="0.2">
      <c r="A2" s="1316" t="s">
        <v>204</v>
      </c>
      <c r="B2" s="1317"/>
      <c r="C2" s="259" t="s">
        <v>211</v>
      </c>
      <c r="D2" s="263" t="s">
        <v>7</v>
      </c>
    </row>
    <row r="3" spans="1:4" s="95" customFormat="1" ht="16.5" thickBot="1" x14ac:dyDescent="0.25">
      <c r="A3" s="217" t="s">
        <v>203</v>
      </c>
      <c r="B3" s="218"/>
      <c r="C3" s="260" t="s">
        <v>212</v>
      </c>
      <c r="D3" s="264" t="s">
        <v>10</v>
      </c>
    </row>
    <row r="4" spans="1:4" s="96" customFormat="1" ht="15.95" customHeight="1" thickBot="1" x14ac:dyDescent="0.3">
      <c r="A4" s="219"/>
      <c r="B4" s="219"/>
      <c r="C4" s="219"/>
      <c r="D4" s="220" t="s">
        <v>923</v>
      </c>
    </row>
    <row r="5" spans="1:4" ht="13.5" thickBot="1" x14ac:dyDescent="0.25">
      <c r="A5" s="1310" t="s">
        <v>205</v>
      </c>
      <c r="B5" s="1311"/>
      <c r="C5" s="221" t="s">
        <v>924</v>
      </c>
      <c r="D5" s="222" t="s">
        <v>925</v>
      </c>
    </row>
    <row r="6" spans="1:4" s="53" customFormat="1" ht="12.95" customHeight="1" thickBot="1" x14ac:dyDescent="0.25">
      <c r="A6" s="201">
        <v>1</v>
      </c>
      <c r="B6" s="202">
        <v>2</v>
      </c>
      <c r="C6" s="202">
        <v>3</v>
      </c>
      <c r="D6" s="203">
        <v>4</v>
      </c>
    </row>
    <row r="7" spans="1:4" s="53" customFormat="1" ht="15.95" customHeight="1" thickBot="1" x14ac:dyDescent="0.25">
      <c r="A7" s="223"/>
      <c r="B7" s="224"/>
      <c r="C7" s="224" t="s">
        <v>926</v>
      </c>
      <c r="D7" s="225"/>
    </row>
    <row r="8" spans="1:4" s="97" customFormat="1" ht="12" customHeight="1" thickBot="1" x14ac:dyDescent="0.25">
      <c r="A8" s="201" t="s">
        <v>885</v>
      </c>
      <c r="B8" s="226"/>
      <c r="C8" s="227" t="s">
        <v>210</v>
      </c>
      <c r="D8" s="337">
        <f>SUM(D9:D16)</f>
        <v>0</v>
      </c>
    </row>
    <row r="9" spans="1:4" s="97" customFormat="1" ht="12" customHeight="1" x14ac:dyDescent="0.2">
      <c r="A9" s="230"/>
      <c r="B9" s="229" t="s">
        <v>57</v>
      </c>
      <c r="C9" s="12" t="s">
        <v>133</v>
      </c>
      <c r="D9" s="375"/>
    </row>
    <row r="10" spans="1:4" s="97" customFormat="1" ht="12" customHeight="1" x14ac:dyDescent="0.2">
      <c r="A10" s="228"/>
      <c r="B10" s="229" t="s">
        <v>58</v>
      </c>
      <c r="C10" s="9" t="s">
        <v>134</v>
      </c>
      <c r="D10" s="335"/>
    </row>
    <row r="11" spans="1:4" s="97" customFormat="1" ht="12" customHeight="1" x14ac:dyDescent="0.2">
      <c r="A11" s="228"/>
      <c r="B11" s="229" t="s">
        <v>59</v>
      </c>
      <c r="C11" s="9" t="s">
        <v>135</v>
      </c>
      <c r="D11" s="335"/>
    </row>
    <row r="12" spans="1:4" s="97" customFormat="1" ht="12" customHeight="1" x14ac:dyDescent="0.2">
      <c r="A12" s="228"/>
      <c r="B12" s="229" t="s">
        <v>60</v>
      </c>
      <c r="C12" s="9" t="s">
        <v>136</v>
      </c>
      <c r="D12" s="335"/>
    </row>
    <row r="13" spans="1:4" s="97" customFormat="1" ht="12" customHeight="1" x14ac:dyDescent="0.2">
      <c r="A13" s="228"/>
      <c r="B13" s="229" t="s">
        <v>91</v>
      </c>
      <c r="C13" s="8" t="s">
        <v>137</v>
      </c>
      <c r="D13" s="335"/>
    </row>
    <row r="14" spans="1:4" s="97" customFormat="1" ht="12" customHeight="1" x14ac:dyDescent="0.2">
      <c r="A14" s="231"/>
      <c r="B14" s="229" t="s">
        <v>61</v>
      </c>
      <c r="C14" s="9" t="s">
        <v>138</v>
      </c>
      <c r="D14" s="376"/>
    </row>
    <row r="15" spans="1:4" s="98" customFormat="1" ht="12" customHeight="1" x14ac:dyDescent="0.2">
      <c r="A15" s="228"/>
      <c r="B15" s="229" t="s">
        <v>62</v>
      </c>
      <c r="C15" s="9" t="s">
        <v>845</v>
      </c>
      <c r="D15" s="335"/>
    </row>
    <row r="16" spans="1:4" s="98" customFormat="1" ht="12" customHeight="1" thickBot="1" x14ac:dyDescent="0.25">
      <c r="A16" s="232"/>
      <c r="B16" s="233" t="s">
        <v>72</v>
      </c>
      <c r="C16" s="8" t="s">
        <v>197</v>
      </c>
      <c r="D16" s="336"/>
    </row>
    <row r="17" spans="1:4" s="97" customFormat="1" ht="12" customHeight="1" thickBot="1" x14ac:dyDescent="0.25">
      <c r="A17" s="201" t="s">
        <v>886</v>
      </c>
      <c r="B17" s="226"/>
      <c r="C17" s="227" t="s">
        <v>846</v>
      </c>
      <c r="D17" s="337">
        <f>SUM(D18:D21)</f>
        <v>0</v>
      </c>
    </row>
    <row r="18" spans="1:4" s="98" customFormat="1" ht="12" customHeight="1" x14ac:dyDescent="0.2">
      <c r="A18" s="228"/>
      <c r="B18" s="229" t="s">
        <v>63</v>
      </c>
      <c r="C18" s="11" t="s">
        <v>842</v>
      </c>
      <c r="D18" s="335"/>
    </row>
    <row r="19" spans="1:4" s="98" customFormat="1" ht="12" customHeight="1" x14ac:dyDescent="0.2">
      <c r="A19" s="228"/>
      <c r="B19" s="229" t="s">
        <v>64</v>
      </c>
      <c r="C19" s="9" t="s">
        <v>843</v>
      </c>
      <c r="D19" s="335"/>
    </row>
    <row r="20" spans="1:4" s="98" customFormat="1" ht="12" customHeight="1" x14ac:dyDescent="0.2">
      <c r="A20" s="228"/>
      <c r="B20" s="229" t="s">
        <v>65</v>
      </c>
      <c r="C20" s="9" t="s">
        <v>844</v>
      </c>
      <c r="D20" s="335"/>
    </row>
    <row r="21" spans="1:4" s="98" customFormat="1" ht="12" customHeight="1" thickBot="1" x14ac:dyDescent="0.25">
      <c r="A21" s="228"/>
      <c r="B21" s="229" t="s">
        <v>66</v>
      </c>
      <c r="C21" s="9" t="s">
        <v>843</v>
      </c>
      <c r="D21" s="335"/>
    </row>
    <row r="22" spans="1:4" s="98" customFormat="1" ht="12" customHeight="1" thickBot="1" x14ac:dyDescent="0.25">
      <c r="A22" s="209" t="s">
        <v>887</v>
      </c>
      <c r="B22" s="126"/>
      <c r="C22" s="126" t="s">
        <v>847</v>
      </c>
      <c r="D22" s="337">
        <f>+D23+D24</f>
        <v>0</v>
      </c>
    </row>
    <row r="23" spans="1:4" s="97" customFormat="1" ht="12" customHeight="1" x14ac:dyDescent="0.2">
      <c r="A23" s="370"/>
      <c r="B23" s="391" t="s">
        <v>37</v>
      </c>
      <c r="C23" s="142" t="s">
        <v>247</v>
      </c>
      <c r="D23" s="397"/>
    </row>
    <row r="24" spans="1:4" s="97" customFormat="1" ht="12" customHeight="1" thickBot="1" x14ac:dyDescent="0.25">
      <c r="A24" s="389"/>
      <c r="B24" s="390" t="s">
        <v>38</v>
      </c>
      <c r="C24" s="143" t="s">
        <v>251</v>
      </c>
      <c r="D24" s="398"/>
    </row>
    <row r="25" spans="1:4" s="97" customFormat="1" ht="12" customHeight="1" thickBot="1" x14ac:dyDescent="0.25">
      <c r="A25" s="209" t="s">
        <v>888</v>
      </c>
      <c r="B25" s="226"/>
      <c r="C25" s="126" t="s">
        <v>864</v>
      </c>
      <c r="D25" s="356"/>
    </row>
    <row r="26" spans="1:4" s="97" customFormat="1" ht="12" customHeight="1" thickBot="1" x14ac:dyDescent="0.25">
      <c r="A26" s="201" t="s">
        <v>889</v>
      </c>
      <c r="B26" s="169"/>
      <c r="C26" s="126" t="s">
        <v>860</v>
      </c>
      <c r="D26" s="378"/>
    </row>
    <row r="27" spans="1:4" s="98" customFormat="1" ht="12" customHeight="1" thickBot="1" x14ac:dyDescent="0.25">
      <c r="A27" s="386" t="s">
        <v>890</v>
      </c>
      <c r="B27" s="395"/>
      <c r="C27" s="388" t="s">
        <v>862</v>
      </c>
      <c r="D27" s="399">
        <f>+D28+D29</f>
        <v>0</v>
      </c>
    </row>
    <row r="28" spans="1:4" s="98" customFormat="1" ht="15" customHeight="1" x14ac:dyDescent="0.2">
      <c r="A28" s="230"/>
      <c r="B28" s="167" t="s">
        <v>44</v>
      </c>
      <c r="C28" s="142" t="s">
        <v>354</v>
      </c>
      <c r="D28" s="397"/>
    </row>
    <row r="29" spans="1:4" s="98" customFormat="1" ht="15" customHeight="1" thickBot="1" x14ac:dyDescent="0.25">
      <c r="A29" s="396"/>
      <c r="B29" s="168" t="s">
        <v>45</v>
      </c>
      <c r="C29" s="387" t="s">
        <v>850</v>
      </c>
      <c r="D29" s="91"/>
    </row>
    <row r="30" spans="1:4" ht="13.5" thickBot="1" x14ac:dyDescent="0.25">
      <c r="A30" s="240" t="s">
        <v>891</v>
      </c>
      <c r="B30" s="384"/>
      <c r="C30" s="385" t="s">
        <v>863</v>
      </c>
      <c r="D30" s="377"/>
    </row>
    <row r="31" spans="1:4" s="53" customFormat="1" ht="16.5" customHeight="1" thickBot="1" x14ac:dyDescent="0.25">
      <c r="A31" s="240" t="s">
        <v>892</v>
      </c>
      <c r="B31" s="241"/>
      <c r="C31" s="242" t="s">
        <v>861</v>
      </c>
      <c r="D31" s="381">
        <f>+D26+D27+D30</f>
        <v>0</v>
      </c>
    </row>
    <row r="32" spans="1:4" s="99" customFormat="1" ht="12" customHeight="1" x14ac:dyDescent="0.2">
      <c r="A32" s="243"/>
      <c r="B32" s="243"/>
      <c r="C32" s="244"/>
      <c r="D32" s="379"/>
    </row>
    <row r="33" spans="1:4" ht="12" customHeight="1" thickBot="1" x14ac:dyDescent="0.25">
      <c r="A33" s="245"/>
      <c r="B33" s="246"/>
      <c r="C33" s="246"/>
      <c r="D33" s="380"/>
    </row>
    <row r="34" spans="1:4" ht="12" customHeight="1" thickBot="1" x14ac:dyDescent="0.25">
      <c r="A34" s="247"/>
      <c r="B34" s="248"/>
      <c r="C34" s="249" t="s">
        <v>1</v>
      </c>
      <c r="D34" s="381"/>
    </row>
    <row r="35" spans="1:4" ht="12" customHeight="1" thickBot="1" x14ac:dyDescent="0.25">
      <c r="A35" s="209" t="s">
        <v>885</v>
      </c>
      <c r="B35" s="24"/>
      <c r="C35" s="126" t="s">
        <v>840</v>
      </c>
      <c r="D35" s="337">
        <f>SUM(D36:D40)</f>
        <v>0</v>
      </c>
    </row>
    <row r="36" spans="1:4" ht="12" customHeight="1" x14ac:dyDescent="0.2">
      <c r="A36" s="250"/>
      <c r="B36" s="166" t="s">
        <v>57</v>
      </c>
      <c r="C36" s="11" t="s">
        <v>916</v>
      </c>
      <c r="D36" s="84"/>
    </row>
    <row r="37" spans="1:4" ht="12" customHeight="1" x14ac:dyDescent="0.2">
      <c r="A37" s="251"/>
      <c r="B37" s="150" t="s">
        <v>58</v>
      </c>
      <c r="C37" s="9" t="s">
        <v>164</v>
      </c>
      <c r="D37" s="87"/>
    </row>
    <row r="38" spans="1:4" ht="12" customHeight="1" x14ac:dyDescent="0.2">
      <c r="A38" s="251"/>
      <c r="B38" s="150" t="s">
        <v>59</v>
      </c>
      <c r="C38" s="9" t="s">
        <v>88</v>
      </c>
      <c r="D38" s="87"/>
    </row>
    <row r="39" spans="1:4" s="99" customFormat="1" ht="12" customHeight="1" x14ac:dyDescent="0.2">
      <c r="A39" s="251"/>
      <c r="B39" s="150" t="s">
        <v>60</v>
      </c>
      <c r="C39" s="9" t="s">
        <v>165</v>
      </c>
      <c r="D39" s="87"/>
    </row>
    <row r="40" spans="1:4" ht="12" customHeight="1" thickBot="1" x14ac:dyDescent="0.25">
      <c r="A40" s="251"/>
      <c r="B40" s="150" t="s">
        <v>71</v>
      </c>
      <c r="C40" s="9" t="s">
        <v>166</v>
      </c>
      <c r="D40" s="87"/>
    </row>
    <row r="41" spans="1:4" ht="12" customHeight="1" thickBot="1" x14ac:dyDescent="0.25">
      <c r="A41" s="209" t="s">
        <v>886</v>
      </c>
      <c r="B41" s="24"/>
      <c r="C41" s="126" t="s">
        <v>857</v>
      </c>
      <c r="D41" s="337">
        <f>SUM(D42:D45)</f>
        <v>0</v>
      </c>
    </row>
    <row r="42" spans="1:4" ht="12" customHeight="1" x14ac:dyDescent="0.2">
      <c r="A42" s="250"/>
      <c r="B42" s="166" t="s">
        <v>63</v>
      </c>
      <c r="C42" s="11" t="s">
        <v>279</v>
      </c>
      <c r="D42" s="84"/>
    </row>
    <row r="43" spans="1:4" ht="12" customHeight="1" x14ac:dyDescent="0.2">
      <c r="A43" s="251"/>
      <c r="B43" s="150" t="s">
        <v>64</v>
      </c>
      <c r="C43" s="9" t="s">
        <v>168</v>
      </c>
      <c r="D43" s="87"/>
    </row>
    <row r="44" spans="1:4" ht="15" customHeight="1" x14ac:dyDescent="0.2">
      <c r="A44" s="251"/>
      <c r="B44" s="150" t="s">
        <v>67</v>
      </c>
      <c r="C44" s="9" t="s">
        <v>2</v>
      </c>
      <c r="D44" s="87"/>
    </row>
    <row r="45" spans="1:4" ht="13.5" thickBot="1" x14ac:dyDescent="0.25">
      <c r="A45" s="251"/>
      <c r="B45" s="150" t="s">
        <v>78</v>
      </c>
      <c r="C45" s="9" t="s">
        <v>854</v>
      </c>
      <c r="D45" s="87"/>
    </row>
    <row r="46" spans="1:4" ht="15" customHeight="1" thickBot="1" x14ac:dyDescent="0.25">
      <c r="A46" s="209" t="s">
        <v>887</v>
      </c>
      <c r="B46" s="24"/>
      <c r="C46" s="24" t="s">
        <v>855</v>
      </c>
      <c r="D46" s="356"/>
    </row>
    <row r="47" spans="1:4" ht="14.25" customHeight="1" thickBot="1" x14ac:dyDescent="0.25">
      <c r="A47" s="240" t="s">
        <v>888</v>
      </c>
      <c r="B47" s="384"/>
      <c r="C47" s="385" t="s">
        <v>858</v>
      </c>
      <c r="D47" s="377"/>
    </row>
    <row r="48" spans="1:4" ht="13.5" thickBot="1" x14ac:dyDescent="0.25">
      <c r="A48" s="209" t="s">
        <v>889</v>
      </c>
      <c r="B48" s="237"/>
      <c r="C48" s="253" t="s">
        <v>856</v>
      </c>
      <c r="D48" s="382">
        <f>+D35+D41+D46+D47</f>
        <v>0</v>
      </c>
    </row>
    <row r="49" spans="1:4" ht="13.5" thickBot="1" x14ac:dyDescent="0.25">
      <c r="A49" s="254"/>
      <c r="B49" s="255"/>
      <c r="C49" s="255"/>
      <c r="D49" s="383"/>
    </row>
    <row r="50" spans="1:4" ht="13.5" thickBot="1" x14ac:dyDescent="0.25">
      <c r="A50" s="256" t="s">
        <v>208</v>
      </c>
      <c r="B50" s="257"/>
      <c r="C50" s="258"/>
      <c r="D50" s="124"/>
    </row>
    <row r="51" spans="1:4" ht="13.5" thickBot="1" x14ac:dyDescent="0.25">
      <c r="A51" s="256" t="s">
        <v>209</v>
      </c>
      <c r="B51" s="257"/>
      <c r="C51" s="258"/>
      <c r="D51" s="124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52"/>
  <sheetViews>
    <sheetView view="pageLayout" zoomScaleNormal="100" zoomScaleSheetLayoutView="100" workbookViewId="0">
      <selection activeCell="I27" sqref="I27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6640625" style="4" customWidth="1"/>
    <col min="5" max="5" width="11.6640625" style="1057" customWidth="1"/>
    <col min="6" max="7" width="11.6640625" style="4" customWidth="1"/>
    <col min="8" max="16384" width="9.33203125" style="4"/>
  </cols>
  <sheetData>
    <row r="1" spans="1:7" s="2" customFormat="1" ht="21" customHeight="1" x14ac:dyDescent="0.2">
      <c r="A1" s="214"/>
      <c r="B1" s="215"/>
      <c r="C1" s="262"/>
    </row>
    <row r="2" spans="1:7" s="95" customFormat="1" ht="35.25" customHeight="1" x14ac:dyDescent="0.2">
      <c r="A2" s="1318" t="s">
        <v>204</v>
      </c>
      <c r="B2" s="1318"/>
      <c r="C2" s="1319" t="s">
        <v>672</v>
      </c>
      <c r="D2" s="1319"/>
      <c r="E2" s="1319"/>
      <c r="F2" s="1319"/>
      <c r="G2" s="1319"/>
    </row>
    <row r="3" spans="1:7" s="96" customFormat="1" ht="15.95" customHeight="1" thickBot="1" x14ac:dyDescent="0.3">
      <c r="A3" s="219"/>
      <c r="B3" s="219"/>
      <c r="C3" s="219"/>
      <c r="G3" s="220" t="s">
        <v>923</v>
      </c>
    </row>
    <row r="4" spans="1:7" ht="39" thickBot="1" x14ac:dyDescent="0.25">
      <c r="A4" s="1310" t="s">
        <v>205</v>
      </c>
      <c r="B4" s="1311"/>
      <c r="C4" s="542" t="s">
        <v>924</v>
      </c>
      <c r="D4" s="1045" t="s">
        <v>1164</v>
      </c>
      <c r="E4" s="1045" t="s">
        <v>1165</v>
      </c>
      <c r="F4" s="1102" t="s">
        <v>1208</v>
      </c>
      <c r="G4" s="1072" t="s">
        <v>1209</v>
      </c>
    </row>
    <row r="5" spans="1:7" s="53" customFormat="1" ht="12.95" customHeight="1" thickBot="1" x14ac:dyDescent="0.25">
      <c r="A5" s="201">
        <v>1</v>
      </c>
      <c r="B5" s="202">
        <v>2</v>
      </c>
      <c r="C5" s="543">
        <v>3</v>
      </c>
      <c r="D5" s="202">
        <v>4</v>
      </c>
      <c r="E5" s="202">
        <v>5</v>
      </c>
      <c r="F5" s="202">
        <v>6</v>
      </c>
      <c r="G5" s="543">
        <v>7</v>
      </c>
    </row>
    <row r="6" spans="1:7" s="53" customFormat="1" ht="15.95" customHeight="1" thickBot="1" x14ac:dyDescent="0.25">
      <c r="A6" s="223"/>
      <c r="B6" s="224"/>
      <c r="C6" s="224" t="s">
        <v>926</v>
      </c>
      <c r="D6" s="1103"/>
      <c r="E6" s="1103"/>
      <c r="F6" s="1103"/>
      <c r="G6" s="826"/>
    </row>
    <row r="7" spans="1:7" s="97" customFormat="1" ht="12" customHeight="1" thickBot="1" x14ac:dyDescent="0.25">
      <c r="A7" s="201" t="s">
        <v>885</v>
      </c>
      <c r="B7" s="226"/>
      <c r="C7" s="553" t="s">
        <v>210</v>
      </c>
      <c r="D7" s="547">
        <f>SUM(D8:D15)</f>
        <v>110</v>
      </c>
      <c r="E7" s="713">
        <f>SUM(E8:E16)</f>
        <v>143</v>
      </c>
      <c r="F7" s="713">
        <f>SUM(F8:F16)</f>
        <v>143</v>
      </c>
      <c r="G7" s="1095">
        <v>1</v>
      </c>
    </row>
    <row r="8" spans="1:7" s="97" customFormat="1" ht="12" customHeight="1" x14ac:dyDescent="0.2">
      <c r="A8" s="230"/>
      <c r="B8" s="229" t="s">
        <v>57</v>
      </c>
      <c r="C8" s="554" t="s">
        <v>1075</v>
      </c>
      <c r="D8" s="707">
        <v>50</v>
      </c>
      <c r="E8" s="707">
        <v>0</v>
      </c>
      <c r="F8" s="707"/>
      <c r="G8" s="815"/>
    </row>
    <row r="9" spans="1:7" s="97" customFormat="1" ht="12" customHeight="1" x14ac:dyDescent="0.2">
      <c r="A9" s="228"/>
      <c r="B9" s="229" t="s">
        <v>58</v>
      </c>
      <c r="C9" s="555" t="s">
        <v>134</v>
      </c>
      <c r="D9" s="708">
        <v>60</v>
      </c>
      <c r="E9" s="708">
        <f>60+50+30</f>
        <v>140</v>
      </c>
      <c r="F9" s="708">
        <v>140</v>
      </c>
      <c r="G9" s="1096">
        <v>1</v>
      </c>
    </row>
    <row r="10" spans="1:7" s="97" customFormat="1" ht="12" customHeight="1" x14ac:dyDescent="0.2">
      <c r="A10" s="228"/>
      <c r="B10" s="229" t="s">
        <v>59</v>
      </c>
      <c r="C10" s="555" t="s">
        <v>135</v>
      </c>
      <c r="D10" s="708"/>
      <c r="E10" s="708"/>
      <c r="F10" s="708"/>
      <c r="G10" s="816"/>
    </row>
    <row r="11" spans="1:7" s="97" customFormat="1" ht="12" customHeight="1" x14ac:dyDescent="0.2">
      <c r="A11" s="228"/>
      <c r="B11" s="229" t="s">
        <v>60</v>
      </c>
      <c r="C11" s="555" t="s">
        <v>136</v>
      </c>
      <c r="D11" s="708"/>
      <c r="E11" s="708"/>
      <c r="F11" s="708"/>
      <c r="G11" s="816"/>
    </row>
    <row r="12" spans="1:7" s="97" customFormat="1" ht="12" customHeight="1" x14ac:dyDescent="0.2">
      <c r="A12" s="228"/>
      <c r="B12" s="229" t="s">
        <v>91</v>
      </c>
      <c r="C12" s="556" t="s">
        <v>137</v>
      </c>
      <c r="D12" s="708"/>
      <c r="E12" s="708"/>
      <c r="F12" s="708"/>
      <c r="G12" s="816"/>
    </row>
    <row r="13" spans="1:7" s="97" customFormat="1" ht="12" customHeight="1" x14ac:dyDescent="0.2">
      <c r="A13" s="231"/>
      <c r="B13" s="229" t="s">
        <v>61</v>
      </c>
      <c r="C13" s="555" t="s">
        <v>138</v>
      </c>
      <c r="D13" s="709"/>
      <c r="E13" s="709"/>
      <c r="F13" s="709"/>
      <c r="G13" s="817"/>
    </row>
    <row r="14" spans="1:7" s="98" customFormat="1" ht="12" customHeight="1" x14ac:dyDescent="0.2">
      <c r="A14" s="228"/>
      <c r="B14" s="229" t="s">
        <v>62</v>
      </c>
      <c r="C14" s="555" t="s">
        <v>845</v>
      </c>
      <c r="D14" s="708"/>
      <c r="E14" s="708"/>
      <c r="F14" s="708"/>
      <c r="G14" s="816"/>
    </row>
    <row r="15" spans="1:7" s="98" customFormat="1" ht="12" customHeight="1" x14ac:dyDescent="0.2">
      <c r="A15" s="228"/>
      <c r="B15" s="229" t="s">
        <v>72</v>
      </c>
      <c r="C15" s="555" t="s">
        <v>197</v>
      </c>
      <c r="D15" s="708"/>
      <c r="E15" s="708"/>
      <c r="F15" s="708"/>
      <c r="G15" s="816"/>
    </row>
    <row r="16" spans="1:7" s="98" customFormat="1" ht="12" customHeight="1" thickBot="1" x14ac:dyDescent="0.25">
      <c r="A16" s="235"/>
      <c r="B16" s="1058" t="s">
        <v>73</v>
      </c>
      <c r="C16" s="1061" t="s">
        <v>1190</v>
      </c>
      <c r="D16" s="714"/>
      <c r="E16" s="714">
        <v>3</v>
      </c>
      <c r="F16" s="714">
        <v>3</v>
      </c>
      <c r="G16" s="1097">
        <v>1</v>
      </c>
    </row>
    <row r="17" spans="1:9" s="97" customFormat="1" ht="12" customHeight="1" thickBot="1" x14ac:dyDescent="0.25">
      <c r="A17" s="201" t="s">
        <v>886</v>
      </c>
      <c r="B17" s="226"/>
      <c r="C17" s="553" t="s">
        <v>846</v>
      </c>
      <c r="D17" s="547"/>
      <c r="E17" s="713"/>
      <c r="F17" s="713"/>
      <c r="G17" s="819"/>
    </row>
    <row r="18" spans="1:9" s="98" customFormat="1" ht="12" customHeight="1" x14ac:dyDescent="0.2">
      <c r="A18" s="228"/>
      <c r="B18" s="229" t="s">
        <v>63</v>
      </c>
      <c r="C18" s="557" t="s">
        <v>842</v>
      </c>
      <c r="D18" s="708"/>
      <c r="E18" s="708"/>
      <c r="F18" s="708"/>
      <c r="G18" s="816"/>
    </row>
    <row r="19" spans="1:9" s="98" customFormat="1" ht="12" customHeight="1" x14ac:dyDescent="0.2">
      <c r="A19" s="228"/>
      <c r="B19" s="229" t="s">
        <v>64</v>
      </c>
      <c r="C19" s="555" t="s">
        <v>843</v>
      </c>
      <c r="D19" s="708"/>
      <c r="E19" s="708"/>
      <c r="F19" s="708"/>
      <c r="G19" s="816"/>
    </row>
    <row r="20" spans="1:9" s="98" customFormat="1" ht="12" customHeight="1" x14ac:dyDescent="0.2">
      <c r="A20" s="228"/>
      <c r="B20" s="229" t="s">
        <v>65</v>
      </c>
      <c r="C20" s="555" t="s">
        <v>844</v>
      </c>
      <c r="D20" s="708"/>
      <c r="E20" s="708"/>
      <c r="F20" s="708"/>
      <c r="G20" s="816"/>
    </row>
    <row r="21" spans="1:9" s="98" customFormat="1" ht="12" customHeight="1" thickBot="1" x14ac:dyDescent="0.25">
      <c r="A21" s="228"/>
      <c r="B21" s="229" t="s">
        <v>66</v>
      </c>
      <c r="C21" s="555" t="s">
        <v>843</v>
      </c>
      <c r="D21" s="708"/>
      <c r="E21" s="708"/>
      <c r="F21" s="708"/>
      <c r="G21" s="816"/>
    </row>
    <row r="22" spans="1:9" s="98" customFormat="1" ht="12" customHeight="1" thickBot="1" x14ac:dyDescent="0.25">
      <c r="A22" s="209" t="s">
        <v>887</v>
      </c>
      <c r="B22" s="126"/>
      <c r="C22" s="558" t="s">
        <v>847</v>
      </c>
      <c r="D22" s="547"/>
      <c r="E22" s="713"/>
      <c r="F22" s="713"/>
      <c r="G22" s="819"/>
    </row>
    <row r="23" spans="1:9" s="97" customFormat="1" ht="12" customHeight="1" x14ac:dyDescent="0.2">
      <c r="A23" s="370"/>
      <c r="B23" s="391" t="s">
        <v>37</v>
      </c>
      <c r="C23" s="559" t="s">
        <v>247</v>
      </c>
      <c r="D23" s="711"/>
      <c r="E23" s="707"/>
      <c r="F23" s="707"/>
      <c r="G23" s="815"/>
    </row>
    <row r="24" spans="1:9" s="97" customFormat="1" ht="12" customHeight="1" thickBot="1" x14ac:dyDescent="0.25">
      <c r="A24" s="389"/>
      <c r="B24" s="390" t="s">
        <v>38</v>
      </c>
      <c r="C24" s="560" t="s">
        <v>251</v>
      </c>
      <c r="D24" s="1104"/>
      <c r="E24" s="1105"/>
      <c r="F24" s="1105"/>
      <c r="G24" s="1054"/>
    </row>
    <row r="25" spans="1:9" s="97" customFormat="1" ht="12" customHeight="1" thickBot="1" x14ac:dyDescent="0.25">
      <c r="A25" s="209" t="s">
        <v>888</v>
      </c>
      <c r="B25" s="226"/>
      <c r="C25" s="558" t="s">
        <v>864</v>
      </c>
      <c r="D25" s="666">
        <f>D49-D7</f>
        <v>61207</v>
      </c>
      <c r="E25" s="1106">
        <f>61207+11+610</f>
        <v>61828</v>
      </c>
      <c r="F25" s="1106">
        <v>57239</v>
      </c>
      <c r="G25" s="1098">
        <f>F25/E25</f>
        <v>0.92577796467619844</v>
      </c>
    </row>
    <row r="26" spans="1:9" s="97" customFormat="1" ht="12" customHeight="1" thickBot="1" x14ac:dyDescent="0.25">
      <c r="A26" s="201" t="s">
        <v>889</v>
      </c>
      <c r="B26" s="169"/>
      <c r="C26" s="558" t="s">
        <v>860</v>
      </c>
      <c r="D26" s="547">
        <f>D7+D17+D22+D25</f>
        <v>61317</v>
      </c>
      <c r="E26" s="713">
        <f>E7+E17+E22+E25</f>
        <v>61971</v>
      </c>
      <c r="F26" s="713">
        <f>F7+F17+F22+F25</f>
        <v>57382</v>
      </c>
      <c r="G26" s="1099">
        <f>F26/E26</f>
        <v>0.92594923431927834</v>
      </c>
    </row>
    <row r="27" spans="1:9" s="98" customFormat="1" ht="12" customHeight="1" thickBot="1" x14ac:dyDescent="0.25">
      <c r="A27" s="386" t="s">
        <v>890</v>
      </c>
      <c r="B27" s="839"/>
      <c r="C27" s="561" t="s">
        <v>862</v>
      </c>
      <c r="D27" s="1046"/>
      <c r="E27" s="1007">
        <f>SUM(E28:E30)</f>
        <v>8711</v>
      </c>
      <c r="F27" s="1007">
        <f>SUM(F28:F30)</f>
        <v>8711</v>
      </c>
      <c r="G27" s="1101">
        <v>1</v>
      </c>
      <c r="I27" s="673"/>
    </row>
    <row r="28" spans="1:9" s="98" customFormat="1" ht="15" customHeight="1" x14ac:dyDescent="0.2">
      <c r="A28" s="230"/>
      <c r="B28" s="167" t="s">
        <v>44</v>
      </c>
      <c r="C28" s="559" t="s">
        <v>354</v>
      </c>
      <c r="D28" s="711"/>
      <c r="E28" s="707">
        <v>8711</v>
      </c>
      <c r="F28" s="707">
        <v>8711</v>
      </c>
      <c r="G28" s="1100">
        <f>F28/E28</f>
        <v>1</v>
      </c>
    </row>
    <row r="29" spans="1:9" s="98" customFormat="1" ht="15" customHeight="1" x14ac:dyDescent="0.2">
      <c r="A29" s="551"/>
      <c r="B29" s="170" t="s">
        <v>45</v>
      </c>
      <c r="C29" s="562" t="s">
        <v>850</v>
      </c>
      <c r="D29" s="663"/>
      <c r="E29" s="710"/>
      <c r="F29" s="710"/>
      <c r="G29" s="818"/>
    </row>
    <row r="30" spans="1:9" s="98" customFormat="1" ht="15" customHeight="1" thickBot="1" x14ac:dyDescent="0.25">
      <c r="A30" s="396"/>
      <c r="B30" s="552" t="s">
        <v>932</v>
      </c>
      <c r="C30" s="563" t="s">
        <v>934</v>
      </c>
      <c r="D30" s="712"/>
      <c r="E30" s="714"/>
      <c r="F30" s="714"/>
      <c r="G30" s="1056"/>
    </row>
    <row r="31" spans="1:9" ht="13.5" thickBot="1" x14ac:dyDescent="0.25">
      <c r="A31" s="240" t="s">
        <v>891</v>
      </c>
      <c r="B31" s="384"/>
      <c r="C31" s="564" t="s">
        <v>863</v>
      </c>
      <c r="D31" s="666"/>
      <c r="E31" s="1106"/>
      <c r="F31" s="1106"/>
      <c r="G31" s="1055"/>
    </row>
    <row r="32" spans="1:9" s="53" customFormat="1" ht="16.5" customHeight="1" thickBot="1" x14ac:dyDescent="0.25">
      <c r="A32" s="240" t="s">
        <v>892</v>
      </c>
      <c r="B32" s="241"/>
      <c r="C32" s="565" t="s">
        <v>861</v>
      </c>
      <c r="D32" s="713">
        <f t="shared" ref="D32:F32" si="0">D26+D27+D31</f>
        <v>61317</v>
      </c>
      <c r="E32" s="713">
        <f t="shared" si="0"/>
        <v>70682</v>
      </c>
      <c r="F32" s="713">
        <f t="shared" si="0"/>
        <v>66093</v>
      </c>
      <c r="G32" s="1095">
        <f>F32/E32</f>
        <v>0.93507540816615264</v>
      </c>
    </row>
    <row r="33" spans="1:7" s="99" customFormat="1" ht="12" customHeight="1" x14ac:dyDescent="0.2">
      <c r="A33" s="243"/>
      <c r="B33" s="243"/>
      <c r="C33" s="244"/>
      <c r="D33" s="669"/>
    </row>
    <row r="34" spans="1:7" ht="12" customHeight="1" thickBot="1" x14ac:dyDescent="0.25">
      <c r="A34" s="245"/>
      <c r="B34" s="246"/>
      <c r="C34" s="246"/>
      <c r="D34" s="668"/>
      <c r="F34" s="1057"/>
      <c r="G34" s="1057"/>
    </row>
    <row r="35" spans="1:7" ht="39" thickBot="1" x14ac:dyDescent="0.25">
      <c r="A35" s="247"/>
      <c r="B35" s="248"/>
      <c r="C35" s="249" t="s">
        <v>1</v>
      </c>
      <c r="D35" s="1045" t="s">
        <v>1164</v>
      </c>
      <c r="E35" s="1045" t="s">
        <v>1165</v>
      </c>
      <c r="F35" s="1102" t="s">
        <v>1208</v>
      </c>
      <c r="G35" s="1072" t="s">
        <v>1209</v>
      </c>
    </row>
    <row r="36" spans="1:7" ht="12" customHeight="1" thickBot="1" x14ac:dyDescent="0.25">
      <c r="A36" s="209" t="s">
        <v>885</v>
      </c>
      <c r="B36" s="24"/>
      <c r="C36" s="558" t="s">
        <v>840</v>
      </c>
      <c r="D36" s="838">
        <f>SUM(D37:D41)</f>
        <v>61317</v>
      </c>
      <c r="E36" s="713">
        <f>SUM(E37:E41)</f>
        <v>70605</v>
      </c>
      <c r="F36" s="713">
        <f>SUM(F37:F41)</f>
        <v>57250</v>
      </c>
      <c r="G36" s="1109">
        <f>F36/E36</f>
        <v>0.81084909000778982</v>
      </c>
    </row>
    <row r="37" spans="1:7" ht="12" customHeight="1" x14ac:dyDescent="0.2">
      <c r="A37" s="250"/>
      <c r="B37" s="166" t="s">
        <v>57</v>
      </c>
      <c r="C37" s="557" t="s">
        <v>916</v>
      </c>
      <c r="D37" s="661">
        <v>41465</v>
      </c>
      <c r="E37" s="715">
        <f>D37+128+9+530</f>
        <v>42132</v>
      </c>
      <c r="F37" s="715">
        <v>42060</v>
      </c>
      <c r="G37" s="1094">
        <f>F37/E37</f>
        <v>0.9982910851609228</v>
      </c>
    </row>
    <row r="38" spans="1:7" ht="12" customHeight="1" x14ac:dyDescent="0.2">
      <c r="A38" s="251"/>
      <c r="B38" s="150" t="s">
        <v>58</v>
      </c>
      <c r="C38" s="555" t="s">
        <v>164</v>
      </c>
      <c r="D38" s="662">
        <v>10912</v>
      </c>
      <c r="E38" s="708">
        <f>D38+2+110-77</f>
        <v>10947</v>
      </c>
      <c r="F38" s="708">
        <v>9521</v>
      </c>
      <c r="G38" s="1094">
        <f t="shared" ref="G38:G39" si="1">F38/E38</f>
        <v>0.86973600073079382</v>
      </c>
    </row>
    <row r="39" spans="1:7" ht="12" customHeight="1" x14ac:dyDescent="0.2">
      <c r="A39" s="251"/>
      <c r="B39" s="150" t="s">
        <v>59</v>
      </c>
      <c r="C39" s="555" t="s">
        <v>88</v>
      </c>
      <c r="D39" s="662">
        <v>8940</v>
      </c>
      <c r="E39" s="708">
        <f>D39+3</f>
        <v>8943</v>
      </c>
      <c r="F39" s="708">
        <v>5669</v>
      </c>
      <c r="G39" s="1094">
        <f t="shared" si="1"/>
        <v>0.63390361176339038</v>
      </c>
    </row>
    <row r="40" spans="1:7" s="99" customFormat="1" ht="12" customHeight="1" x14ac:dyDescent="0.2">
      <c r="A40" s="251"/>
      <c r="B40" s="150" t="s">
        <v>60</v>
      </c>
      <c r="C40" s="555" t="s">
        <v>165</v>
      </c>
      <c r="D40" s="662"/>
      <c r="E40" s="708"/>
      <c r="F40" s="708"/>
      <c r="G40" s="816"/>
    </row>
    <row r="41" spans="1:7" ht="12" customHeight="1" thickBot="1" x14ac:dyDescent="0.25">
      <c r="A41" s="251"/>
      <c r="B41" s="150" t="s">
        <v>71</v>
      </c>
      <c r="C41" s="555" t="s">
        <v>166</v>
      </c>
      <c r="D41" s="662"/>
      <c r="E41" s="708">
        <v>8583</v>
      </c>
      <c r="F41" s="708"/>
      <c r="G41" s="816"/>
    </row>
    <row r="42" spans="1:7" ht="12" customHeight="1" thickBot="1" x14ac:dyDescent="0.25">
      <c r="A42" s="209" t="s">
        <v>886</v>
      </c>
      <c r="B42" s="24"/>
      <c r="C42" s="558" t="s">
        <v>857</v>
      </c>
      <c r="D42" s="547"/>
      <c r="E42" s="547">
        <v>77</v>
      </c>
      <c r="F42" s="713">
        <v>76</v>
      </c>
      <c r="G42" s="1095">
        <f>F42/E42</f>
        <v>0.98701298701298701</v>
      </c>
    </row>
    <row r="43" spans="1:7" ht="12" customHeight="1" x14ac:dyDescent="0.2">
      <c r="A43" s="250"/>
      <c r="B43" s="166" t="s">
        <v>63</v>
      </c>
      <c r="C43" s="557" t="s">
        <v>279</v>
      </c>
      <c r="D43" s="661"/>
      <c r="E43" s="715">
        <v>77</v>
      </c>
      <c r="F43" s="715">
        <v>76</v>
      </c>
      <c r="G43" s="1094">
        <f>F43/E43</f>
        <v>0.98701298701298701</v>
      </c>
    </row>
    <row r="44" spans="1:7" ht="12" customHeight="1" x14ac:dyDescent="0.2">
      <c r="A44" s="251"/>
      <c r="B44" s="150" t="s">
        <v>64</v>
      </c>
      <c r="C44" s="555" t="s">
        <v>168</v>
      </c>
      <c r="D44" s="662"/>
      <c r="E44" s="708"/>
      <c r="F44" s="708"/>
      <c r="G44" s="816"/>
    </row>
    <row r="45" spans="1:7" ht="15" customHeight="1" x14ac:dyDescent="0.2">
      <c r="A45" s="251"/>
      <c r="B45" s="150" t="s">
        <v>67</v>
      </c>
      <c r="C45" s="555" t="s">
        <v>2</v>
      </c>
      <c r="D45" s="662"/>
      <c r="E45" s="708"/>
      <c r="F45" s="708"/>
      <c r="G45" s="816"/>
    </row>
    <row r="46" spans="1:7" ht="13.5" thickBot="1" x14ac:dyDescent="0.25">
      <c r="A46" s="251"/>
      <c r="B46" s="150" t="s">
        <v>78</v>
      </c>
      <c r="C46" s="555" t="s">
        <v>854</v>
      </c>
      <c r="D46" s="662"/>
      <c r="E46" s="708"/>
      <c r="F46" s="708"/>
      <c r="G46" s="816"/>
    </row>
    <row r="47" spans="1:7" ht="15" customHeight="1" thickBot="1" x14ac:dyDescent="0.25">
      <c r="A47" s="209" t="s">
        <v>887</v>
      </c>
      <c r="B47" s="24"/>
      <c r="C47" s="566" t="s">
        <v>855</v>
      </c>
      <c r="D47" s="666"/>
      <c r="E47" s="1106"/>
      <c r="F47" s="1106"/>
      <c r="G47" s="1055"/>
    </row>
    <row r="48" spans="1:7" ht="14.25" customHeight="1" thickBot="1" x14ac:dyDescent="0.25">
      <c r="A48" s="386" t="s">
        <v>888</v>
      </c>
      <c r="B48" s="840"/>
      <c r="C48" s="841" t="s">
        <v>858</v>
      </c>
      <c r="D48" s="1107"/>
      <c r="E48" s="1108"/>
      <c r="F48" s="1108"/>
      <c r="G48" s="1060"/>
    </row>
    <row r="49" spans="1:7" ht="13.5" thickBot="1" x14ac:dyDescent="0.25">
      <c r="A49" s="209" t="s">
        <v>889</v>
      </c>
      <c r="B49" s="237"/>
      <c r="C49" s="567" t="s">
        <v>856</v>
      </c>
      <c r="D49" s="713">
        <f>+D36+D42+D47+D48</f>
        <v>61317</v>
      </c>
      <c r="E49" s="713">
        <f>+E36+E42+E47+E48</f>
        <v>70682</v>
      </c>
      <c r="F49" s="713">
        <f>+F36+F42+F47+F48</f>
        <v>57326</v>
      </c>
      <c r="G49" s="1095">
        <f>F49/E49</f>
        <v>0.81104100053761918</v>
      </c>
    </row>
    <row r="50" spans="1:7" x14ac:dyDescent="0.2">
      <c r="A50" s="254"/>
      <c r="B50" s="255"/>
      <c r="C50" s="255"/>
    </row>
    <row r="51" spans="1:7" ht="13.5" hidden="1" thickBot="1" x14ac:dyDescent="0.25">
      <c r="A51" s="256" t="s">
        <v>208</v>
      </c>
      <c r="B51" s="257"/>
      <c r="C51" s="258"/>
    </row>
    <row r="52" spans="1:7" ht="13.5" hidden="1" thickBot="1" x14ac:dyDescent="0.25">
      <c r="A52" s="256" t="s">
        <v>209</v>
      </c>
      <c r="B52" s="257"/>
      <c r="C52" s="258"/>
    </row>
  </sheetData>
  <mergeCells count="3">
    <mergeCell ref="A2:B2"/>
    <mergeCell ref="A4:B4"/>
    <mergeCell ref="C2:G2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4/2018. (IV.27.)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1"/>
  <sheetViews>
    <sheetView view="pageLayout" zoomScaleNormal="100" zoomScaleSheetLayoutView="100" workbookViewId="0">
      <selection activeCell="C38" sqref="C38"/>
    </sheetView>
  </sheetViews>
  <sheetFormatPr defaultColWidth="9.33203125" defaultRowHeight="12.75" x14ac:dyDescent="0.2"/>
  <cols>
    <col min="1" max="1" width="4.83203125" style="541" customWidth="1"/>
    <col min="2" max="2" width="8.83203125" style="531" customWidth="1"/>
    <col min="3" max="3" width="71.83203125" style="531" customWidth="1"/>
    <col min="4" max="4" width="11.5" style="531" customWidth="1"/>
    <col min="5" max="5" width="11.5" style="1082" customWidth="1"/>
    <col min="6" max="7" width="11.5" style="531" customWidth="1"/>
    <col min="8" max="16384" width="9.33203125" style="531"/>
  </cols>
  <sheetData>
    <row r="1" spans="1:7" s="528" customFormat="1" ht="21" customHeight="1" x14ac:dyDescent="0.2">
      <c r="A1" s="214"/>
      <c r="B1" s="215"/>
      <c r="C1" s="1006"/>
      <c r="E1" s="1070"/>
    </row>
    <row r="2" spans="1:7" s="529" customFormat="1" ht="40.5" customHeight="1" x14ac:dyDescent="0.2">
      <c r="A2" s="1318" t="s">
        <v>204</v>
      </c>
      <c r="B2" s="1318"/>
      <c r="C2" s="1320" t="s">
        <v>476</v>
      </c>
      <c r="D2" s="1321"/>
      <c r="E2" s="1321"/>
      <c r="F2" s="1321"/>
      <c r="G2" s="1322"/>
    </row>
    <row r="3" spans="1:7" s="530" customFormat="1" ht="15.95" customHeight="1" thickBot="1" x14ac:dyDescent="0.3">
      <c r="A3" s="219"/>
      <c r="B3" s="219"/>
      <c r="C3" s="219"/>
      <c r="E3" s="1071"/>
      <c r="G3" s="220" t="s">
        <v>923</v>
      </c>
    </row>
    <row r="4" spans="1:7" ht="39" thickBot="1" x14ac:dyDescent="0.25">
      <c r="A4" s="1310" t="s">
        <v>205</v>
      </c>
      <c r="B4" s="1311"/>
      <c r="C4" s="542" t="s">
        <v>924</v>
      </c>
      <c r="D4" s="1045" t="s">
        <v>1164</v>
      </c>
      <c r="E4" s="1102" t="s">
        <v>1165</v>
      </c>
      <c r="F4" s="1102" t="s">
        <v>1208</v>
      </c>
      <c r="G4" s="1072" t="s">
        <v>1209</v>
      </c>
    </row>
    <row r="5" spans="1:7" s="532" customFormat="1" ht="12.95" customHeight="1" thickBot="1" x14ac:dyDescent="0.25">
      <c r="A5" s="201">
        <v>1</v>
      </c>
      <c r="B5" s="202">
        <v>2</v>
      </c>
      <c r="C5" s="543">
        <v>3</v>
      </c>
      <c r="D5" s="202">
        <v>4</v>
      </c>
      <c r="E5" s="1125">
        <v>5</v>
      </c>
      <c r="F5" s="1125">
        <v>6</v>
      </c>
      <c r="G5" s="1126">
        <v>7</v>
      </c>
    </row>
    <row r="6" spans="1:7" s="532" customFormat="1" ht="15.95" customHeight="1" thickBot="1" x14ac:dyDescent="0.25">
      <c r="A6" s="223"/>
      <c r="B6" s="224"/>
      <c r="C6" s="224" t="s">
        <v>926</v>
      </c>
      <c r="D6" s="1103"/>
      <c r="E6" s="1115"/>
      <c r="F6" s="1115"/>
      <c r="G6" s="1074"/>
    </row>
    <row r="7" spans="1:7" s="533" customFormat="1" ht="12" customHeight="1" thickBot="1" x14ac:dyDescent="0.25">
      <c r="A7" s="201" t="s">
        <v>885</v>
      </c>
      <c r="B7" s="226"/>
      <c r="C7" s="553" t="s">
        <v>210</v>
      </c>
      <c r="D7" s="547">
        <f>SUM(D8:D15)</f>
        <v>2870</v>
      </c>
      <c r="E7" s="1116">
        <f>SUM(E8:E16)</f>
        <v>2874</v>
      </c>
      <c r="F7" s="1116">
        <f>SUM(F8:F16)</f>
        <v>2722</v>
      </c>
      <c r="G7" s="1110">
        <f>F7/E7</f>
        <v>0.94711203897007656</v>
      </c>
    </row>
    <row r="8" spans="1:7" s="533" customFormat="1" ht="12" customHeight="1" x14ac:dyDescent="0.2">
      <c r="A8" s="230"/>
      <c r="B8" s="229" t="s">
        <v>57</v>
      </c>
      <c r="C8" s="554" t="s">
        <v>1075</v>
      </c>
      <c r="D8" s="707">
        <v>1005</v>
      </c>
      <c r="E8" s="707">
        <f>1005+295</f>
        <v>1300</v>
      </c>
      <c r="F8" s="707">
        <v>1292</v>
      </c>
      <c r="G8" s="1100">
        <f>F8/E8</f>
        <v>0.99384615384615382</v>
      </c>
    </row>
    <row r="9" spans="1:7" s="533" customFormat="1" ht="12" customHeight="1" x14ac:dyDescent="0.2">
      <c r="A9" s="228"/>
      <c r="B9" s="229" t="s">
        <v>58</v>
      </c>
      <c r="C9" s="555" t="s">
        <v>134</v>
      </c>
      <c r="D9" s="708"/>
      <c r="E9" s="708"/>
      <c r="F9" s="708"/>
      <c r="G9" s="816"/>
    </row>
    <row r="10" spans="1:7" s="533" customFormat="1" ht="12" customHeight="1" x14ac:dyDescent="0.2">
      <c r="A10" s="228"/>
      <c r="B10" s="229" t="s">
        <v>59</v>
      </c>
      <c r="C10" s="555" t="s">
        <v>135</v>
      </c>
      <c r="D10" s="708"/>
      <c r="E10" s="708"/>
      <c r="F10" s="708"/>
      <c r="G10" s="816"/>
    </row>
    <row r="11" spans="1:7" s="533" customFormat="1" ht="12" customHeight="1" x14ac:dyDescent="0.2">
      <c r="A11" s="228"/>
      <c r="B11" s="229" t="s">
        <v>60</v>
      </c>
      <c r="C11" s="555" t="s">
        <v>136</v>
      </c>
      <c r="D11" s="708">
        <v>1255</v>
      </c>
      <c r="E11" s="708">
        <f>1255-295</f>
        <v>960</v>
      </c>
      <c r="F11" s="708">
        <v>921</v>
      </c>
      <c r="G11" s="1096">
        <f>F11/E11</f>
        <v>0.95937499999999998</v>
      </c>
    </row>
    <row r="12" spans="1:7" s="533" customFormat="1" ht="12" customHeight="1" x14ac:dyDescent="0.2">
      <c r="A12" s="228"/>
      <c r="B12" s="229" t="s">
        <v>91</v>
      </c>
      <c r="C12" s="556" t="s">
        <v>137</v>
      </c>
      <c r="D12" s="708"/>
      <c r="E12" s="1117"/>
      <c r="F12" s="1117"/>
      <c r="G12" s="816"/>
    </row>
    <row r="13" spans="1:7" s="533" customFormat="1" ht="12" customHeight="1" x14ac:dyDescent="0.2">
      <c r="A13" s="231"/>
      <c r="B13" s="229" t="s">
        <v>61</v>
      </c>
      <c r="C13" s="555" t="s">
        <v>138</v>
      </c>
      <c r="D13" s="709">
        <v>610</v>
      </c>
      <c r="E13" s="1118">
        <v>610</v>
      </c>
      <c r="F13" s="1118">
        <v>505</v>
      </c>
      <c r="G13" s="1111">
        <f>F13/E13</f>
        <v>0.82786885245901642</v>
      </c>
    </row>
    <row r="14" spans="1:7" s="534" customFormat="1" ht="12" customHeight="1" x14ac:dyDescent="0.2">
      <c r="A14" s="228"/>
      <c r="B14" s="229" t="s">
        <v>62</v>
      </c>
      <c r="C14" s="555" t="s">
        <v>845</v>
      </c>
      <c r="D14" s="708"/>
      <c r="E14" s="1117"/>
      <c r="F14" s="1117"/>
      <c r="G14" s="816"/>
    </row>
    <row r="15" spans="1:7" s="534" customFormat="1" ht="12" customHeight="1" x14ac:dyDescent="0.2">
      <c r="A15" s="228"/>
      <c r="B15" s="229" t="s">
        <v>72</v>
      </c>
      <c r="C15" s="9" t="s">
        <v>197</v>
      </c>
      <c r="D15" s="708"/>
      <c r="E15" s="1117"/>
      <c r="F15" s="1117"/>
      <c r="G15" s="816"/>
    </row>
    <row r="16" spans="1:7" s="534" customFormat="1" ht="12" customHeight="1" thickBot="1" x14ac:dyDescent="0.25">
      <c r="A16" s="235"/>
      <c r="B16" s="1058" t="s">
        <v>73</v>
      </c>
      <c r="C16" s="1059" t="s">
        <v>1190</v>
      </c>
      <c r="D16" s="714"/>
      <c r="E16" s="1119">
        <v>4</v>
      </c>
      <c r="F16" s="1119">
        <v>4</v>
      </c>
      <c r="G16" s="1120">
        <v>1</v>
      </c>
    </row>
    <row r="17" spans="1:7" s="533" customFormat="1" ht="12" customHeight="1" thickBot="1" x14ac:dyDescent="0.25">
      <c r="A17" s="201" t="s">
        <v>886</v>
      </c>
      <c r="B17" s="226"/>
      <c r="C17" s="553" t="s">
        <v>846</v>
      </c>
      <c r="D17" s="547"/>
      <c r="E17" s="1116"/>
      <c r="F17" s="1116"/>
      <c r="G17" s="1075"/>
    </row>
    <row r="18" spans="1:7" s="534" customFormat="1" ht="12" customHeight="1" x14ac:dyDescent="0.2">
      <c r="A18" s="228"/>
      <c r="B18" s="229" t="s">
        <v>63</v>
      </c>
      <c r="C18" s="557" t="s">
        <v>842</v>
      </c>
      <c r="D18" s="708"/>
      <c r="E18" s="1117"/>
      <c r="F18" s="1117"/>
      <c r="G18" s="1077"/>
    </row>
    <row r="19" spans="1:7" s="534" customFormat="1" ht="12" customHeight="1" x14ac:dyDescent="0.2">
      <c r="A19" s="228"/>
      <c r="B19" s="229" t="s">
        <v>64</v>
      </c>
      <c r="C19" s="555" t="s">
        <v>843</v>
      </c>
      <c r="D19" s="708"/>
      <c r="E19" s="1117"/>
      <c r="F19" s="1117"/>
      <c r="G19" s="1077"/>
    </row>
    <row r="20" spans="1:7" s="534" customFormat="1" ht="12" customHeight="1" x14ac:dyDescent="0.2">
      <c r="A20" s="228"/>
      <c r="B20" s="229" t="s">
        <v>65</v>
      </c>
      <c r="C20" s="555" t="s">
        <v>844</v>
      </c>
      <c r="D20" s="708"/>
      <c r="E20" s="1117"/>
      <c r="F20" s="1117"/>
      <c r="G20" s="1077"/>
    </row>
    <row r="21" spans="1:7" s="534" customFormat="1" ht="12" customHeight="1" thickBot="1" x14ac:dyDescent="0.25">
      <c r="A21" s="228"/>
      <c r="B21" s="229" t="s">
        <v>66</v>
      </c>
      <c r="C21" s="555" t="s">
        <v>843</v>
      </c>
      <c r="D21" s="708"/>
      <c r="E21" s="1117"/>
      <c r="F21" s="1117"/>
      <c r="G21" s="1077"/>
    </row>
    <row r="22" spans="1:7" s="534" customFormat="1" ht="12" customHeight="1" thickBot="1" x14ac:dyDescent="0.25">
      <c r="A22" s="209" t="s">
        <v>887</v>
      </c>
      <c r="B22" s="126"/>
      <c r="C22" s="558" t="s">
        <v>847</v>
      </c>
      <c r="D22" s="547"/>
      <c r="E22" s="1116"/>
      <c r="F22" s="1116"/>
      <c r="G22" s="1075"/>
    </row>
    <row r="23" spans="1:7" s="533" customFormat="1" ht="12" customHeight="1" x14ac:dyDescent="0.2">
      <c r="A23" s="370"/>
      <c r="B23" s="391" t="s">
        <v>37</v>
      </c>
      <c r="C23" s="559" t="s">
        <v>247</v>
      </c>
      <c r="D23" s="711"/>
      <c r="E23" s="1121"/>
      <c r="F23" s="1121"/>
      <c r="G23" s="1076"/>
    </row>
    <row r="24" spans="1:7" s="533" customFormat="1" ht="12" customHeight="1" thickBot="1" x14ac:dyDescent="0.25">
      <c r="A24" s="389"/>
      <c r="B24" s="390" t="s">
        <v>38</v>
      </c>
      <c r="C24" s="560" t="s">
        <v>251</v>
      </c>
      <c r="D24" s="1104"/>
      <c r="E24" s="1122"/>
      <c r="F24" s="1122"/>
      <c r="G24" s="1078"/>
    </row>
    <row r="25" spans="1:7" s="533" customFormat="1" ht="12" customHeight="1" thickBot="1" x14ac:dyDescent="0.25">
      <c r="A25" s="209" t="s">
        <v>888</v>
      </c>
      <c r="B25" s="226"/>
      <c r="C25" s="558" t="s">
        <v>864</v>
      </c>
      <c r="D25" s="666">
        <f>D48-D7</f>
        <v>85455</v>
      </c>
      <c r="E25" s="1123">
        <f>85455+446+6100</f>
        <v>92001</v>
      </c>
      <c r="F25" s="1123">
        <v>91536</v>
      </c>
      <c r="G25" s="1112">
        <f>F25/E25</f>
        <v>0.99494570711187924</v>
      </c>
    </row>
    <row r="26" spans="1:7" s="533" customFormat="1" ht="12" customHeight="1" thickBot="1" x14ac:dyDescent="0.25">
      <c r="A26" s="201" t="s">
        <v>889</v>
      </c>
      <c r="B26" s="169"/>
      <c r="C26" s="558" t="s">
        <v>860</v>
      </c>
      <c r="D26" s="547">
        <f>D7+D17+D22+D25</f>
        <v>88325</v>
      </c>
      <c r="E26" s="1116">
        <f>E7+E17+E22+E25</f>
        <v>94875</v>
      </c>
      <c r="F26" s="1116">
        <f>F7+F17+F22+F25</f>
        <v>94258</v>
      </c>
      <c r="G26" s="1110">
        <f>F26/E26</f>
        <v>0.99349670619235841</v>
      </c>
    </row>
    <row r="27" spans="1:7" s="534" customFormat="1" ht="12" customHeight="1" thickBot="1" x14ac:dyDescent="0.25">
      <c r="A27" s="386" t="s">
        <v>890</v>
      </c>
      <c r="B27" s="839"/>
      <c r="C27" s="561" t="s">
        <v>862</v>
      </c>
      <c r="D27" s="1046"/>
      <c r="E27" s="1124">
        <f>SUM(E28:E29)</f>
        <v>10060</v>
      </c>
      <c r="F27" s="1124">
        <f>SUM(F28:F29)</f>
        <v>10060</v>
      </c>
      <c r="G27" s="1113">
        <v>1</v>
      </c>
    </row>
    <row r="28" spans="1:7" s="534" customFormat="1" ht="15" customHeight="1" x14ac:dyDescent="0.2">
      <c r="A28" s="230"/>
      <c r="B28" s="167" t="s">
        <v>44</v>
      </c>
      <c r="C28" s="559" t="s">
        <v>354</v>
      </c>
      <c r="D28" s="711"/>
      <c r="E28" s="1121">
        <v>10060</v>
      </c>
      <c r="F28" s="1121">
        <v>10060</v>
      </c>
      <c r="G28" s="1114">
        <v>1</v>
      </c>
    </row>
    <row r="29" spans="1:7" s="534" customFormat="1" ht="15" customHeight="1" thickBot="1" x14ac:dyDescent="0.25">
      <c r="A29" s="396"/>
      <c r="B29" s="168" t="s">
        <v>45</v>
      </c>
      <c r="C29" s="572" t="s">
        <v>850</v>
      </c>
      <c r="D29" s="712"/>
      <c r="E29" s="1119"/>
      <c r="F29" s="1119"/>
      <c r="G29" s="1080"/>
    </row>
    <row r="30" spans="1:7" ht="13.5" thickBot="1" x14ac:dyDescent="0.25">
      <c r="A30" s="240" t="s">
        <v>891</v>
      </c>
      <c r="B30" s="544"/>
      <c r="C30" s="564" t="s">
        <v>863</v>
      </c>
      <c r="D30" s="666"/>
      <c r="E30" s="1123"/>
      <c r="F30" s="1123"/>
      <c r="G30" s="1079"/>
    </row>
    <row r="31" spans="1:7" s="532" customFormat="1" ht="16.5" customHeight="1" thickBot="1" x14ac:dyDescent="0.25">
      <c r="A31" s="240" t="s">
        <v>892</v>
      </c>
      <c r="B31" s="545"/>
      <c r="C31" s="573" t="s">
        <v>861</v>
      </c>
      <c r="D31" s="713">
        <f>D26+D27+D30</f>
        <v>88325</v>
      </c>
      <c r="E31" s="1116">
        <f>E26+E27+E30</f>
        <v>104935</v>
      </c>
      <c r="F31" s="1116">
        <f>F26+F27+F30</f>
        <v>104318</v>
      </c>
      <c r="G31" s="1110">
        <f>F31/E31</f>
        <v>0.99412016962881788</v>
      </c>
    </row>
    <row r="32" spans="1:7" s="535" customFormat="1" ht="12" customHeight="1" x14ac:dyDescent="0.2">
      <c r="A32" s="243"/>
      <c r="B32" s="243"/>
      <c r="C32" s="244"/>
      <c r="D32" s="669"/>
      <c r="E32" s="1081"/>
      <c r="F32" s="1081"/>
      <c r="G32" s="1081"/>
    </row>
    <row r="33" spans="1:7" ht="12" customHeight="1" thickBot="1" x14ac:dyDescent="0.25">
      <c r="A33" s="245"/>
      <c r="B33" s="246"/>
      <c r="C33" s="246"/>
      <c r="D33" s="668"/>
      <c r="F33" s="1082"/>
      <c r="G33" s="1082"/>
    </row>
    <row r="34" spans="1:7" ht="39" thickBot="1" x14ac:dyDescent="0.25">
      <c r="A34" s="247"/>
      <c r="B34" s="248"/>
      <c r="C34" s="249" t="s">
        <v>1</v>
      </c>
      <c r="D34" s="1045" t="s">
        <v>1164</v>
      </c>
      <c r="E34" s="1102" t="s">
        <v>1165</v>
      </c>
      <c r="F34" s="1102" t="s">
        <v>1208</v>
      </c>
      <c r="G34" s="1072" t="s">
        <v>1209</v>
      </c>
    </row>
    <row r="35" spans="1:7" ht="12" customHeight="1" thickBot="1" x14ac:dyDescent="0.25">
      <c r="A35" s="209" t="s">
        <v>885</v>
      </c>
      <c r="B35" s="24"/>
      <c r="C35" s="558" t="s">
        <v>840</v>
      </c>
      <c r="D35" s="547">
        <f>SUM(D36:D40)</f>
        <v>88325</v>
      </c>
      <c r="E35" s="1116">
        <f>SUM(E36:E40)</f>
        <v>104743</v>
      </c>
      <c r="F35" s="1116">
        <f>SUM(F36:F40)</f>
        <v>94023</v>
      </c>
      <c r="G35" s="1110">
        <f>F35/E35</f>
        <v>0.89765425851846903</v>
      </c>
    </row>
    <row r="36" spans="1:7" ht="12" customHeight="1" x14ac:dyDescent="0.2">
      <c r="A36" s="250"/>
      <c r="B36" s="166" t="s">
        <v>57</v>
      </c>
      <c r="C36" s="557" t="s">
        <v>916</v>
      </c>
      <c r="D36" s="661">
        <v>58157</v>
      </c>
      <c r="E36" s="715">
        <f>D36+3+366+4803-2000</f>
        <v>61329</v>
      </c>
      <c r="F36" s="715">
        <v>61304</v>
      </c>
      <c r="G36" s="1094">
        <f>F36/E36</f>
        <v>0.99959236250387251</v>
      </c>
    </row>
    <row r="37" spans="1:7" ht="12" customHeight="1" x14ac:dyDescent="0.2">
      <c r="A37" s="251"/>
      <c r="B37" s="150" t="s">
        <v>58</v>
      </c>
      <c r="C37" s="555" t="s">
        <v>164</v>
      </c>
      <c r="D37" s="662">
        <v>13130</v>
      </c>
      <c r="E37" s="708">
        <f>D37+80+1297</f>
        <v>14507</v>
      </c>
      <c r="F37" s="708">
        <v>13943</v>
      </c>
      <c r="G37" s="1096">
        <f>F37/E37</f>
        <v>0.96112221686082577</v>
      </c>
    </row>
    <row r="38" spans="1:7" ht="12" customHeight="1" x14ac:dyDescent="0.2">
      <c r="A38" s="251"/>
      <c r="B38" s="150" t="s">
        <v>59</v>
      </c>
      <c r="C38" s="555" t="s">
        <v>88</v>
      </c>
      <c r="D38" s="662">
        <v>17038</v>
      </c>
      <c r="E38" s="708">
        <f>D38+137-192+4+2000</f>
        <v>18987</v>
      </c>
      <c r="F38" s="708">
        <v>18776</v>
      </c>
      <c r="G38" s="1096">
        <f>F38/E38</f>
        <v>0.98888713330173272</v>
      </c>
    </row>
    <row r="39" spans="1:7" s="535" customFormat="1" ht="12" customHeight="1" x14ac:dyDescent="0.2">
      <c r="A39" s="251"/>
      <c r="B39" s="150" t="s">
        <v>60</v>
      </c>
      <c r="C39" s="555" t="s">
        <v>165</v>
      </c>
      <c r="D39" s="662"/>
      <c r="E39" s="708"/>
      <c r="F39" s="708"/>
      <c r="G39" s="816"/>
    </row>
    <row r="40" spans="1:7" ht="12" customHeight="1" thickBot="1" x14ac:dyDescent="0.25">
      <c r="A40" s="251"/>
      <c r="B40" s="150" t="s">
        <v>71</v>
      </c>
      <c r="C40" s="555" t="s">
        <v>166</v>
      </c>
      <c r="D40" s="662"/>
      <c r="E40" s="708">
        <v>9920</v>
      </c>
      <c r="F40" s="708"/>
      <c r="G40" s="816"/>
    </row>
    <row r="41" spans="1:7" ht="12" customHeight="1" thickBot="1" x14ac:dyDescent="0.25">
      <c r="A41" s="209" t="s">
        <v>886</v>
      </c>
      <c r="B41" s="24"/>
      <c r="C41" s="558" t="s">
        <v>857</v>
      </c>
      <c r="D41" s="547"/>
      <c r="E41" s="713">
        <f>E42</f>
        <v>192</v>
      </c>
      <c r="F41" s="713">
        <f>F42</f>
        <v>191</v>
      </c>
      <c r="G41" s="1095">
        <f>F41/E41</f>
        <v>0.99479166666666663</v>
      </c>
    </row>
    <row r="42" spans="1:7" ht="12" customHeight="1" x14ac:dyDescent="0.2">
      <c r="A42" s="250"/>
      <c r="B42" s="166" t="s">
        <v>63</v>
      </c>
      <c r="C42" s="557" t="s">
        <v>279</v>
      </c>
      <c r="D42" s="661"/>
      <c r="E42" s="715">
        <v>192</v>
      </c>
      <c r="F42" s="715">
        <v>191</v>
      </c>
      <c r="G42" s="1094">
        <f>F42/E42</f>
        <v>0.99479166666666663</v>
      </c>
    </row>
    <row r="43" spans="1:7" ht="12" customHeight="1" x14ac:dyDescent="0.2">
      <c r="A43" s="251"/>
      <c r="B43" s="150" t="s">
        <v>64</v>
      </c>
      <c r="C43" s="555" t="s">
        <v>168</v>
      </c>
      <c r="D43" s="662"/>
      <c r="E43" s="708"/>
      <c r="F43" s="708"/>
      <c r="G43" s="816"/>
    </row>
    <row r="44" spans="1:7" ht="15" customHeight="1" x14ac:dyDescent="0.2">
      <c r="A44" s="251"/>
      <c r="B44" s="150" t="s">
        <v>67</v>
      </c>
      <c r="C44" s="555" t="s">
        <v>2</v>
      </c>
      <c r="D44" s="662"/>
      <c r="E44" s="1117"/>
      <c r="F44" s="1117"/>
      <c r="G44" s="1077"/>
    </row>
    <row r="45" spans="1:7" ht="13.5" thickBot="1" x14ac:dyDescent="0.25">
      <c r="A45" s="251"/>
      <c r="B45" s="150" t="s">
        <v>78</v>
      </c>
      <c r="C45" s="555" t="s">
        <v>854</v>
      </c>
      <c r="D45" s="662"/>
      <c r="E45" s="1117"/>
      <c r="F45" s="1117"/>
      <c r="G45" s="1077"/>
    </row>
    <row r="46" spans="1:7" ht="15" customHeight="1" thickBot="1" x14ac:dyDescent="0.25">
      <c r="A46" s="209" t="s">
        <v>887</v>
      </c>
      <c r="B46" s="24"/>
      <c r="C46" s="566" t="s">
        <v>855</v>
      </c>
      <c r="D46" s="666"/>
      <c r="E46" s="1123"/>
      <c r="F46" s="1123"/>
      <c r="G46" s="1079"/>
    </row>
    <row r="47" spans="1:7" ht="14.25" customHeight="1" thickBot="1" x14ac:dyDescent="0.25">
      <c r="A47" s="240" t="s">
        <v>888</v>
      </c>
      <c r="B47" s="544"/>
      <c r="C47" s="564" t="s">
        <v>858</v>
      </c>
      <c r="D47" s="666"/>
      <c r="E47" s="1123"/>
      <c r="F47" s="1123"/>
      <c r="G47" s="1079"/>
    </row>
    <row r="48" spans="1:7" ht="13.5" thickBot="1" x14ac:dyDescent="0.25">
      <c r="A48" s="209" t="s">
        <v>889</v>
      </c>
      <c r="B48" s="237"/>
      <c r="C48" s="567" t="s">
        <v>856</v>
      </c>
      <c r="D48" s="713">
        <f>D35+D41+D46+D47</f>
        <v>88325</v>
      </c>
      <c r="E48" s="1116">
        <f>E35+E41+E46+E47</f>
        <v>104935</v>
      </c>
      <c r="F48" s="1116">
        <f t="shared" ref="F48" si="0">F35+F41+F46+F47</f>
        <v>94214</v>
      </c>
      <c r="G48" s="1110">
        <f>F48/E48</f>
        <v>0.89783199123266788</v>
      </c>
    </row>
    <row r="49" spans="1:3" x14ac:dyDescent="0.2">
      <c r="A49" s="536"/>
      <c r="B49" s="537"/>
      <c r="C49" s="537"/>
    </row>
    <row r="50" spans="1:3" ht="13.5" hidden="1" thickBot="1" x14ac:dyDescent="0.25">
      <c r="A50" s="538" t="s">
        <v>208</v>
      </c>
      <c r="B50" s="539"/>
      <c r="C50" s="540"/>
    </row>
    <row r="51" spans="1:3" ht="13.5" hidden="1" thickBot="1" x14ac:dyDescent="0.25">
      <c r="A51" s="538" t="s">
        <v>209</v>
      </c>
      <c r="B51" s="539"/>
      <c r="C51" s="540"/>
    </row>
  </sheetData>
  <sheetProtection formatCells="0"/>
  <mergeCells count="3">
    <mergeCell ref="A2:B2"/>
    <mergeCell ref="A4:B4"/>
    <mergeCell ref="C2:G2"/>
  </mergeCells>
  <phoneticPr fontId="32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4/2018. (IV.27.)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B62"/>
  <sheetViews>
    <sheetView view="pageBreakPreview" zoomScaleNormal="100" zoomScaleSheetLayoutView="100" workbookViewId="0">
      <selection sqref="A1:D1"/>
    </sheetView>
  </sheetViews>
  <sheetFormatPr defaultColWidth="10.5" defaultRowHeight="12.75" x14ac:dyDescent="0.2"/>
  <cols>
    <col min="1" max="1" width="80.83203125" style="1222" customWidth="1"/>
    <col min="2" max="4" width="14.83203125" style="1222" customWidth="1"/>
    <col min="5" max="210" width="10.5" style="1222"/>
    <col min="211" max="211" width="6.1640625" style="1222" customWidth="1"/>
    <col min="212" max="216" width="3.83203125" style="1222" customWidth="1"/>
    <col min="217" max="217" width="4.5" style="1222" customWidth="1"/>
    <col min="218" max="221" width="3.83203125" style="1222" customWidth="1"/>
    <col min="222" max="222" width="4.5" style="1222" customWidth="1"/>
    <col min="223" max="257" width="3.83203125" style="1222" customWidth="1"/>
    <col min="258" max="259" width="1.5" style="1222" customWidth="1"/>
    <col min="260" max="466" width="10.5" style="1222"/>
    <col min="467" max="467" width="6.1640625" style="1222" customWidth="1"/>
    <col min="468" max="472" width="3.83203125" style="1222" customWidth="1"/>
    <col min="473" max="473" width="4.5" style="1222" customWidth="1"/>
    <col min="474" max="477" width="3.83203125" style="1222" customWidth="1"/>
    <col min="478" max="478" width="4.5" style="1222" customWidth="1"/>
    <col min="479" max="513" width="3.83203125" style="1222" customWidth="1"/>
    <col min="514" max="515" width="1.5" style="1222" customWidth="1"/>
    <col min="516" max="722" width="10.5" style="1222"/>
    <col min="723" max="723" width="6.1640625" style="1222" customWidth="1"/>
    <col min="724" max="728" width="3.83203125" style="1222" customWidth="1"/>
    <col min="729" max="729" width="4.5" style="1222" customWidth="1"/>
    <col min="730" max="733" width="3.83203125" style="1222" customWidth="1"/>
    <col min="734" max="734" width="4.5" style="1222" customWidth="1"/>
    <col min="735" max="769" width="3.83203125" style="1222" customWidth="1"/>
    <col min="770" max="771" width="1.5" style="1222" customWidth="1"/>
    <col min="772" max="978" width="10.5" style="1222"/>
    <col min="979" max="979" width="6.1640625" style="1222" customWidth="1"/>
    <col min="980" max="984" width="3.83203125" style="1222" customWidth="1"/>
    <col min="985" max="985" width="4.5" style="1222" customWidth="1"/>
    <col min="986" max="989" width="3.83203125" style="1222" customWidth="1"/>
    <col min="990" max="990" width="4.5" style="1222" customWidth="1"/>
    <col min="991" max="1025" width="3.83203125" style="1222" customWidth="1"/>
    <col min="1026" max="1027" width="1.5" style="1222" customWidth="1"/>
    <col min="1028" max="1234" width="10.5" style="1222"/>
    <col min="1235" max="1235" width="6.1640625" style="1222" customWidth="1"/>
    <col min="1236" max="1240" width="3.83203125" style="1222" customWidth="1"/>
    <col min="1241" max="1241" width="4.5" style="1222" customWidth="1"/>
    <col min="1242" max="1245" width="3.83203125" style="1222" customWidth="1"/>
    <col min="1246" max="1246" width="4.5" style="1222" customWidth="1"/>
    <col min="1247" max="1281" width="3.83203125" style="1222" customWidth="1"/>
    <col min="1282" max="1283" width="1.5" style="1222" customWidth="1"/>
    <col min="1284" max="1490" width="10.5" style="1222"/>
    <col min="1491" max="1491" width="6.1640625" style="1222" customWidth="1"/>
    <col min="1492" max="1496" width="3.83203125" style="1222" customWidth="1"/>
    <col min="1497" max="1497" width="4.5" style="1222" customWidth="1"/>
    <col min="1498" max="1501" width="3.83203125" style="1222" customWidth="1"/>
    <col min="1502" max="1502" width="4.5" style="1222" customWidth="1"/>
    <col min="1503" max="1537" width="3.83203125" style="1222" customWidth="1"/>
    <col min="1538" max="1539" width="1.5" style="1222" customWidth="1"/>
    <col min="1540" max="1746" width="10.5" style="1222"/>
    <col min="1747" max="1747" width="6.1640625" style="1222" customWidth="1"/>
    <col min="1748" max="1752" width="3.83203125" style="1222" customWidth="1"/>
    <col min="1753" max="1753" width="4.5" style="1222" customWidth="1"/>
    <col min="1754" max="1757" width="3.83203125" style="1222" customWidth="1"/>
    <col min="1758" max="1758" width="4.5" style="1222" customWidth="1"/>
    <col min="1759" max="1793" width="3.83203125" style="1222" customWidth="1"/>
    <col min="1794" max="1795" width="1.5" style="1222" customWidth="1"/>
    <col min="1796" max="2002" width="10.5" style="1222"/>
    <col min="2003" max="2003" width="6.1640625" style="1222" customWidth="1"/>
    <col min="2004" max="2008" width="3.83203125" style="1222" customWidth="1"/>
    <col min="2009" max="2009" width="4.5" style="1222" customWidth="1"/>
    <col min="2010" max="2013" width="3.83203125" style="1222" customWidth="1"/>
    <col min="2014" max="2014" width="4.5" style="1222" customWidth="1"/>
    <col min="2015" max="2049" width="3.83203125" style="1222" customWidth="1"/>
    <col min="2050" max="2051" width="1.5" style="1222" customWidth="1"/>
    <col min="2052" max="2258" width="10.5" style="1222"/>
    <col min="2259" max="2259" width="6.1640625" style="1222" customWidth="1"/>
    <col min="2260" max="2264" width="3.83203125" style="1222" customWidth="1"/>
    <col min="2265" max="2265" width="4.5" style="1222" customWidth="1"/>
    <col min="2266" max="2269" width="3.83203125" style="1222" customWidth="1"/>
    <col min="2270" max="2270" width="4.5" style="1222" customWidth="1"/>
    <col min="2271" max="2305" width="3.83203125" style="1222" customWidth="1"/>
    <col min="2306" max="2307" width="1.5" style="1222" customWidth="1"/>
    <col min="2308" max="2514" width="10.5" style="1222"/>
    <col min="2515" max="2515" width="6.1640625" style="1222" customWidth="1"/>
    <col min="2516" max="2520" width="3.83203125" style="1222" customWidth="1"/>
    <col min="2521" max="2521" width="4.5" style="1222" customWidth="1"/>
    <col min="2522" max="2525" width="3.83203125" style="1222" customWidth="1"/>
    <col min="2526" max="2526" width="4.5" style="1222" customWidth="1"/>
    <col min="2527" max="2561" width="3.83203125" style="1222" customWidth="1"/>
    <col min="2562" max="2563" width="1.5" style="1222" customWidth="1"/>
    <col min="2564" max="2770" width="10.5" style="1222"/>
    <col min="2771" max="2771" width="6.1640625" style="1222" customWidth="1"/>
    <col min="2772" max="2776" width="3.83203125" style="1222" customWidth="1"/>
    <col min="2777" max="2777" width="4.5" style="1222" customWidth="1"/>
    <col min="2778" max="2781" width="3.83203125" style="1222" customWidth="1"/>
    <col min="2782" max="2782" width="4.5" style="1222" customWidth="1"/>
    <col min="2783" max="2817" width="3.83203125" style="1222" customWidth="1"/>
    <col min="2818" max="2819" width="1.5" style="1222" customWidth="1"/>
    <col min="2820" max="3026" width="10.5" style="1222"/>
    <col min="3027" max="3027" width="6.1640625" style="1222" customWidth="1"/>
    <col min="3028" max="3032" width="3.83203125" style="1222" customWidth="1"/>
    <col min="3033" max="3033" width="4.5" style="1222" customWidth="1"/>
    <col min="3034" max="3037" width="3.83203125" style="1222" customWidth="1"/>
    <col min="3038" max="3038" width="4.5" style="1222" customWidth="1"/>
    <col min="3039" max="3073" width="3.83203125" style="1222" customWidth="1"/>
    <col min="3074" max="3075" width="1.5" style="1222" customWidth="1"/>
    <col min="3076" max="3282" width="10.5" style="1222"/>
    <col min="3283" max="3283" width="6.1640625" style="1222" customWidth="1"/>
    <col min="3284" max="3288" width="3.83203125" style="1222" customWidth="1"/>
    <col min="3289" max="3289" width="4.5" style="1222" customWidth="1"/>
    <col min="3290" max="3293" width="3.83203125" style="1222" customWidth="1"/>
    <col min="3294" max="3294" width="4.5" style="1222" customWidth="1"/>
    <col min="3295" max="3329" width="3.83203125" style="1222" customWidth="1"/>
    <col min="3330" max="3331" width="1.5" style="1222" customWidth="1"/>
    <col min="3332" max="3538" width="10.5" style="1222"/>
    <col min="3539" max="3539" width="6.1640625" style="1222" customWidth="1"/>
    <col min="3540" max="3544" width="3.83203125" style="1222" customWidth="1"/>
    <col min="3545" max="3545" width="4.5" style="1222" customWidth="1"/>
    <col min="3546" max="3549" width="3.83203125" style="1222" customWidth="1"/>
    <col min="3550" max="3550" width="4.5" style="1222" customWidth="1"/>
    <col min="3551" max="3585" width="3.83203125" style="1222" customWidth="1"/>
    <col min="3586" max="3587" width="1.5" style="1222" customWidth="1"/>
    <col min="3588" max="3794" width="10.5" style="1222"/>
    <col min="3795" max="3795" width="6.1640625" style="1222" customWidth="1"/>
    <col min="3796" max="3800" width="3.83203125" style="1222" customWidth="1"/>
    <col min="3801" max="3801" width="4.5" style="1222" customWidth="1"/>
    <col min="3802" max="3805" width="3.83203125" style="1222" customWidth="1"/>
    <col min="3806" max="3806" width="4.5" style="1222" customWidth="1"/>
    <col min="3807" max="3841" width="3.83203125" style="1222" customWidth="1"/>
    <col min="3842" max="3843" width="1.5" style="1222" customWidth="1"/>
    <col min="3844" max="4050" width="10.5" style="1222"/>
    <col min="4051" max="4051" width="6.1640625" style="1222" customWidth="1"/>
    <col min="4052" max="4056" width="3.83203125" style="1222" customWidth="1"/>
    <col min="4057" max="4057" width="4.5" style="1222" customWidth="1"/>
    <col min="4058" max="4061" width="3.83203125" style="1222" customWidth="1"/>
    <col min="4062" max="4062" width="4.5" style="1222" customWidth="1"/>
    <col min="4063" max="4097" width="3.83203125" style="1222" customWidth="1"/>
    <col min="4098" max="4099" width="1.5" style="1222" customWidth="1"/>
    <col min="4100" max="4306" width="10.5" style="1222"/>
    <col min="4307" max="4307" width="6.1640625" style="1222" customWidth="1"/>
    <col min="4308" max="4312" width="3.83203125" style="1222" customWidth="1"/>
    <col min="4313" max="4313" width="4.5" style="1222" customWidth="1"/>
    <col min="4314" max="4317" width="3.83203125" style="1222" customWidth="1"/>
    <col min="4318" max="4318" width="4.5" style="1222" customWidth="1"/>
    <col min="4319" max="4353" width="3.83203125" style="1222" customWidth="1"/>
    <col min="4354" max="4355" width="1.5" style="1222" customWidth="1"/>
    <col min="4356" max="4562" width="10.5" style="1222"/>
    <col min="4563" max="4563" width="6.1640625" style="1222" customWidth="1"/>
    <col min="4564" max="4568" width="3.83203125" style="1222" customWidth="1"/>
    <col min="4569" max="4569" width="4.5" style="1222" customWidth="1"/>
    <col min="4570" max="4573" width="3.83203125" style="1222" customWidth="1"/>
    <col min="4574" max="4574" width="4.5" style="1222" customWidth="1"/>
    <col min="4575" max="4609" width="3.83203125" style="1222" customWidth="1"/>
    <col min="4610" max="4611" width="1.5" style="1222" customWidth="1"/>
    <col min="4612" max="4818" width="10.5" style="1222"/>
    <col min="4819" max="4819" width="6.1640625" style="1222" customWidth="1"/>
    <col min="4820" max="4824" width="3.83203125" style="1222" customWidth="1"/>
    <col min="4825" max="4825" width="4.5" style="1222" customWidth="1"/>
    <col min="4826" max="4829" width="3.83203125" style="1222" customWidth="1"/>
    <col min="4830" max="4830" width="4.5" style="1222" customWidth="1"/>
    <col min="4831" max="4865" width="3.83203125" style="1222" customWidth="1"/>
    <col min="4866" max="4867" width="1.5" style="1222" customWidth="1"/>
    <col min="4868" max="5074" width="10.5" style="1222"/>
    <col min="5075" max="5075" width="6.1640625" style="1222" customWidth="1"/>
    <col min="5076" max="5080" width="3.83203125" style="1222" customWidth="1"/>
    <col min="5081" max="5081" width="4.5" style="1222" customWidth="1"/>
    <col min="5082" max="5085" width="3.83203125" style="1222" customWidth="1"/>
    <col min="5086" max="5086" width="4.5" style="1222" customWidth="1"/>
    <col min="5087" max="5121" width="3.83203125" style="1222" customWidth="1"/>
    <col min="5122" max="5123" width="1.5" style="1222" customWidth="1"/>
    <col min="5124" max="5330" width="10.5" style="1222"/>
    <col min="5331" max="5331" width="6.1640625" style="1222" customWidth="1"/>
    <col min="5332" max="5336" width="3.83203125" style="1222" customWidth="1"/>
    <col min="5337" max="5337" width="4.5" style="1222" customWidth="1"/>
    <col min="5338" max="5341" width="3.83203125" style="1222" customWidth="1"/>
    <col min="5342" max="5342" width="4.5" style="1222" customWidth="1"/>
    <col min="5343" max="5377" width="3.83203125" style="1222" customWidth="1"/>
    <col min="5378" max="5379" width="1.5" style="1222" customWidth="1"/>
    <col min="5380" max="5586" width="10.5" style="1222"/>
    <col min="5587" max="5587" width="6.1640625" style="1222" customWidth="1"/>
    <col min="5588" max="5592" width="3.83203125" style="1222" customWidth="1"/>
    <col min="5593" max="5593" width="4.5" style="1222" customWidth="1"/>
    <col min="5594" max="5597" width="3.83203125" style="1222" customWidth="1"/>
    <col min="5598" max="5598" width="4.5" style="1222" customWidth="1"/>
    <col min="5599" max="5633" width="3.83203125" style="1222" customWidth="1"/>
    <col min="5634" max="5635" width="1.5" style="1222" customWidth="1"/>
    <col min="5636" max="5842" width="10.5" style="1222"/>
    <col min="5843" max="5843" width="6.1640625" style="1222" customWidth="1"/>
    <col min="5844" max="5848" width="3.83203125" style="1222" customWidth="1"/>
    <col min="5849" max="5849" width="4.5" style="1222" customWidth="1"/>
    <col min="5850" max="5853" width="3.83203125" style="1222" customWidth="1"/>
    <col min="5854" max="5854" width="4.5" style="1222" customWidth="1"/>
    <col min="5855" max="5889" width="3.83203125" style="1222" customWidth="1"/>
    <col min="5890" max="5891" width="1.5" style="1222" customWidth="1"/>
    <col min="5892" max="6098" width="10.5" style="1222"/>
    <col min="6099" max="6099" width="6.1640625" style="1222" customWidth="1"/>
    <col min="6100" max="6104" width="3.83203125" style="1222" customWidth="1"/>
    <col min="6105" max="6105" width="4.5" style="1222" customWidth="1"/>
    <col min="6106" max="6109" width="3.83203125" style="1222" customWidth="1"/>
    <col min="6110" max="6110" width="4.5" style="1222" customWidth="1"/>
    <col min="6111" max="6145" width="3.83203125" style="1222" customWidth="1"/>
    <col min="6146" max="6147" width="1.5" style="1222" customWidth="1"/>
    <col min="6148" max="6354" width="10.5" style="1222"/>
    <col min="6355" max="6355" width="6.1640625" style="1222" customWidth="1"/>
    <col min="6356" max="6360" width="3.83203125" style="1222" customWidth="1"/>
    <col min="6361" max="6361" width="4.5" style="1222" customWidth="1"/>
    <col min="6362" max="6365" width="3.83203125" style="1222" customWidth="1"/>
    <col min="6366" max="6366" width="4.5" style="1222" customWidth="1"/>
    <col min="6367" max="6401" width="3.83203125" style="1222" customWidth="1"/>
    <col min="6402" max="6403" width="1.5" style="1222" customWidth="1"/>
    <col min="6404" max="6610" width="10.5" style="1222"/>
    <col min="6611" max="6611" width="6.1640625" style="1222" customWidth="1"/>
    <col min="6612" max="6616" width="3.83203125" style="1222" customWidth="1"/>
    <col min="6617" max="6617" width="4.5" style="1222" customWidth="1"/>
    <col min="6618" max="6621" width="3.83203125" style="1222" customWidth="1"/>
    <col min="6622" max="6622" width="4.5" style="1222" customWidth="1"/>
    <col min="6623" max="6657" width="3.83203125" style="1222" customWidth="1"/>
    <col min="6658" max="6659" width="1.5" style="1222" customWidth="1"/>
    <col min="6660" max="6866" width="10.5" style="1222"/>
    <col min="6867" max="6867" width="6.1640625" style="1222" customWidth="1"/>
    <col min="6868" max="6872" width="3.83203125" style="1222" customWidth="1"/>
    <col min="6873" max="6873" width="4.5" style="1222" customWidth="1"/>
    <col min="6874" max="6877" width="3.83203125" style="1222" customWidth="1"/>
    <col min="6878" max="6878" width="4.5" style="1222" customWidth="1"/>
    <col min="6879" max="6913" width="3.83203125" style="1222" customWidth="1"/>
    <col min="6914" max="6915" width="1.5" style="1222" customWidth="1"/>
    <col min="6916" max="7122" width="10.5" style="1222"/>
    <col min="7123" max="7123" width="6.1640625" style="1222" customWidth="1"/>
    <col min="7124" max="7128" width="3.83203125" style="1222" customWidth="1"/>
    <col min="7129" max="7129" width="4.5" style="1222" customWidth="1"/>
    <col min="7130" max="7133" width="3.83203125" style="1222" customWidth="1"/>
    <col min="7134" max="7134" width="4.5" style="1222" customWidth="1"/>
    <col min="7135" max="7169" width="3.83203125" style="1222" customWidth="1"/>
    <col min="7170" max="7171" width="1.5" style="1222" customWidth="1"/>
    <col min="7172" max="7378" width="10.5" style="1222"/>
    <col min="7379" max="7379" width="6.1640625" style="1222" customWidth="1"/>
    <col min="7380" max="7384" width="3.83203125" style="1222" customWidth="1"/>
    <col min="7385" max="7385" width="4.5" style="1222" customWidth="1"/>
    <col min="7386" max="7389" width="3.83203125" style="1222" customWidth="1"/>
    <col min="7390" max="7390" width="4.5" style="1222" customWidth="1"/>
    <col min="7391" max="7425" width="3.83203125" style="1222" customWidth="1"/>
    <col min="7426" max="7427" width="1.5" style="1222" customWidth="1"/>
    <col min="7428" max="7634" width="10.5" style="1222"/>
    <col min="7635" max="7635" width="6.1640625" style="1222" customWidth="1"/>
    <col min="7636" max="7640" width="3.83203125" style="1222" customWidth="1"/>
    <col min="7641" max="7641" width="4.5" style="1222" customWidth="1"/>
    <col min="7642" max="7645" width="3.83203125" style="1222" customWidth="1"/>
    <col min="7646" max="7646" width="4.5" style="1222" customWidth="1"/>
    <col min="7647" max="7681" width="3.83203125" style="1222" customWidth="1"/>
    <col min="7682" max="7683" width="1.5" style="1222" customWidth="1"/>
    <col min="7684" max="7890" width="10.5" style="1222"/>
    <col min="7891" max="7891" width="6.1640625" style="1222" customWidth="1"/>
    <col min="7892" max="7896" width="3.83203125" style="1222" customWidth="1"/>
    <col min="7897" max="7897" width="4.5" style="1222" customWidth="1"/>
    <col min="7898" max="7901" width="3.83203125" style="1222" customWidth="1"/>
    <col min="7902" max="7902" width="4.5" style="1222" customWidth="1"/>
    <col min="7903" max="7937" width="3.83203125" style="1222" customWidth="1"/>
    <col min="7938" max="7939" width="1.5" style="1222" customWidth="1"/>
    <col min="7940" max="8146" width="10.5" style="1222"/>
    <col min="8147" max="8147" width="6.1640625" style="1222" customWidth="1"/>
    <col min="8148" max="8152" width="3.83203125" style="1222" customWidth="1"/>
    <col min="8153" max="8153" width="4.5" style="1222" customWidth="1"/>
    <col min="8154" max="8157" width="3.83203125" style="1222" customWidth="1"/>
    <col min="8158" max="8158" width="4.5" style="1222" customWidth="1"/>
    <col min="8159" max="8193" width="3.83203125" style="1222" customWidth="1"/>
    <col min="8194" max="8195" width="1.5" style="1222" customWidth="1"/>
    <col min="8196" max="8402" width="10.5" style="1222"/>
    <col min="8403" max="8403" width="6.1640625" style="1222" customWidth="1"/>
    <col min="8404" max="8408" width="3.83203125" style="1222" customWidth="1"/>
    <col min="8409" max="8409" width="4.5" style="1222" customWidth="1"/>
    <col min="8410" max="8413" width="3.83203125" style="1222" customWidth="1"/>
    <col min="8414" max="8414" width="4.5" style="1222" customWidth="1"/>
    <col min="8415" max="8449" width="3.83203125" style="1222" customWidth="1"/>
    <col min="8450" max="8451" width="1.5" style="1222" customWidth="1"/>
    <col min="8452" max="8658" width="10.5" style="1222"/>
    <col min="8659" max="8659" width="6.1640625" style="1222" customWidth="1"/>
    <col min="8660" max="8664" width="3.83203125" style="1222" customWidth="1"/>
    <col min="8665" max="8665" width="4.5" style="1222" customWidth="1"/>
    <col min="8666" max="8669" width="3.83203125" style="1222" customWidth="1"/>
    <col min="8670" max="8670" width="4.5" style="1222" customWidth="1"/>
    <col min="8671" max="8705" width="3.83203125" style="1222" customWidth="1"/>
    <col min="8706" max="8707" width="1.5" style="1222" customWidth="1"/>
    <col min="8708" max="8914" width="10.5" style="1222"/>
    <col min="8915" max="8915" width="6.1640625" style="1222" customWidth="1"/>
    <col min="8916" max="8920" width="3.83203125" style="1222" customWidth="1"/>
    <col min="8921" max="8921" width="4.5" style="1222" customWidth="1"/>
    <col min="8922" max="8925" width="3.83203125" style="1222" customWidth="1"/>
    <col min="8926" max="8926" width="4.5" style="1222" customWidth="1"/>
    <col min="8927" max="8961" width="3.83203125" style="1222" customWidth="1"/>
    <col min="8962" max="8963" width="1.5" style="1222" customWidth="1"/>
    <col min="8964" max="9170" width="10.5" style="1222"/>
    <col min="9171" max="9171" width="6.1640625" style="1222" customWidth="1"/>
    <col min="9172" max="9176" width="3.83203125" style="1222" customWidth="1"/>
    <col min="9177" max="9177" width="4.5" style="1222" customWidth="1"/>
    <col min="9178" max="9181" width="3.83203125" style="1222" customWidth="1"/>
    <col min="9182" max="9182" width="4.5" style="1222" customWidth="1"/>
    <col min="9183" max="9217" width="3.83203125" style="1222" customWidth="1"/>
    <col min="9218" max="9219" width="1.5" style="1222" customWidth="1"/>
    <col min="9220" max="9426" width="10.5" style="1222"/>
    <col min="9427" max="9427" width="6.1640625" style="1222" customWidth="1"/>
    <col min="9428" max="9432" width="3.83203125" style="1222" customWidth="1"/>
    <col min="9433" max="9433" width="4.5" style="1222" customWidth="1"/>
    <col min="9434" max="9437" width="3.83203125" style="1222" customWidth="1"/>
    <col min="9438" max="9438" width="4.5" style="1222" customWidth="1"/>
    <col min="9439" max="9473" width="3.83203125" style="1222" customWidth="1"/>
    <col min="9474" max="9475" width="1.5" style="1222" customWidth="1"/>
    <col min="9476" max="9682" width="10.5" style="1222"/>
    <col min="9683" max="9683" width="6.1640625" style="1222" customWidth="1"/>
    <col min="9684" max="9688" width="3.83203125" style="1222" customWidth="1"/>
    <col min="9689" max="9689" width="4.5" style="1222" customWidth="1"/>
    <col min="9690" max="9693" width="3.83203125" style="1222" customWidth="1"/>
    <col min="9694" max="9694" width="4.5" style="1222" customWidth="1"/>
    <col min="9695" max="9729" width="3.83203125" style="1222" customWidth="1"/>
    <col min="9730" max="9731" width="1.5" style="1222" customWidth="1"/>
    <col min="9732" max="9938" width="10.5" style="1222"/>
    <col min="9939" max="9939" width="6.1640625" style="1222" customWidth="1"/>
    <col min="9940" max="9944" width="3.83203125" style="1222" customWidth="1"/>
    <col min="9945" max="9945" width="4.5" style="1222" customWidth="1"/>
    <col min="9946" max="9949" width="3.83203125" style="1222" customWidth="1"/>
    <col min="9950" max="9950" width="4.5" style="1222" customWidth="1"/>
    <col min="9951" max="9985" width="3.83203125" style="1222" customWidth="1"/>
    <col min="9986" max="9987" width="1.5" style="1222" customWidth="1"/>
    <col min="9988" max="10194" width="10.5" style="1222"/>
    <col min="10195" max="10195" width="6.1640625" style="1222" customWidth="1"/>
    <col min="10196" max="10200" width="3.83203125" style="1222" customWidth="1"/>
    <col min="10201" max="10201" width="4.5" style="1222" customWidth="1"/>
    <col min="10202" max="10205" width="3.83203125" style="1222" customWidth="1"/>
    <col min="10206" max="10206" width="4.5" style="1222" customWidth="1"/>
    <col min="10207" max="10241" width="3.83203125" style="1222" customWidth="1"/>
    <col min="10242" max="10243" width="1.5" style="1222" customWidth="1"/>
    <col min="10244" max="10450" width="10.5" style="1222"/>
    <col min="10451" max="10451" width="6.1640625" style="1222" customWidth="1"/>
    <col min="10452" max="10456" width="3.83203125" style="1222" customWidth="1"/>
    <col min="10457" max="10457" width="4.5" style="1222" customWidth="1"/>
    <col min="10458" max="10461" width="3.83203125" style="1222" customWidth="1"/>
    <col min="10462" max="10462" width="4.5" style="1222" customWidth="1"/>
    <col min="10463" max="10497" width="3.83203125" style="1222" customWidth="1"/>
    <col min="10498" max="10499" width="1.5" style="1222" customWidth="1"/>
    <col min="10500" max="10706" width="10.5" style="1222"/>
    <col min="10707" max="10707" width="6.1640625" style="1222" customWidth="1"/>
    <col min="10708" max="10712" width="3.83203125" style="1222" customWidth="1"/>
    <col min="10713" max="10713" width="4.5" style="1222" customWidth="1"/>
    <col min="10714" max="10717" width="3.83203125" style="1222" customWidth="1"/>
    <col min="10718" max="10718" width="4.5" style="1222" customWidth="1"/>
    <col min="10719" max="10753" width="3.83203125" style="1222" customWidth="1"/>
    <col min="10754" max="10755" width="1.5" style="1222" customWidth="1"/>
    <col min="10756" max="10962" width="10.5" style="1222"/>
    <col min="10963" max="10963" width="6.1640625" style="1222" customWidth="1"/>
    <col min="10964" max="10968" width="3.83203125" style="1222" customWidth="1"/>
    <col min="10969" max="10969" width="4.5" style="1222" customWidth="1"/>
    <col min="10970" max="10973" width="3.83203125" style="1222" customWidth="1"/>
    <col min="10974" max="10974" width="4.5" style="1222" customWidth="1"/>
    <col min="10975" max="11009" width="3.83203125" style="1222" customWidth="1"/>
    <col min="11010" max="11011" width="1.5" style="1222" customWidth="1"/>
    <col min="11012" max="11218" width="10.5" style="1222"/>
    <col min="11219" max="11219" width="6.1640625" style="1222" customWidth="1"/>
    <col min="11220" max="11224" width="3.83203125" style="1222" customWidth="1"/>
    <col min="11225" max="11225" width="4.5" style="1222" customWidth="1"/>
    <col min="11226" max="11229" width="3.83203125" style="1222" customWidth="1"/>
    <col min="11230" max="11230" width="4.5" style="1222" customWidth="1"/>
    <col min="11231" max="11265" width="3.83203125" style="1222" customWidth="1"/>
    <col min="11266" max="11267" width="1.5" style="1222" customWidth="1"/>
    <col min="11268" max="11474" width="10.5" style="1222"/>
    <col min="11475" max="11475" width="6.1640625" style="1222" customWidth="1"/>
    <col min="11476" max="11480" width="3.83203125" style="1222" customWidth="1"/>
    <col min="11481" max="11481" width="4.5" style="1222" customWidth="1"/>
    <col min="11482" max="11485" width="3.83203125" style="1222" customWidth="1"/>
    <col min="11486" max="11486" width="4.5" style="1222" customWidth="1"/>
    <col min="11487" max="11521" width="3.83203125" style="1222" customWidth="1"/>
    <col min="11522" max="11523" width="1.5" style="1222" customWidth="1"/>
    <col min="11524" max="11730" width="10.5" style="1222"/>
    <col min="11731" max="11731" width="6.1640625" style="1222" customWidth="1"/>
    <col min="11732" max="11736" width="3.83203125" style="1222" customWidth="1"/>
    <col min="11737" max="11737" width="4.5" style="1222" customWidth="1"/>
    <col min="11738" max="11741" width="3.83203125" style="1222" customWidth="1"/>
    <col min="11742" max="11742" width="4.5" style="1222" customWidth="1"/>
    <col min="11743" max="11777" width="3.83203125" style="1222" customWidth="1"/>
    <col min="11778" max="11779" width="1.5" style="1222" customWidth="1"/>
    <col min="11780" max="11986" width="10.5" style="1222"/>
    <col min="11987" max="11987" width="6.1640625" style="1222" customWidth="1"/>
    <col min="11988" max="11992" width="3.83203125" style="1222" customWidth="1"/>
    <col min="11993" max="11993" width="4.5" style="1222" customWidth="1"/>
    <col min="11994" max="11997" width="3.83203125" style="1222" customWidth="1"/>
    <col min="11998" max="11998" width="4.5" style="1222" customWidth="1"/>
    <col min="11999" max="12033" width="3.83203125" style="1222" customWidth="1"/>
    <col min="12034" max="12035" width="1.5" style="1222" customWidth="1"/>
    <col min="12036" max="12242" width="10.5" style="1222"/>
    <col min="12243" max="12243" width="6.1640625" style="1222" customWidth="1"/>
    <col min="12244" max="12248" width="3.83203125" style="1222" customWidth="1"/>
    <col min="12249" max="12249" width="4.5" style="1222" customWidth="1"/>
    <col min="12250" max="12253" width="3.83203125" style="1222" customWidth="1"/>
    <col min="12254" max="12254" width="4.5" style="1222" customWidth="1"/>
    <col min="12255" max="12289" width="3.83203125" style="1222" customWidth="1"/>
    <col min="12290" max="12291" width="1.5" style="1222" customWidth="1"/>
    <col min="12292" max="12498" width="10.5" style="1222"/>
    <col min="12499" max="12499" width="6.1640625" style="1222" customWidth="1"/>
    <col min="12500" max="12504" width="3.83203125" style="1222" customWidth="1"/>
    <col min="12505" max="12505" width="4.5" style="1222" customWidth="1"/>
    <col min="12506" max="12509" width="3.83203125" style="1222" customWidth="1"/>
    <col min="12510" max="12510" width="4.5" style="1222" customWidth="1"/>
    <col min="12511" max="12545" width="3.83203125" style="1222" customWidth="1"/>
    <col min="12546" max="12547" width="1.5" style="1222" customWidth="1"/>
    <col min="12548" max="12754" width="10.5" style="1222"/>
    <col min="12755" max="12755" width="6.1640625" style="1222" customWidth="1"/>
    <col min="12756" max="12760" width="3.83203125" style="1222" customWidth="1"/>
    <col min="12761" max="12761" width="4.5" style="1222" customWidth="1"/>
    <col min="12762" max="12765" width="3.83203125" style="1222" customWidth="1"/>
    <col min="12766" max="12766" width="4.5" style="1222" customWidth="1"/>
    <col min="12767" max="12801" width="3.83203125" style="1222" customWidth="1"/>
    <col min="12802" max="12803" width="1.5" style="1222" customWidth="1"/>
    <col min="12804" max="13010" width="10.5" style="1222"/>
    <col min="13011" max="13011" width="6.1640625" style="1222" customWidth="1"/>
    <col min="13012" max="13016" width="3.83203125" style="1222" customWidth="1"/>
    <col min="13017" max="13017" width="4.5" style="1222" customWidth="1"/>
    <col min="13018" max="13021" width="3.83203125" style="1222" customWidth="1"/>
    <col min="13022" max="13022" width="4.5" style="1222" customWidth="1"/>
    <col min="13023" max="13057" width="3.83203125" style="1222" customWidth="1"/>
    <col min="13058" max="13059" width="1.5" style="1222" customWidth="1"/>
    <col min="13060" max="13266" width="10.5" style="1222"/>
    <col min="13267" max="13267" width="6.1640625" style="1222" customWidth="1"/>
    <col min="13268" max="13272" width="3.83203125" style="1222" customWidth="1"/>
    <col min="13273" max="13273" width="4.5" style="1222" customWidth="1"/>
    <col min="13274" max="13277" width="3.83203125" style="1222" customWidth="1"/>
    <col min="13278" max="13278" width="4.5" style="1222" customWidth="1"/>
    <col min="13279" max="13313" width="3.83203125" style="1222" customWidth="1"/>
    <col min="13314" max="13315" width="1.5" style="1222" customWidth="1"/>
    <col min="13316" max="13522" width="10.5" style="1222"/>
    <col min="13523" max="13523" width="6.1640625" style="1222" customWidth="1"/>
    <col min="13524" max="13528" width="3.83203125" style="1222" customWidth="1"/>
    <col min="13529" max="13529" width="4.5" style="1222" customWidth="1"/>
    <col min="13530" max="13533" width="3.83203125" style="1222" customWidth="1"/>
    <col min="13534" max="13534" width="4.5" style="1222" customWidth="1"/>
    <col min="13535" max="13569" width="3.83203125" style="1222" customWidth="1"/>
    <col min="13570" max="13571" width="1.5" style="1222" customWidth="1"/>
    <col min="13572" max="13778" width="10.5" style="1222"/>
    <col min="13779" max="13779" width="6.1640625" style="1222" customWidth="1"/>
    <col min="13780" max="13784" width="3.83203125" style="1222" customWidth="1"/>
    <col min="13785" max="13785" width="4.5" style="1222" customWidth="1"/>
    <col min="13786" max="13789" width="3.83203125" style="1222" customWidth="1"/>
    <col min="13790" max="13790" width="4.5" style="1222" customWidth="1"/>
    <col min="13791" max="13825" width="3.83203125" style="1222" customWidth="1"/>
    <col min="13826" max="13827" width="1.5" style="1222" customWidth="1"/>
    <col min="13828" max="14034" width="10.5" style="1222"/>
    <col min="14035" max="14035" width="6.1640625" style="1222" customWidth="1"/>
    <col min="14036" max="14040" width="3.83203125" style="1222" customWidth="1"/>
    <col min="14041" max="14041" width="4.5" style="1222" customWidth="1"/>
    <col min="14042" max="14045" width="3.83203125" style="1222" customWidth="1"/>
    <col min="14046" max="14046" width="4.5" style="1222" customWidth="1"/>
    <col min="14047" max="14081" width="3.83203125" style="1222" customWidth="1"/>
    <col min="14082" max="14083" width="1.5" style="1222" customWidth="1"/>
    <col min="14084" max="14290" width="10.5" style="1222"/>
    <col min="14291" max="14291" width="6.1640625" style="1222" customWidth="1"/>
    <col min="14292" max="14296" width="3.83203125" style="1222" customWidth="1"/>
    <col min="14297" max="14297" width="4.5" style="1222" customWidth="1"/>
    <col min="14298" max="14301" width="3.83203125" style="1222" customWidth="1"/>
    <col min="14302" max="14302" width="4.5" style="1222" customWidth="1"/>
    <col min="14303" max="14337" width="3.83203125" style="1222" customWidth="1"/>
    <col min="14338" max="14339" width="1.5" style="1222" customWidth="1"/>
    <col min="14340" max="14546" width="10.5" style="1222"/>
    <col min="14547" max="14547" width="6.1640625" style="1222" customWidth="1"/>
    <col min="14548" max="14552" width="3.83203125" style="1222" customWidth="1"/>
    <col min="14553" max="14553" width="4.5" style="1222" customWidth="1"/>
    <col min="14554" max="14557" width="3.83203125" style="1222" customWidth="1"/>
    <col min="14558" max="14558" width="4.5" style="1222" customWidth="1"/>
    <col min="14559" max="14593" width="3.83203125" style="1222" customWidth="1"/>
    <col min="14594" max="14595" width="1.5" style="1222" customWidth="1"/>
    <col min="14596" max="14802" width="10.5" style="1222"/>
    <col min="14803" max="14803" width="6.1640625" style="1222" customWidth="1"/>
    <col min="14804" max="14808" width="3.83203125" style="1222" customWidth="1"/>
    <col min="14809" max="14809" width="4.5" style="1222" customWidth="1"/>
    <col min="14810" max="14813" width="3.83203125" style="1222" customWidth="1"/>
    <col min="14814" max="14814" width="4.5" style="1222" customWidth="1"/>
    <col min="14815" max="14849" width="3.83203125" style="1222" customWidth="1"/>
    <col min="14850" max="14851" width="1.5" style="1222" customWidth="1"/>
    <col min="14852" max="15058" width="10.5" style="1222"/>
    <col min="15059" max="15059" width="6.1640625" style="1222" customWidth="1"/>
    <col min="15060" max="15064" width="3.83203125" style="1222" customWidth="1"/>
    <col min="15065" max="15065" width="4.5" style="1222" customWidth="1"/>
    <col min="15066" max="15069" width="3.83203125" style="1222" customWidth="1"/>
    <col min="15070" max="15070" width="4.5" style="1222" customWidth="1"/>
    <col min="15071" max="15105" width="3.83203125" style="1222" customWidth="1"/>
    <col min="15106" max="15107" width="1.5" style="1222" customWidth="1"/>
    <col min="15108" max="15314" width="10.5" style="1222"/>
    <col min="15315" max="15315" width="6.1640625" style="1222" customWidth="1"/>
    <col min="15316" max="15320" width="3.83203125" style="1222" customWidth="1"/>
    <col min="15321" max="15321" width="4.5" style="1222" customWidth="1"/>
    <col min="15322" max="15325" width="3.83203125" style="1222" customWidth="1"/>
    <col min="15326" max="15326" width="4.5" style="1222" customWidth="1"/>
    <col min="15327" max="15361" width="3.83203125" style="1222" customWidth="1"/>
    <col min="15362" max="15363" width="1.5" style="1222" customWidth="1"/>
    <col min="15364" max="15570" width="10.5" style="1222"/>
    <col min="15571" max="15571" width="6.1640625" style="1222" customWidth="1"/>
    <col min="15572" max="15576" width="3.83203125" style="1222" customWidth="1"/>
    <col min="15577" max="15577" width="4.5" style="1222" customWidth="1"/>
    <col min="15578" max="15581" width="3.83203125" style="1222" customWidth="1"/>
    <col min="15582" max="15582" width="4.5" style="1222" customWidth="1"/>
    <col min="15583" max="15617" width="3.83203125" style="1222" customWidth="1"/>
    <col min="15618" max="15619" width="1.5" style="1222" customWidth="1"/>
    <col min="15620" max="15826" width="10.5" style="1222"/>
    <col min="15827" max="15827" width="6.1640625" style="1222" customWidth="1"/>
    <col min="15828" max="15832" width="3.83203125" style="1222" customWidth="1"/>
    <col min="15833" max="15833" width="4.5" style="1222" customWidth="1"/>
    <col min="15834" max="15837" width="3.83203125" style="1222" customWidth="1"/>
    <col min="15838" max="15838" width="4.5" style="1222" customWidth="1"/>
    <col min="15839" max="15873" width="3.83203125" style="1222" customWidth="1"/>
    <col min="15874" max="15875" width="1.5" style="1222" customWidth="1"/>
    <col min="15876" max="16082" width="10.5" style="1222"/>
    <col min="16083" max="16083" width="6.1640625" style="1222" customWidth="1"/>
    <col min="16084" max="16088" width="3.83203125" style="1222" customWidth="1"/>
    <col min="16089" max="16089" width="4.5" style="1222" customWidth="1"/>
    <col min="16090" max="16093" width="3.83203125" style="1222" customWidth="1"/>
    <col min="16094" max="16094" width="4.5" style="1222" customWidth="1"/>
    <col min="16095" max="16129" width="3.83203125" style="1222" customWidth="1"/>
    <col min="16130" max="16131" width="1.5" style="1222" customWidth="1"/>
    <col min="16132" max="16384" width="10.5" style="1222"/>
  </cols>
  <sheetData>
    <row r="1" spans="1:210" s="1221" customFormat="1" ht="30" customHeight="1" x14ac:dyDescent="0.2">
      <c r="A1" s="1324" t="s">
        <v>1496</v>
      </c>
      <c r="B1" s="1324"/>
      <c r="C1" s="1324"/>
      <c r="D1" s="1324"/>
      <c r="GP1" s="1222"/>
      <c r="GQ1" s="1222"/>
      <c r="GR1" s="1222"/>
      <c r="GS1" s="1222"/>
      <c r="GT1" s="1222"/>
      <c r="GU1" s="1222"/>
      <c r="GV1" s="1222"/>
      <c r="GW1" s="1222"/>
      <c r="GX1" s="1222"/>
      <c r="GY1" s="1222"/>
      <c r="GZ1" s="1222"/>
      <c r="HA1" s="1222"/>
      <c r="HB1" s="1222"/>
    </row>
    <row r="2" spans="1:210" s="1221" customFormat="1" ht="16.5" customHeight="1" x14ac:dyDescent="0.2">
      <c r="A2" s="1323" t="s">
        <v>1451</v>
      </c>
      <c r="B2" s="1323"/>
      <c r="C2" s="1323"/>
      <c r="D2" s="1323"/>
      <c r="GP2" s="1222"/>
      <c r="GQ2" s="1222"/>
      <c r="GR2" s="1222"/>
      <c r="GS2" s="1222"/>
      <c r="GT2" s="1222"/>
      <c r="GU2" s="1222"/>
      <c r="GV2" s="1222"/>
      <c r="GW2" s="1222"/>
      <c r="GX2" s="1222"/>
      <c r="GY2" s="1222"/>
      <c r="GZ2" s="1222"/>
      <c r="HA2" s="1222"/>
      <c r="HB2" s="1222"/>
    </row>
    <row r="3" spans="1:210" s="1221" customFormat="1" ht="36.75" customHeight="1" x14ac:dyDescent="0.2">
      <c r="A3" s="1323"/>
      <c r="B3" s="1323"/>
      <c r="C3" s="1323"/>
      <c r="D3" s="1323"/>
      <c r="GP3" s="1222"/>
      <c r="GQ3" s="1222"/>
      <c r="GR3" s="1222"/>
      <c r="GS3" s="1222"/>
      <c r="GT3" s="1222"/>
      <c r="GU3" s="1222"/>
      <c r="GV3" s="1222"/>
      <c r="GW3" s="1222"/>
      <c r="GX3" s="1222"/>
      <c r="GY3" s="1222"/>
      <c r="GZ3" s="1222"/>
      <c r="HA3" s="1222"/>
      <c r="HB3" s="1222"/>
    </row>
    <row r="4" spans="1:210" ht="16.149999999999999" customHeight="1" x14ac:dyDescent="0.2">
      <c r="A4" s="1232"/>
      <c r="B4" s="1232"/>
      <c r="C4" s="1232"/>
      <c r="D4" s="1232"/>
    </row>
    <row r="5" spans="1:210" x14ac:dyDescent="0.2">
      <c r="A5" s="1325" t="s">
        <v>1222</v>
      </c>
      <c r="B5" s="1325"/>
      <c r="C5" s="1325"/>
      <c r="D5" s="1325"/>
    </row>
    <row r="6" spans="1:210" ht="36.75" customHeight="1" x14ac:dyDescent="0.2">
      <c r="A6" s="1227" t="s">
        <v>12</v>
      </c>
      <c r="B6" s="1229" t="s">
        <v>1223</v>
      </c>
      <c r="C6" s="1229" t="s">
        <v>1224</v>
      </c>
      <c r="D6" s="1229" t="s">
        <v>1225</v>
      </c>
    </row>
    <row r="7" spans="1:210" x14ac:dyDescent="0.2">
      <c r="A7" s="1244" t="s">
        <v>986</v>
      </c>
      <c r="B7" s="1244" t="s">
        <v>1227</v>
      </c>
      <c r="C7" s="1244" t="s">
        <v>1228</v>
      </c>
      <c r="D7" s="1244" t="s">
        <v>1229</v>
      </c>
    </row>
    <row r="8" spans="1:210" ht="12.75" customHeight="1" x14ac:dyDescent="0.2">
      <c r="A8" s="1225" t="s">
        <v>1234</v>
      </c>
      <c r="B8" s="1223" t="s">
        <v>1231</v>
      </c>
      <c r="C8" s="1223" t="s">
        <v>1231</v>
      </c>
      <c r="D8" s="1223" t="s">
        <v>1231</v>
      </c>
    </row>
    <row r="9" spans="1:210" ht="12.75" customHeight="1" x14ac:dyDescent="0.2">
      <c r="A9" s="1225" t="s">
        <v>1244</v>
      </c>
      <c r="B9" s="1223" t="s">
        <v>1231</v>
      </c>
      <c r="C9" s="1223" t="s">
        <v>1231</v>
      </c>
      <c r="D9" s="1223" t="s">
        <v>1231</v>
      </c>
    </row>
    <row r="10" spans="1:210" ht="12.75" customHeight="1" x14ac:dyDescent="0.2">
      <c r="A10" s="1225" t="s">
        <v>1258</v>
      </c>
      <c r="B10" s="1223" t="s">
        <v>1231</v>
      </c>
      <c r="C10" s="1223" t="s">
        <v>1231</v>
      </c>
      <c r="D10" s="1223" t="s">
        <v>1231</v>
      </c>
    </row>
    <row r="11" spans="1:210" ht="12.75" customHeight="1" x14ac:dyDescent="0.2">
      <c r="A11" s="1225" t="s">
        <v>1264</v>
      </c>
      <c r="B11" s="1223" t="s">
        <v>1231</v>
      </c>
      <c r="C11" s="1223" t="s">
        <v>1231</v>
      </c>
      <c r="D11" s="1223" t="s">
        <v>1231</v>
      </c>
    </row>
    <row r="12" spans="1:210" ht="23.85" customHeight="1" x14ac:dyDescent="0.2">
      <c r="A12" s="1235" t="s">
        <v>1265</v>
      </c>
      <c r="B12" s="1236" t="s">
        <v>1231</v>
      </c>
      <c r="C12" s="1237" t="s">
        <v>1231</v>
      </c>
      <c r="D12" s="1236" t="s">
        <v>1231</v>
      </c>
    </row>
    <row r="13" spans="1:210" ht="12.75" customHeight="1" x14ac:dyDescent="0.2">
      <c r="A13" s="1225" t="s">
        <v>1266</v>
      </c>
      <c r="B13" s="1223" t="s">
        <v>1231</v>
      </c>
      <c r="C13" s="1238" t="s">
        <v>1231</v>
      </c>
      <c r="D13" s="1223" t="s">
        <v>1231</v>
      </c>
    </row>
    <row r="14" spans="1:210" ht="12.75" customHeight="1" x14ac:dyDescent="0.2">
      <c r="A14" s="1225" t="s">
        <v>1267</v>
      </c>
      <c r="B14" s="1223" t="s">
        <v>1231</v>
      </c>
      <c r="C14" s="1238" t="s">
        <v>1231</v>
      </c>
      <c r="D14" s="1223" t="s">
        <v>1231</v>
      </c>
    </row>
    <row r="15" spans="1:210" ht="12.75" customHeight="1" x14ac:dyDescent="0.2">
      <c r="A15" s="1235" t="s">
        <v>1268</v>
      </c>
      <c r="B15" s="1236" t="s">
        <v>1231</v>
      </c>
      <c r="C15" s="1237" t="s">
        <v>1231</v>
      </c>
      <c r="D15" s="1236" t="s">
        <v>1231</v>
      </c>
    </row>
    <row r="16" spans="1:210" ht="12.75" customHeight="1" x14ac:dyDescent="0.2">
      <c r="A16" s="1225" t="s">
        <v>1272</v>
      </c>
      <c r="B16" s="1223" t="s">
        <v>1273</v>
      </c>
      <c r="C16" s="1238">
        <f>B16-D16</f>
        <v>21535</v>
      </c>
      <c r="D16" s="1223" t="s">
        <v>1274</v>
      </c>
    </row>
    <row r="17" spans="1:4" ht="12.75" customHeight="1" x14ac:dyDescent="0.2">
      <c r="A17" s="1225" t="s">
        <v>1275</v>
      </c>
      <c r="B17" s="1223" t="s">
        <v>1231</v>
      </c>
      <c r="C17" s="1238"/>
      <c r="D17" s="1223" t="s">
        <v>1231</v>
      </c>
    </row>
    <row r="18" spans="1:4" ht="12.75" customHeight="1" x14ac:dyDescent="0.2">
      <c r="A18" s="1225" t="s">
        <v>1276</v>
      </c>
      <c r="B18" s="1223" t="s">
        <v>1231</v>
      </c>
      <c r="C18" s="1238"/>
      <c r="D18" s="1223" t="s">
        <v>1231</v>
      </c>
    </row>
    <row r="19" spans="1:4" ht="12.75" customHeight="1" x14ac:dyDescent="0.2">
      <c r="A19" s="1233" t="s">
        <v>1277</v>
      </c>
      <c r="B19" s="1234" t="s">
        <v>1273</v>
      </c>
      <c r="C19" s="1240">
        <f t="shared" ref="C19:C47" si="0">B19-D19</f>
        <v>21535</v>
      </c>
      <c r="D19" s="1234" t="s">
        <v>1274</v>
      </c>
    </row>
    <row r="20" spans="1:4" ht="12.75" customHeight="1" x14ac:dyDescent="0.2">
      <c r="A20" s="1225" t="s">
        <v>1278</v>
      </c>
      <c r="B20" s="1223" t="s">
        <v>1279</v>
      </c>
      <c r="C20" s="1238">
        <f>D20-B20</f>
        <v>93646</v>
      </c>
      <c r="D20" s="1223" t="s">
        <v>1280</v>
      </c>
    </row>
    <row r="21" spans="1:4" ht="12.75" customHeight="1" x14ac:dyDescent="0.2">
      <c r="A21" s="1225" t="s">
        <v>1281</v>
      </c>
      <c r="B21" s="1223" t="s">
        <v>1231</v>
      </c>
      <c r="C21" s="1238"/>
      <c r="D21" s="1223" t="s">
        <v>1231</v>
      </c>
    </row>
    <row r="22" spans="1:4" ht="12.75" customHeight="1" x14ac:dyDescent="0.2">
      <c r="A22" s="1233" t="s">
        <v>1282</v>
      </c>
      <c r="B22" s="1234" t="s">
        <v>1279</v>
      </c>
      <c r="C22" s="1240">
        <f t="shared" ref="C22:C26" si="1">D22-B22</f>
        <v>93646</v>
      </c>
      <c r="D22" s="1234" t="s">
        <v>1280</v>
      </c>
    </row>
    <row r="23" spans="1:4" ht="12.75" customHeight="1" x14ac:dyDescent="0.2">
      <c r="A23" s="1225" t="s">
        <v>1283</v>
      </c>
      <c r="B23" s="1223" t="s">
        <v>1231</v>
      </c>
      <c r="C23" s="1238"/>
      <c r="D23" s="1223" t="s">
        <v>1231</v>
      </c>
    </row>
    <row r="24" spans="1:4" ht="12.75" customHeight="1" x14ac:dyDescent="0.2">
      <c r="A24" s="1225" t="s">
        <v>1284</v>
      </c>
      <c r="B24" s="1223" t="s">
        <v>1231</v>
      </c>
      <c r="C24" s="1238"/>
      <c r="D24" s="1223" t="s">
        <v>1231</v>
      </c>
    </row>
    <row r="25" spans="1:4" ht="12.75" customHeight="1" x14ac:dyDescent="0.2">
      <c r="A25" s="1225" t="s">
        <v>1285</v>
      </c>
      <c r="B25" s="1223" t="s">
        <v>1231</v>
      </c>
      <c r="C25" s="1238"/>
      <c r="D25" s="1223" t="s">
        <v>1231</v>
      </c>
    </row>
    <row r="26" spans="1:4" ht="12.75" customHeight="1" x14ac:dyDescent="0.2">
      <c r="A26" s="1235" t="s">
        <v>1286</v>
      </c>
      <c r="B26" s="1236" t="s">
        <v>1287</v>
      </c>
      <c r="C26" s="1237">
        <f t="shared" si="1"/>
        <v>72111</v>
      </c>
      <c r="D26" s="1236" t="s">
        <v>1288</v>
      </c>
    </row>
    <row r="27" spans="1:4" ht="23.85" customHeight="1" x14ac:dyDescent="0.2">
      <c r="A27" s="1225" t="s">
        <v>1364</v>
      </c>
      <c r="B27" s="1223" t="s">
        <v>1231</v>
      </c>
      <c r="C27" s="1238"/>
      <c r="D27" s="1223" t="s">
        <v>1231</v>
      </c>
    </row>
    <row r="28" spans="1:4" ht="23.85" customHeight="1" x14ac:dyDescent="0.2">
      <c r="A28" s="1225" t="s">
        <v>1365</v>
      </c>
      <c r="B28" s="1223" t="s">
        <v>1231</v>
      </c>
      <c r="C28" s="1238"/>
      <c r="D28" s="1223" t="s">
        <v>1231</v>
      </c>
    </row>
    <row r="29" spans="1:4" ht="12.75" customHeight="1" x14ac:dyDescent="0.2">
      <c r="A29" s="1225" t="s">
        <v>1308</v>
      </c>
      <c r="B29" s="1223" t="s">
        <v>1309</v>
      </c>
      <c r="C29" s="1238">
        <f>D29-B29</f>
        <v>-18354</v>
      </c>
      <c r="D29" s="1223" t="s">
        <v>1310</v>
      </c>
    </row>
    <row r="30" spans="1:4" ht="12.75" customHeight="1" x14ac:dyDescent="0.2">
      <c r="A30" s="1225" t="s">
        <v>1311</v>
      </c>
      <c r="B30" s="1223" t="s">
        <v>1309</v>
      </c>
      <c r="C30" s="1238"/>
      <c r="D30" s="1223" t="s">
        <v>1231</v>
      </c>
    </row>
    <row r="31" spans="1:4" ht="12.75" customHeight="1" x14ac:dyDescent="0.2">
      <c r="A31" s="1233" t="s">
        <v>1312</v>
      </c>
      <c r="B31" s="1234" t="s">
        <v>1309</v>
      </c>
      <c r="C31" s="1240">
        <f t="shared" ref="C31:C32" si="2">D31-B31</f>
        <v>-18354</v>
      </c>
      <c r="D31" s="1234" t="s">
        <v>1310</v>
      </c>
    </row>
    <row r="32" spans="1:4" ht="12.75" customHeight="1" x14ac:dyDescent="0.2">
      <c r="A32" s="1235" t="s">
        <v>1313</v>
      </c>
      <c r="B32" s="1236" t="s">
        <v>1309</v>
      </c>
      <c r="C32" s="1237">
        <f t="shared" si="2"/>
        <v>-18354</v>
      </c>
      <c r="D32" s="1236" t="s">
        <v>1310</v>
      </c>
    </row>
    <row r="33" spans="1:4" ht="23.85" customHeight="1" x14ac:dyDescent="0.2">
      <c r="A33" s="1225" t="s">
        <v>1314</v>
      </c>
      <c r="B33" s="1223" t="s">
        <v>1231</v>
      </c>
      <c r="C33" s="1238"/>
      <c r="D33" s="1223" t="s">
        <v>1231</v>
      </c>
    </row>
    <row r="34" spans="1:4" ht="12.75" customHeight="1" x14ac:dyDescent="0.2">
      <c r="A34" s="1225" t="s">
        <v>1315</v>
      </c>
      <c r="B34" s="1223" t="s">
        <v>1231</v>
      </c>
      <c r="C34" s="1238"/>
      <c r="D34" s="1223" t="s">
        <v>1231</v>
      </c>
    </row>
    <row r="35" spans="1:4" ht="12.75" customHeight="1" x14ac:dyDescent="0.2">
      <c r="A35" s="1225" t="s">
        <v>1316</v>
      </c>
      <c r="B35" s="1223" t="s">
        <v>1231</v>
      </c>
      <c r="C35" s="1238"/>
      <c r="D35" s="1223" t="s">
        <v>1231</v>
      </c>
    </row>
    <row r="36" spans="1:4" ht="23.85" customHeight="1" x14ac:dyDescent="0.2">
      <c r="A36" s="1235" t="s">
        <v>1317</v>
      </c>
      <c r="B36" s="1236" t="s">
        <v>1231</v>
      </c>
      <c r="C36" s="1238"/>
      <c r="D36" s="1236" t="s">
        <v>1231</v>
      </c>
    </row>
    <row r="37" spans="1:4" ht="12.75" customHeight="1" x14ac:dyDescent="0.2">
      <c r="A37" s="1225" t="s">
        <v>1318</v>
      </c>
      <c r="B37" s="1223" t="s">
        <v>1231</v>
      </c>
      <c r="C37" s="1238"/>
      <c r="D37" s="1223" t="s">
        <v>1231</v>
      </c>
    </row>
    <row r="38" spans="1:4" ht="12.75" customHeight="1" x14ac:dyDescent="0.2">
      <c r="A38" s="1225" t="s">
        <v>1319</v>
      </c>
      <c r="B38" s="1223" t="s">
        <v>1231</v>
      </c>
      <c r="C38" s="1238"/>
      <c r="D38" s="1223" t="s">
        <v>1231</v>
      </c>
    </row>
    <row r="39" spans="1:4" ht="12.75" customHeight="1" x14ac:dyDescent="0.2">
      <c r="A39" s="1225" t="s">
        <v>1320</v>
      </c>
      <c r="B39" s="1223" t="s">
        <v>1231</v>
      </c>
      <c r="C39" s="1238"/>
      <c r="D39" s="1223" t="s">
        <v>1231</v>
      </c>
    </row>
    <row r="40" spans="1:4" ht="12.75" customHeight="1" x14ac:dyDescent="0.2">
      <c r="A40" s="1235" t="s">
        <v>1321</v>
      </c>
      <c r="B40" s="1236" t="s">
        <v>1231</v>
      </c>
      <c r="C40" s="1238"/>
      <c r="D40" s="1236" t="s">
        <v>1231</v>
      </c>
    </row>
    <row r="41" spans="1:4" ht="12.75" customHeight="1" x14ac:dyDescent="0.2">
      <c r="A41" s="1230" t="s">
        <v>1322</v>
      </c>
      <c r="B41" s="1231" t="s">
        <v>1323</v>
      </c>
      <c r="C41" s="1239">
        <f>D41-B41</f>
        <v>53757</v>
      </c>
      <c r="D41" s="1231" t="s">
        <v>1324</v>
      </c>
    </row>
    <row r="42" spans="1:4" ht="12.75" customHeight="1" x14ac:dyDescent="0.2">
      <c r="A42" s="1225" t="s">
        <v>1325</v>
      </c>
      <c r="B42" s="1223" t="s">
        <v>1231</v>
      </c>
      <c r="C42" s="1238"/>
      <c r="D42" s="1223" t="s">
        <v>1231</v>
      </c>
    </row>
    <row r="43" spans="1:4" ht="12.75" customHeight="1" x14ac:dyDescent="0.2">
      <c r="A43" s="1225" t="s">
        <v>1326</v>
      </c>
      <c r="B43" s="1223" t="s">
        <v>1231</v>
      </c>
      <c r="C43" s="1238"/>
      <c r="D43" s="1223" t="s">
        <v>1231</v>
      </c>
    </row>
    <row r="44" spans="1:4" ht="12.75" customHeight="1" x14ac:dyDescent="0.2">
      <c r="A44" s="1225" t="s">
        <v>1327</v>
      </c>
      <c r="B44" s="1223" t="s">
        <v>1231</v>
      </c>
      <c r="C44" s="1238"/>
      <c r="D44" s="1223" t="s">
        <v>1231</v>
      </c>
    </row>
    <row r="45" spans="1:4" ht="12.75" customHeight="1" x14ac:dyDescent="0.2">
      <c r="A45" s="1225" t="s">
        <v>1328</v>
      </c>
      <c r="B45" s="1223" t="s">
        <v>1231</v>
      </c>
      <c r="C45" s="1238"/>
      <c r="D45" s="1223" t="s">
        <v>1231</v>
      </c>
    </row>
    <row r="46" spans="1:4" ht="37.5" customHeight="1" x14ac:dyDescent="0.2">
      <c r="A46" s="1225" t="s">
        <v>1329</v>
      </c>
      <c r="B46" s="1223" t="s">
        <v>1330</v>
      </c>
      <c r="C46" s="1238">
        <f t="shared" si="0"/>
        <v>0</v>
      </c>
      <c r="D46" s="1223" t="s">
        <v>1330</v>
      </c>
    </row>
    <row r="47" spans="1:4" ht="35.1" customHeight="1" x14ac:dyDescent="0.2">
      <c r="A47" s="1225" t="s">
        <v>1369</v>
      </c>
      <c r="B47" s="1234" t="s">
        <v>1330</v>
      </c>
      <c r="C47" s="1240">
        <f t="shared" si="0"/>
        <v>0</v>
      </c>
      <c r="D47" s="1234" t="s">
        <v>1330</v>
      </c>
    </row>
    <row r="48" spans="1:4" ht="12.75" customHeight="1" x14ac:dyDescent="0.2">
      <c r="A48" s="1225" t="s">
        <v>1332</v>
      </c>
      <c r="B48" s="1234" t="s">
        <v>1333</v>
      </c>
      <c r="C48" s="1240">
        <v>435080</v>
      </c>
      <c r="D48" s="1234" t="s">
        <v>1334</v>
      </c>
    </row>
    <row r="49" spans="1:4" ht="12.75" customHeight="1" x14ac:dyDescent="0.2">
      <c r="A49" s="1225" t="s">
        <v>1335</v>
      </c>
      <c r="B49" s="1234" t="s">
        <v>1231</v>
      </c>
      <c r="C49" s="1240"/>
      <c r="D49" s="1234" t="s">
        <v>1231</v>
      </c>
    </row>
    <row r="50" spans="1:4" ht="12.75" customHeight="1" x14ac:dyDescent="0.2">
      <c r="A50" s="1225" t="s">
        <v>1336</v>
      </c>
      <c r="B50" s="1223" t="s">
        <v>1337</v>
      </c>
      <c r="C50" s="1238">
        <f>D50-B50</f>
        <v>-4092197</v>
      </c>
      <c r="D50" s="1223" t="s">
        <v>1338</v>
      </c>
    </row>
    <row r="51" spans="1:4" ht="12.75" customHeight="1" x14ac:dyDescent="0.2">
      <c r="A51" s="1235" t="s">
        <v>1339</v>
      </c>
      <c r="B51" s="1236" t="s">
        <v>1323</v>
      </c>
      <c r="C51" s="1237">
        <f>D51-B51</f>
        <v>-3657117</v>
      </c>
      <c r="D51" s="1236" t="s">
        <v>1340</v>
      </c>
    </row>
    <row r="52" spans="1:4" ht="23.85" customHeight="1" x14ac:dyDescent="0.2">
      <c r="A52" s="1225" t="s">
        <v>1366</v>
      </c>
      <c r="B52" s="1223" t="s">
        <v>1231</v>
      </c>
      <c r="C52" s="1238"/>
      <c r="D52" s="1223" t="s">
        <v>1231</v>
      </c>
    </row>
    <row r="53" spans="1:4" ht="23.85" customHeight="1" x14ac:dyDescent="0.2">
      <c r="A53" s="1225" t="s">
        <v>1367</v>
      </c>
      <c r="B53" s="1223" t="s">
        <v>1231</v>
      </c>
      <c r="C53" s="1238"/>
      <c r="D53" s="1223" t="s">
        <v>1231</v>
      </c>
    </row>
    <row r="54" spans="1:4" ht="12.75" customHeight="1" x14ac:dyDescent="0.2">
      <c r="A54" s="1225" t="s">
        <v>1368</v>
      </c>
      <c r="B54" s="1223" t="s">
        <v>1231</v>
      </c>
      <c r="C54" s="1238"/>
      <c r="D54" s="1223" t="s">
        <v>1231</v>
      </c>
    </row>
    <row r="55" spans="1:4" ht="12.75" customHeight="1" x14ac:dyDescent="0.2">
      <c r="A55" s="1235" t="s">
        <v>1356</v>
      </c>
      <c r="B55" s="1236" t="s">
        <v>1231</v>
      </c>
      <c r="C55" s="1238"/>
      <c r="D55" s="1236" t="s">
        <v>1231</v>
      </c>
    </row>
    <row r="56" spans="1:4" ht="12.75" customHeight="1" x14ac:dyDescent="0.2">
      <c r="A56" s="1235" t="s">
        <v>1357</v>
      </c>
      <c r="B56" s="1236" t="s">
        <v>1231</v>
      </c>
      <c r="C56" s="1238"/>
      <c r="D56" s="1236" t="s">
        <v>1231</v>
      </c>
    </row>
    <row r="57" spans="1:4" ht="12.75" customHeight="1" x14ac:dyDescent="0.2">
      <c r="A57" s="1225" t="s">
        <v>1358</v>
      </c>
      <c r="B57" s="1223" t="s">
        <v>1231</v>
      </c>
      <c r="C57" s="1238"/>
      <c r="D57" s="1223" t="s">
        <v>1231</v>
      </c>
    </row>
    <row r="58" spans="1:4" ht="12.75" customHeight="1" x14ac:dyDescent="0.2">
      <c r="A58" s="1225" t="s">
        <v>1359</v>
      </c>
      <c r="B58" s="1223" t="s">
        <v>1231</v>
      </c>
      <c r="C58" s="1238">
        <v>3710874</v>
      </c>
      <c r="D58" s="1223" t="s">
        <v>1360</v>
      </c>
    </row>
    <row r="59" spans="1:4" ht="12.75" customHeight="1" x14ac:dyDescent="0.2">
      <c r="A59" s="1225" t="s">
        <v>1361</v>
      </c>
      <c r="B59" s="1223" t="s">
        <v>1231</v>
      </c>
      <c r="C59" s="1238"/>
      <c r="D59" s="1223" t="s">
        <v>1231</v>
      </c>
    </row>
    <row r="60" spans="1:4" ht="12.75" customHeight="1" x14ac:dyDescent="0.2">
      <c r="A60" s="1235" t="s">
        <v>1362</v>
      </c>
      <c r="B60" s="1236" t="s">
        <v>1231</v>
      </c>
      <c r="C60" s="1237">
        <v>3710874</v>
      </c>
      <c r="D60" s="1236" t="s">
        <v>1360</v>
      </c>
    </row>
    <row r="61" spans="1:4" ht="12.75" customHeight="1" x14ac:dyDescent="0.2">
      <c r="A61" s="1230" t="s">
        <v>1363</v>
      </c>
      <c r="B61" s="1231" t="s">
        <v>1323</v>
      </c>
      <c r="C61" s="1239">
        <f>D61-B61</f>
        <v>53757</v>
      </c>
      <c r="D61" s="1231" t="s">
        <v>1324</v>
      </c>
    </row>
    <row r="62" spans="1:4" x14ac:dyDescent="0.2">
      <c r="A62" s="1224"/>
      <c r="B62" s="1224"/>
      <c r="C62" s="1224"/>
      <c r="D62" s="1224"/>
    </row>
  </sheetData>
  <sheetProtection selectLockedCells="1" selectUnlockedCells="1"/>
  <mergeCells count="3">
    <mergeCell ref="A2:D3"/>
    <mergeCell ref="A1:D1"/>
    <mergeCell ref="A5:D5"/>
  </mergeCells>
  <conditionalFormatting sqref="A8:D61">
    <cfRule type="cellIs" dxfId="9" priority="1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73" firstPageNumber="0" orientation="landscape" horizontalDpi="300" verticalDpi="300" r:id="rId1"/>
  <headerFooter alignWithMargins="0"/>
  <rowBreaks count="1" manualBreakCount="1">
    <brk id="4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B71"/>
  <sheetViews>
    <sheetView view="pageBreakPreview" zoomScaleNormal="100" zoomScaleSheetLayoutView="100" workbookViewId="0">
      <selection sqref="A1:D1"/>
    </sheetView>
  </sheetViews>
  <sheetFormatPr defaultColWidth="10.5" defaultRowHeight="12.75" x14ac:dyDescent="0.2"/>
  <cols>
    <col min="1" max="1" width="55.83203125" style="1222" customWidth="1"/>
    <col min="2" max="4" width="14.83203125" style="1222" customWidth="1"/>
    <col min="5" max="210" width="10.5" style="1222"/>
    <col min="211" max="211" width="6.1640625" style="1222" customWidth="1"/>
    <col min="212" max="216" width="3.83203125" style="1222" customWidth="1"/>
    <col min="217" max="217" width="4.5" style="1222" customWidth="1"/>
    <col min="218" max="221" width="3.83203125" style="1222" customWidth="1"/>
    <col min="222" max="222" width="4.5" style="1222" customWidth="1"/>
    <col min="223" max="257" width="3.83203125" style="1222" customWidth="1"/>
    <col min="258" max="259" width="1.5" style="1222" customWidth="1"/>
    <col min="260" max="466" width="10.5" style="1222"/>
    <col min="467" max="467" width="6.1640625" style="1222" customWidth="1"/>
    <col min="468" max="472" width="3.83203125" style="1222" customWidth="1"/>
    <col min="473" max="473" width="4.5" style="1222" customWidth="1"/>
    <col min="474" max="477" width="3.83203125" style="1222" customWidth="1"/>
    <col min="478" max="478" width="4.5" style="1222" customWidth="1"/>
    <col min="479" max="513" width="3.83203125" style="1222" customWidth="1"/>
    <col min="514" max="515" width="1.5" style="1222" customWidth="1"/>
    <col min="516" max="722" width="10.5" style="1222"/>
    <col min="723" max="723" width="6.1640625" style="1222" customWidth="1"/>
    <col min="724" max="728" width="3.83203125" style="1222" customWidth="1"/>
    <col min="729" max="729" width="4.5" style="1222" customWidth="1"/>
    <col min="730" max="733" width="3.83203125" style="1222" customWidth="1"/>
    <col min="734" max="734" width="4.5" style="1222" customWidth="1"/>
    <col min="735" max="769" width="3.83203125" style="1222" customWidth="1"/>
    <col min="770" max="771" width="1.5" style="1222" customWidth="1"/>
    <col min="772" max="978" width="10.5" style="1222"/>
    <col min="979" max="979" width="6.1640625" style="1222" customWidth="1"/>
    <col min="980" max="984" width="3.83203125" style="1222" customWidth="1"/>
    <col min="985" max="985" width="4.5" style="1222" customWidth="1"/>
    <col min="986" max="989" width="3.83203125" style="1222" customWidth="1"/>
    <col min="990" max="990" width="4.5" style="1222" customWidth="1"/>
    <col min="991" max="1025" width="3.83203125" style="1222" customWidth="1"/>
    <col min="1026" max="1027" width="1.5" style="1222" customWidth="1"/>
    <col min="1028" max="1234" width="10.5" style="1222"/>
    <col min="1235" max="1235" width="6.1640625" style="1222" customWidth="1"/>
    <col min="1236" max="1240" width="3.83203125" style="1222" customWidth="1"/>
    <col min="1241" max="1241" width="4.5" style="1222" customWidth="1"/>
    <col min="1242" max="1245" width="3.83203125" style="1222" customWidth="1"/>
    <col min="1246" max="1246" width="4.5" style="1222" customWidth="1"/>
    <col min="1247" max="1281" width="3.83203125" style="1222" customWidth="1"/>
    <col min="1282" max="1283" width="1.5" style="1222" customWidth="1"/>
    <col min="1284" max="1490" width="10.5" style="1222"/>
    <col min="1491" max="1491" width="6.1640625" style="1222" customWidth="1"/>
    <col min="1492" max="1496" width="3.83203125" style="1222" customWidth="1"/>
    <col min="1497" max="1497" width="4.5" style="1222" customWidth="1"/>
    <col min="1498" max="1501" width="3.83203125" style="1222" customWidth="1"/>
    <col min="1502" max="1502" width="4.5" style="1222" customWidth="1"/>
    <col min="1503" max="1537" width="3.83203125" style="1222" customWidth="1"/>
    <col min="1538" max="1539" width="1.5" style="1222" customWidth="1"/>
    <col min="1540" max="1746" width="10.5" style="1222"/>
    <col min="1747" max="1747" width="6.1640625" style="1222" customWidth="1"/>
    <col min="1748" max="1752" width="3.83203125" style="1222" customWidth="1"/>
    <col min="1753" max="1753" width="4.5" style="1222" customWidth="1"/>
    <col min="1754" max="1757" width="3.83203125" style="1222" customWidth="1"/>
    <col min="1758" max="1758" width="4.5" style="1222" customWidth="1"/>
    <col min="1759" max="1793" width="3.83203125" style="1222" customWidth="1"/>
    <col min="1794" max="1795" width="1.5" style="1222" customWidth="1"/>
    <col min="1796" max="2002" width="10.5" style="1222"/>
    <col min="2003" max="2003" width="6.1640625" style="1222" customWidth="1"/>
    <col min="2004" max="2008" width="3.83203125" style="1222" customWidth="1"/>
    <col min="2009" max="2009" width="4.5" style="1222" customWidth="1"/>
    <col min="2010" max="2013" width="3.83203125" style="1222" customWidth="1"/>
    <col min="2014" max="2014" width="4.5" style="1222" customWidth="1"/>
    <col min="2015" max="2049" width="3.83203125" style="1222" customWidth="1"/>
    <col min="2050" max="2051" width="1.5" style="1222" customWidth="1"/>
    <col min="2052" max="2258" width="10.5" style="1222"/>
    <col min="2259" max="2259" width="6.1640625" style="1222" customWidth="1"/>
    <col min="2260" max="2264" width="3.83203125" style="1222" customWidth="1"/>
    <col min="2265" max="2265" width="4.5" style="1222" customWidth="1"/>
    <col min="2266" max="2269" width="3.83203125" style="1222" customWidth="1"/>
    <col min="2270" max="2270" width="4.5" style="1222" customWidth="1"/>
    <col min="2271" max="2305" width="3.83203125" style="1222" customWidth="1"/>
    <col min="2306" max="2307" width="1.5" style="1222" customWidth="1"/>
    <col min="2308" max="2514" width="10.5" style="1222"/>
    <col min="2515" max="2515" width="6.1640625" style="1222" customWidth="1"/>
    <col min="2516" max="2520" width="3.83203125" style="1222" customWidth="1"/>
    <col min="2521" max="2521" width="4.5" style="1222" customWidth="1"/>
    <col min="2522" max="2525" width="3.83203125" style="1222" customWidth="1"/>
    <col min="2526" max="2526" width="4.5" style="1222" customWidth="1"/>
    <col min="2527" max="2561" width="3.83203125" style="1222" customWidth="1"/>
    <col min="2562" max="2563" width="1.5" style="1222" customWidth="1"/>
    <col min="2564" max="2770" width="10.5" style="1222"/>
    <col min="2771" max="2771" width="6.1640625" style="1222" customWidth="1"/>
    <col min="2772" max="2776" width="3.83203125" style="1222" customWidth="1"/>
    <col min="2777" max="2777" width="4.5" style="1222" customWidth="1"/>
    <col min="2778" max="2781" width="3.83203125" style="1222" customWidth="1"/>
    <col min="2782" max="2782" width="4.5" style="1222" customWidth="1"/>
    <col min="2783" max="2817" width="3.83203125" style="1222" customWidth="1"/>
    <col min="2818" max="2819" width="1.5" style="1222" customWidth="1"/>
    <col min="2820" max="3026" width="10.5" style="1222"/>
    <col min="3027" max="3027" width="6.1640625" style="1222" customWidth="1"/>
    <col min="3028" max="3032" width="3.83203125" style="1222" customWidth="1"/>
    <col min="3033" max="3033" width="4.5" style="1222" customWidth="1"/>
    <col min="3034" max="3037" width="3.83203125" style="1222" customWidth="1"/>
    <col min="3038" max="3038" width="4.5" style="1222" customWidth="1"/>
    <col min="3039" max="3073" width="3.83203125" style="1222" customWidth="1"/>
    <col min="3074" max="3075" width="1.5" style="1222" customWidth="1"/>
    <col min="3076" max="3282" width="10.5" style="1222"/>
    <col min="3283" max="3283" width="6.1640625" style="1222" customWidth="1"/>
    <col min="3284" max="3288" width="3.83203125" style="1222" customWidth="1"/>
    <col min="3289" max="3289" width="4.5" style="1222" customWidth="1"/>
    <col min="3290" max="3293" width="3.83203125" style="1222" customWidth="1"/>
    <col min="3294" max="3294" width="4.5" style="1222" customWidth="1"/>
    <col min="3295" max="3329" width="3.83203125" style="1222" customWidth="1"/>
    <col min="3330" max="3331" width="1.5" style="1222" customWidth="1"/>
    <col min="3332" max="3538" width="10.5" style="1222"/>
    <col min="3539" max="3539" width="6.1640625" style="1222" customWidth="1"/>
    <col min="3540" max="3544" width="3.83203125" style="1222" customWidth="1"/>
    <col min="3545" max="3545" width="4.5" style="1222" customWidth="1"/>
    <col min="3546" max="3549" width="3.83203125" style="1222" customWidth="1"/>
    <col min="3550" max="3550" width="4.5" style="1222" customWidth="1"/>
    <col min="3551" max="3585" width="3.83203125" style="1222" customWidth="1"/>
    <col min="3586" max="3587" width="1.5" style="1222" customWidth="1"/>
    <col min="3588" max="3794" width="10.5" style="1222"/>
    <col min="3795" max="3795" width="6.1640625" style="1222" customWidth="1"/>
    <col min="3796" max="3800" width="3.83203125" style="1222" customWidth="1"/>
    <col min="3801" max="3801" width="4.5" style="1222" customWidth="1"/>
    <col min="3802" max="3805" width="3.83203125" style="1222" customWidth="1"/>
    <col min="3806" max="3806" width="4.5" style="1222" customWidth="1"/>
    <col min="3807" max="3841" width="3.83203125" style="1222" customWidth="1"/>
    <col min="3842" max="3843" width="1.5" style="1222" customWidth="1"/>
    <col min="3844" max="4050" width="10.5" style="1222"/>
    <col min="4051" max="4051" width="6.1640625" style="1222" customWidth="1"/>
    <col min="4052" max="4056" width="3.83203125" style="1222" customWidth="1"/>
    <col min="4057" max="4057" width="4.5" style="1222" customWidth="1"/>
    <col min="4058" max="4061" width="3.83203125" style="1222" customWidth="1"/>
    <col min="4062" max="4062" width="4.5" style="1222" customWidth="1"/>
    <col min="4063" max="4097" width="3.83203125" style="1222" customWidth="1"/>
    <col min="4098" max="4099" width="1.5" style="1222" customWidth="1"/>
    <col min="4100" max="4306" width="10.5" style="1222"/>
    <col min="4307" max="4307" width="6.1640625" style="1222" customWidth="1"/>
    <col min="4308" max="4312" width="3.83203125" style="1222" customWidth="1"/>
    <col min="4313" max="4313" width="4.5" style="1222" customWidth="1"/>
    <col min="4314" max="4317" width="3.83203125" style="1222" customWidth="1"/>
    <col min="4318" max="4318" width="4.5" style="1222" customWidth="1"/>
    <col min="4319" max="4353" width="3.83203125" style="1222" customWidth="1"/>
    <col min="4354" max="4355" width="1.5" style="1222" customWidth="1"/>
    <col min="4356" max="4562" width="10.5" style="1222"/>
    <col min="4563" max="4563" width="6.1640625" style="1222" customWidth="1"/>
    <col min="4564" max="4568" width="3.83203125" style="1222" customWidth="1"/>
    <col min="4569" max="4569" width="4.5" style="1222" customWidth="1"/>
    <col min="4570" max="4573" width="3.83203125" style="1222" customWidth="1"/>
    <col min="4574" max="4574" width="4.5" style="1222" customWidth="1"/>
    <col min="4575" max="4609" width="3.83203125" style="1222" customWidth="1"/>
    <col min="4610" max="4611" width="1.5" style="1222" customWidth="1"/>
    <col min="4612" max="4818" width="10.5" style="1222"/>
    <col min="4819" max="4819" width="6.1640625" style="1222" customWidth="1"/>
    <col min="4820" max="4824" width="3.83203125" style="1222" customWidth="1"/>
    <col min="4825" max="4825" width="4.5" style="1222" customWidth="1"/>
    <col min="4826" max="4829" width="3.83203125" style="1222" customWidth="1"/>
    <col min="4830" max="4830" width="4.5" style="1222" customWidth="1"/>
    <col min="4831" max="4865" width="3.83203125" style="1222" customWidth="1"/>
    <col min="4866" max="4867" width="1.5" style="1222" customWidth="1"/>
    <col min="4868" max="5074" width="10.5" style="1222"/>
    <col min="5075" max="5075" width="6.1640625" style="1222" customWidth="1"/>
    <col min="5076" max="5080" width="3.83203125" style="1222" customWidth="1"/>
    <col min="5081" max="5081" width="4.5" style="1222" customWidth="1"/>
    <col min="5082" max="5085" width="3.83203125" style="1222" customWidth="1"/>
    <col min="5086" max="5086" width="4.5" style="1222" customWidth="1"/>
    <col min="5087" max="5121" width="3.83203125" style="1222" customWidth="1"/>
    <col min="5122" max="5123" width="1.5" style="1222" customWidth="1"/>
    <col min="5124" max="5330" width="10.5" style="1222"/>
    <col min="5331" max="5331" width="6.1640625" style="1222" customWidth="1"/>
    <col min="5332" max="5336" width="3.83203125" style="1222" customWidth="1"/>
    <col min="5337" max="5337" width="4.5" style="1222" customWidth="1"/>
    <col min="5338" max="5341" width="3.83203125" style="1222" customWidth="1"/>
    <col min="5342" max="5342" width="4.5" style="1222" customWidth="1"/>
    <col min="5343" max="5377" width="3.83203125" style="1222" customWidth="1"/>
    <col min="5378" max="5379" width="1.5" style="1222" customWidth="1"/>
    <col min="5380" max="5586" width="10.5" style="1222"/>
    <col min="5587" max="5587" width="6.1640625" style="1222" customWidth="1"/>
    <col min="5588" max="5592" width="3.83203125" style="1222" customWidth="1"/>
    <col min="5593" max="5593" width="4.5" style="1222" customWidth="1"/>
    <col min="5594" max="5597" width="3.83203125" style="1222" customWidth="1"/>
    <col min="5598" max="5598" width="4.5" style="1222" customWidth="1"/>
    <col min="5599" max="5633" width="3.83203125" style="1222" customWidth="1"/>
    <col min="5634" max="5635" width="1.5" style="1222" customWidth="1"/>
    <col min="5636" max="5842" width="10.5" style="1222"/>
    <col min="5843" max="5843" width="6.1640625" style="1222" customWidth="1"/>
    <col min="5844" max="5848" width="3.83203125" style="1222" customWidth="1"/>
    <col min="5849" max="5849" width="4.5" style="1222" customWidth="1"/>
    <col min="5850" max="5853" width="3.83203125" style="1222" customWidth="1"/>
    <col min="5854" max="5854" width="4.5" style="1222" customWidth="1"/>
    <col min="5855" max="5889" width="3.83203125" style="1222" customWidth="1"/>
    <col min="5890" max="5891" width="1.5" style="1222" customWidth="1"/>
    <col min="5892" max="6098" width="10.5" style="1222"/>
    <col min="6099" max="6099" width="6.1640625" style="1222" customWidth="1"/>
    <col min="6100" max="6104" width="3.83203125" style="1222" customWidth="1"/>
    <col min="6105" max="6105" width="4.5" style="1222" customWidth="1"/>
    <col min="6106" max="6109" width="3.83203125" style="1222" customWidth="1"/>
    <col min="6110" max="6110" width="4.5" style="1222" customWidth="1"/>
    <col min="6111" max="6145" width="3.83203125" style="1222" customWidth="1"/>
    <col min="6146" max="6147" width="1.5" style="1222" customWidth="1"/>
    <col min="6148" max="6354" width="10.5" style="1222"/>
    <col min="6355" max="6355" width="6.1640625" style="1222" customWidth="1"/>
    <col min="6356" max="6360" width="3.83203125" style="1222" customWidth="1"/>
    <col min="6361" max="6361" width="4.5" style="1222" customWidth="1"/>
    <col min="6362" max="6365" width="3.83203125" style="1222" customWidth="1"/>
    <col min="6366" max="6366" width="4.5" style="1222" customWidth="1"/>
    <col min="6367" max="6401" width="3.83203125" style="1222" customWidth="1"/>
    <col min="6402" max="6403" width="1.5" style="1222" customWidth="1"/>
    <col min="6404" max="6610" width="10.5" style="1222"/>
    <col min="6611" max="6611" width="6.1640625" style="1222" customWidth="1"/>
    <col min="6612" max="6616" width="3.83203125" style="1222" customWidth="1"/>
    <col min="6617" max="6617" width="4.5" style="1222" customWidth="1"/>
    <col min="6618" max="6621" width="3.83203125" style="1222" customWidth="1"/>
    <col min="6622" max="6622" width="4.5" style="1222" customWidth="1"/>
    <col min="6623" max="6657" width="3.83203125" style="1222" customWidth="1"/>
    <col min="6658" max="6659" width="1.5" style="1222" customWidth="1"/>
    <col min="6660" max="6866" width="10.5" style="1222"/>
    <col min="6867" max="6867" width="6.1640625" style="1222" customWidth="1"/>
    <col min="6868" max="6872" width="3.83203125" style="1222" customWidth="1"/>
    <col min="6873" max="6873" width="4.5" style="1222" customWidth="1"/>
    <col min="6874" max="6877" width="3.83203125" style="1222" customWidth="1"/>
    <col min="6878" max="6878" width="4.5" style="1222" customWidth="1"/>
    <col min="6879" max="6913" width="3.83203125" style="1222" customWidth="1"/>
    <col min="6914" max="6915" width="1.5" style="1222" customWidth="1"/>
    <col min="6916" max="7122" width="10.5" style="1222"/>
    <col min="7123" max="7123" width="6.1640625" style="1222" customWidth="1"/>
    <col min="7124" max="7128" width="3.83203125" style="1222" customWidth="1"/>
    <col min="7129" max="7129" width="4.5" style="1222" customWidth="1"/>
    <col min="7130" max="7133" width="3.83203125" style="1222" customWidth="1"/>
    <col min="7134" max="7134" width="4.5" style="1222" customWidth="1"/>
    <col min="7135" max="7169" width="3.83203125" style="1222" customWidth="1"/>
    <col min="7170" max="7171" width="1.5" style="1222" customWidth="1"/>
    <col min="7172" max="7378" width="10.5" style="1222"/>
    <col min="7379" max="7379" width="6.1640625" style="1222" customWidth="1"/>
    <col min="7380" max="7384" width="3.83203125" style="1222" customWidth="1"/>
    <col min="7385" max="7385" width="4.5" style="1222" customWidth="1"/>
    <col min="7386" max="7389" width="3.83203125" style="1222" customWidth="1"/>
    <col min="7390" max="7390" width="4.5" style="1222" customWidth="1"/>
    <col min="7391" max="7425" width="3.83203125" style="1222" customWidth="1"/>
    <col min="7426" max="7427" width="1.5" style="1222" customWidth="1"/>
    <col min="7428" max="7634" width="10.5" style="1222"/>
    <col min="7635" max="7635" width="6.1640625" style="1222" customWidth="1"/>
    <col min="7636" max="7640" width="3.83203125" style="1222" customWidth="1"/>
    <col min="7641" max="7641" width="4.5" style="1222" customWidth="1"/>
    <col min="7642" max="7645" width="3.83203125" style="1222" customWidth="1"/>
    <col min="7646" max="7646" width="4.5" style="1222" customWidth="1"/>
    <col min="7647" max="7681" width="3.83203125" style="1222" customWidth="1"/>
    <col min="7682" max="7683" width="1.5" style="1222" customWidth="1"/>
    <col min="7684" max="7890" width="10.5" style="1222"/>
    <col min="7891" max="7891" width="6.1640625" style="1222" customWidth="1"/>
    <col min="7892" max="7896" width="3.83203125" style="1222" customWidth="1"/>
    <col min="7897" max="7897" width="4.5" style="1222" customWidth="1"/>
    <col min="7898" max="7901" width="3.83203125" style="1222" customWidth="1"/>
    <col min="7902" max="7902" width="4.5" style="1222" customWidth="1"/>
    <col min="7903" max="7937" width="3.83203125" style="1222" customWidth="1"/>
    <col min="7938" max="7939" width="1.5" style="1222" customWidth="1"/>
    <col min="7940" max="8146" width="10.5" style="1222"/>
    <col min="8147" max="8147" width="6.1640625" style="1222" customWidth="1"/>
    <col min="8148" max="8152" width="3.83203125" style="1222" customWidth="1"/>
    <col min="8153" max="8153" width="4.5" style="1222" customWidth="1"/>
    <col min="8154" max="8157" width="3.83203125" style="1222" customWidth="1"/>
    <col min="8158" max="8158" width="4.5" style="1222" customWidth="1"/>
    <col min="8159" max="8193" width="3.83203125" style="1222" customWidth="1"/>
    <col min="8194" max="8195" width="1.5" style="1222" customWidth="1"/>
    <col min="8196" max="8402" width="10.5" style="1222"/>
    <col min="8403" max="8403" width="6.1640625" style="1222" customWidth="1"/>
    <col min="8404" max="8408" width="3.83203125" style="1222" customWidth="1"/>
    <col min="8409" max="8409" width="4.5" style="1222" customWidth="1"/>
    <col min="8410" max="8413" width="3.83203125" style="1222" customWidth="1"/>
    <col min="8414" max="8414" width="4.5" style="1222" customWidth="1"/>
    <col min="8415" max="8449" width="3.83203125" style="1222" customWidth="1"/>
    <col min="8450" max="8451" width="1.5" style="1222" customWidth="1"/>
    <col min="8452" max="8658" width="10.5" style="1222"/>
    <col min="8659" max="8659" width="6.1640625" style="1222" customWidth="1"/>
    <col min="8660" max="8664" width="3.83203125" style="1222" customWidth="1"/>
    <col min="8665" max="8665" width="4.5" style="1222" customWidth="1"/>
    <col min="8666" max="8669" width="3.83203125" style="1222" customWidth="1"/>
    <col min="8670" max="8670" width="4.5" style="1222" customWidth="1"/>
    <col min="8671" max="8705" width="3.83203125" style="1222" customWidth="1"/>
    <col min="8706" max="8707" width="1.5" style="1222" customWidth="1"/>
    <col min="8708" max="8914" width="10.5" style="1222"/>
    <col min="8915" max="8915" width="6.1640625" style="1222" customWidth="1"/>
    <col min="8916" max="8920" width="3.83203125" style="1222" customWidth="1"/>
    <col min="8921" max="8921" width="4.5" style="1222" customWidth="1"/>
    <col min="8922" max="8925" width="3.83203125" style="1222" customWidth="1"/>
    <col min="8926" max="8926" width="4.5" style="1222" customWidth="1"/>
    <col min="8927" max="8961" width="3.83203125" style="1222" customWidth="1"/>
    <col min="8962" max="8963" width="1.5" style="1222" customWidth="1"/>
    <col min="8964" max="9170" width="10.5" style="1222"/>
    <col min="9171" max="9171" width="6.1640625" style="1222" customWidth="1"/>
    <col min="9172" max="9176" width="3.83203125" style="1222" customWidth="1"/>
    <col min="9177" max="9177" width="4.5" style="1222" customWidth="1"/>
    <col min="9178" max="9181" width="3.83203125" style="1222" customWidth="1"/>
    <col min="9182" max="9182" width="4.5" style="1222" customWidth="1"/>
    <col min="9183" max="9217" width="3.83203125" style="1222" customWidth="1"/>
    <col min="9218" max="9219" width="1.5" style="1222" customWidth="1"/>
    <col min="9220" max="9426" width="10.5" style="1222"/>
    <col min="9427" max="9427" width="6.1640625" style="1222" customWidth="1"/>
    <col min="9428" max="9432" width="3.83203125" style="1222" customWidth="1"/>
    <col min="9433" max="9433" width="4.5" style="1222" customWidth="1"/>
    <col min="9434" max="9437" width="3.83203125" style="1222" customWidth="1"/>
    <col min="9438" max="9438" width="4.5" style="1222" customWidth="1"/>
    <col min="9439" max="9473" width="3.83203125" style="1222" customWidth="1"/>
    <col min="9474" max="9475" width="1.5" style="1222" customWidth="1"/>
    <col min="9476" max="9682" width="10.5" style="1222"/>
    <col min="9683" max="9683" width="6.1640625" style="1222" customWidth="1"/>
    <col min="9684" max="9688" width="3.83203125" style="1222" customWidth="1"/>
    <col min="9689" max="9689" width="4.5" style="1222" customWidth="1"/>
    <col min="9690" max="9693" width="3.83203125" style="1222" customWidth="1"/>
    <col min="9694" max="9694" width="4.5" style="1222" customWidth="1"/>
    <col min="9695" max="9729" width="3.83203125" style="1222" customWidth="1"/>
    <col min="9730" max="9731" width="1.5" style="1222" customWidth="1"/>
    <col min="9732" max="9938" width="10.5" style="1222"/>
    <col min="9939" max="9939" width="6.1640625" style="1222" customWidth="1"/>
    <col min="9940" max="9944" width="3.83203125" style="1222" customWidth="1"/>
    <col min="9945" max="9945" width="4.5" style="1222" customWidth="1"/>
    <col min="9946" max="9949" width="3.83203125" style="1222" customWidth="1"/>
    <col min="9950" max="9950" width="4.5" style="1222" customWidth="1"/>
    <col min="9951" max="9985" width="3.83203125" style="1222" customWidth="1"/>
    <col min="9986" max="9987" width="1.5" style="1222" customWidth="1"/>
    <col min="9988" max="10194" width="10.5" style="1222"/>
    <col min="10195" max="10195" width="6.1640625" style="1222" customWidth="1"/>
    <col min="10196" max="10200" width="3.83203125" style="1222" customWidth="1"/>
    <col min="10201" max="10201" width="4.5" style="1222" customWidth="1"/>
    <col min="10202" max="10205" width="3.83203125" style="1222" customWidth="1"/>
    <col min="10206" max="10206" width="4.5" style="1222" customWidth="1"/>
    <col min="10207" max="10241" width="3.83203125" style="1222" customWidth="1"/>
    <col min="10242" max="10243" width="1.5" style="1222" customWidth="1"/>
    <col min="10244" max="10450" width="10.5" style="1222"/>
    <col min="10451" max="10451" width="6.1640625" style="1222" customWidth="1"/>
    <col min="10452" max="10456" width="3.83203125" style="1222" customWidth="1"/>
    <col min="10457" max="10457" width="4.5" style="1222" customWidth="1"/>
    <col min="10458" max="10461" width="3.83203125" style="1222" customWidth="1"/>
    <col min="10462" max="10462" width="4.5" style="1222" customWidth="1"/>
    <col min="10463" max="10497" width="3.83203125" style="1222" customWidth="1"/>
    <col min="10498" max="10499" width="1.5" style="1222" customWidth="1"/>
    <col min="10500" max="10706" width="10.5" style="1222"/>
    <col min="10707" max="10707" width="6.1640625" style="1222" customWidth="1"/>
    <col min="10708" max="10712" width="3.83203125" style="1222" customWidth="1"/>
    <col min="10713" max="10713" width="4.5" style="1222" customWidth="1"/>
    <col min="10714" max="10717" width="3.83203125" style="1222" customWidth="1"/>
    <col min="10718" max="10718" width="4.5" style="1222" customWidth="1"/>
    <col min="10719" max="10753" width="3.83203125" style="1222" customWidth="1"/>
    <col min="10754" max="10755" width="1.5" style="1222" customWidth="1"/>
    <col min="10756" max="10962" width="10.5" style="1222"/>
    <col min="10963" max="10963" width="6.1640625" style="1222" customWidth="1"/>
    <col min="10964" max="10968" width="3.83203125" style="1222" customWidth="1"/>
    <col min="10969" max="10969" width="4.5" style="1222" customWidth="1"/>
    <col min="10970" max="10973" width="3.83203125" style="1222" customWidth="1"/>
    <col min="10974" max="10974" width="4.5" style="1222" customWidth="1"/>
    <col min="10975" max="11009" width="3.83203125" style="1222" customWidth="1"/>
    <col min="11010" max="11011" width="1.5" style="1222" customWidth="1"/>
    <col min="11012" max="11218" width="10.5" style="1222"/>
    <col min="11219" max="11219" width="6.1640625" style="1222" customWidth="1"/>
    <col min="11220" max="11224" width="3.83203125" style="1222" customWidth="1"/>
    <col min="11225" max="11225" width="4.5" style="1222" customWidth="1"/>
    <col min="11226" max="11229" width="3.83203125" style="1222" customWidth="1"/>
    <col min="11230" max="11230" width="4.5" style="1222" customWidth="1"/>
    <col min="11231" max="11265" width="3.83203125" style="1222" customWidth="1"/>
    <col min="11266" max="11267" width="1.5" style="1222" customWidth="1"/>
    <col min="11268" max="11474" width="10.5" style="1222"/>
    <col min="11475" max="11475" width="6.1640625" style="1222" customWidth="1"/>
    <col min="11476" max="11480" width="3.83203125" style="1222" customWidth="1"/>
    <col min="11481" max="11481" width="4.5" style="1222" customWidth="1"/>
    <col min="11482" max="11485" width="3.83203125" style="1222" customWidth="1"/>
    <col min="11486" max="11486" width="4.5" style="1222" customWidth="1"/>
    <col min="11487" max="11521" width="3.83203125" style="1222" customWidth="1"/>
    <col min="11522" max="11523" width="1.5" style="1222" customWidth="1"/>
    <col min="11524" max="11730" width="10.5" style="1222"/>
    <col min="11731" max="11731" width="6.1640625" style="1222" customWidth="1"/>
    <col min="11732" max="11736" width="3.83203125" style="1222" customWidth="1"/>
    <col min="11737" max="11737" width="4.5" style="1222" customWidth="1"/>
    <col min="11738" max="11741" width="3.83203125" style="1222" customWidth="1"/>
    <col min="11742" max="11742" width="4.5" style="1222" customWidth="1"/>
    <col min="11743" max="11777" width="3.83203125" style="1222" customWidth="1"/>
    <col min="11778" max="11779" width="1.5" style="1222" customWidth="1"/>
    <col min="11780" max="11986" width="10.5" style="1222"/>
    <col min="11987" max="11987" width="6.1640625" style="1222" customWidth="1"/>
    <col min="11988" max="11992" width="3.83203125" style="1222" customWidth="1"/>
    <col min="11993" max="11993" width="4.5" style="1222" customWidth="1"/>
    <col min="11994" max="11997" width="3.83203125" style="1222" customWidth="1"/>
    <col min="11998" max="11998" width="4.5" style="1222" customWidth="1"/>
    <col min="11999" max="12033" width="3.83203125" style="1222" customWidth="1"/>
    <col min="12034" max="12035" width="1.5" style="1222" customWidth="1"/>
    <col min="12036" max="12242" width="10.5" style="1222"/>
    <col min="12243" max="12243" width="6.1640625" style="1222" customWidth="1"/>
    <col min="12244" max="12248" width="3.83203125" style="1222" customWidth="1"/>
    <col min="12249" max="12249" width="4.5" style="1222" customWidth="1"/>
    <col min="12250" max="12253" width="3.83203125" style="1222" customWidth="1"/>
    <col min="12254" max="12254" width="4.5" style="1222" customWidth="1"/>
    <col min="12255" max="12289" width="3.83203125" style="1222" customWidth="1"/>
    <col min="12290" max="12291" width="1.5" style="1222" customWidth="1"/>
    <col min="12292" max="12498" width="10.5" style="1222"/>
    <col min="12499" max="12499" width="6.1640625" style="1222" customWidth="1"/>
    <col min="12500" max="12504" width="3.83203125" style="1222" customWidth="1"/>
    <col min="12505" max="12505" width="4.5" style="1222" customWidth="1"/>
    <col min="12506" max="12509" width="3.83203125" style="1222" customWidth="1"/>
    <col min="12510" max="12510" width="4.5" style="1222" customWidth="1"/>
    <col min="12511" max="12545" width="3.83203125" style="1222" customWidth="1"/>
    <col min="12546" max="12547" width="1.5" style="1222" customWidth="1"/>
    <col min="12548" max="12754" width="10.5" style="1222"/>
    <col min="12755" max="12755" width="6.1640625" style="1222" customWidth="1"/>
    <col min="12756" max="12760" width="3.83203125" style="1222" customWidth="1"/>
    <col min="12761" max="12761" width="4.5" style="1222" customWidth="1"/>
    <col min="12762" max="12765" width="3.83203125" style="1222" customWidth="1"/>
    <col min="12766" max="12766" width="4.5" style="1222" customWidth="1"/>
    <col min="12767" max="12801" width="3.83203125" style="1222" customWidth="1"/>
    <col min="12802" max="12803" width="1.5" style="1222" customWidth="1"/>
    <col min="12804" max="13010" width="10.5" style="1222"/>
    <col min="13011" max="13011" width="6.1640625" style="1222" customWidth="1"/>
    <col min="13012" max="13016" width="3.83203125" style="1222" customWidth="1"/>
    <col min="13017" max="13017" width="4.5" style="1222" customWidth="1"/>
    <col min="13018" max="13021" width="3.83203125" style="1222" customWidth="1"/>
    <col min="13022" max="13022" width="4.5" style="1222" customWidth="1"/>
    <col min="13023" max="13057" width="3.83203125" style="1222" customWidth="1"/>
    <col min="13058" max="13059" width="1.5" style="1222" customWidth="1"/>
    <col min="13060" max="13266" width="10.5" style="1222"/>
    <col min="13267" max="13267" width="6.1640625" style="1222" customWidth="1"/>
    <col min="13268" max="13272" width="3.83203125" style="1222" customWidth="1"/>
    <col min="13273" max="13273" width="4.5" style="1222" customWidth="1"/>
    <col min="13274" max="13277" width="3.83203125" style="1222" customWidth="1"/>
    <col min="13278" max="13278" width="4.5" style="1222" customWidth="1"/>
    <col min="13279" max="13313" width="3.83203125" style="1222" customWidth="1"/>
    <col min="13314" max="13315" width="1.5" style="1222" customWidth="1"/>
    <col min="13316" max="13522" width="10.5" style="1222"/>
    <col min="13523" max="13523" width="6.1640625" style="1222" customWidth="1"/>
    <col min="13524" max="13528" width="3.83203125" style="1222" customWidth="1"/>
    <col min="13529" max="13529" width="4.5" style="1222" customWidth="1"/>
    <col min="13530" max="13533" width="3.83203125" style="1222" customWidth="1"/>
    <col min="13534" max="13534" width="4.5" style="1222" customWidth="1"/>
    <col min="13535" max="13569" width="3.83203125" style="1222" customWidth="1"/>
    <col min="13570" max="13571" width="1.5" style="1222" customWidth="1"/>
    <col min="13572" max="13778" width="10.5" style="1222"/>
    <col min="13779" max="13779" width="6.1640625" style="1222" customWidth="1"/>
    <col min="13780" max="13784" width="3.83203125" style="1222" customWidth="1"/>
    <col min="13785" max="13785" width="4.5" style="1222" customWidth="1"/>
    <col min="13786" max="13789" width="3.83203125" style="1222" customWidth="1"/>
    <col min="13790" max="13790" width="4.5" style="1222" customWidth="1"/>
    <col min="13791" max="13825" width="3.83203125" style="1222" customWidth="1"/>
    <col min="13826" max="13827" width="1.5" style="1222" customWidth="1"/>
    <col min="13828" max="14034" width="10.5" style="1222"/>
    <col min="14035" max="14035" width="6.1640625" style="1222" customWidth="1"/>
    <col min="14036" max="14040" width="3.83203125" style="1222" customWidth="1"/>
    <col min="14041" max="14041" width="4.5" style="1222" customWidth="1"/>
    <col min="14042" max="14045" width="3.83203125" style="1222" customWidth="1"/>
    <col min="14046" max="14046" width="4.5" style="1222" customWidth="1"/>
    <col min="14047" max="14081" width="3.83203125" style="1222" customWidth="1"/>
    <col min="14082" max="14083" width="1.5" style="1222" customWidth="1"/>
    <col min="14084" max="14290" width="10.5" style="1222"/>
    <col min="14291" max="14291" width="6.1640625" style="1222" customWidth="1"/>
    <col min="14292" max="14296" width="3.83203125" style="1222" customWidth="1"/>
    <col min="14297" max="14297" width="4.5" style="1222" customWidth="1"/>
    <col min="14298" max="14301" width="3.83203125" style="1222" customWidth="1"/>
    <col min="14302" max="14302" width="4.5" style="1222" customWidth="1"/>
    <col min="14303" max="14337" width="3.83203125" style="1222" customWidth="1"/>
    <col min="14338" max="14339" width="1.5" style="1222" customWidth="1"/>
    <col min="14340" max="14546" width="10.5" style="1222"/>
    <col min="14547" max="14547" width="6.1640625" style="1222" customWidth="1"/>
    <col min="14548" max="14552" width="3.83203125" style="1222" customWidth="1"/>
    <col min="14553" max="14553" width="4.5" style="1222" customWidth="1"/>
    <col min="14554" max="14557" width="3.83203125" style="1222" customWidth="1"/>
    <col min="14558" max="14558" width="4.5" style="1222" customWidth="1"/>
    <col min="14559" max="14593" width="3.83203125" style="1222" customWidth="1"/>
    <col min="14594" max="14595" width="1.5" style="1222" customWidth="1"/>
    <col min="14596" max="14802" width="10.5" style="1222"/>
    <col min="14803" max="14803" width="6.1640625" style="1222" customWidth="1"/>
    <col min="14804" max="14808" width="3.83203125" style="1222" customWidth="1"/>
    <col min="14809" max="14809" width="4.5" style="1222" customWidth="1"/>
    <col min="14810" max="14813" width="3.83203125" style="1222" customWidth="1"/>
    <col min="14814" max="14814" width="4.5" style="1222" customWidth="1"/>
    <col min="14815" max="14849" width="3.83203125" style="1222" customWidth="1"/>
    <col min="14850" max="14851" width="1.5" style="1222" customWidth="1"/>
    <col min="14852" max="15058" width="10.5" style="1222"/>
    <col min="15059" max="15059" width="6.1640625" style="1222" customWidth="1"/>
    <col min="15060" max="15064" width="3.83203125" style="1222" customWidth="1"/>
    <col min="15065" max="15065" width="4.5" style="1222" customWidth="1"/>
    <col min="15066" max="15069" width="3.83203125" style="1222" customWidth="1"/>
    <col min="15070" max="15070" width="4.5" style="1222" customWidth="1"/>
    <col min="15071" max="15105" width="3.83203125" style="1222" customWidth="1"/>
    <col min="15106" max="15107" width="1.5" style="1222" customWidth="1"/>
    <col min="15108" max="15314" width="10.5" style="1222"/>
    <col min="15315" max="15315" width="6.1640625" style="1222" customWidth="1"/>
    <col min="15316" max="15320" width="3.83203125" style="1222" customWidth="1"/>
    <col min="15321" max="15321" width="4.5" style="1222" customWidth="1"/>
    <col min="15322" max="15325" width="3.83203125" style="1222" customWidth="1"/>
    <col min="15326" max="15326" width="4.5" style="1222" customWidth="1"/>
    <col min="15327" max="15361" width="3.83203125" style="1222" customWidth="1"/>
    <col min="15362" max="15363" width="1.5" style="1222" customWidth="1"/>
    <col min="15364" max="15570" width="10.5" style="1222"/>
    <col min="15571" max="15571" width="6.1640625" style="1222" customWidth="1"/>
    <col min="15572" max="15576" width="3.83203125" style="1222" customWidth="1"/>
    <col min="15577" max="15577" width="4.5" style="1222" customWidth="1"/>
    <col min="15578" max="15581" width="3.83203125" style="1222" customWidth="1"/>
    <col min="15582" max="15582" width="4.5" style="1222" customWidth="1"/>
    <col min="15583" max="15617" width="3.83203125" style="1222" customWidth="1"/>
    <col min="15618" max="15619" width="1.5" style="1222" customWidth="1"/>
    <col min="15620" max="15826" width="10.5" style="1222"/>
    <col min="15827" max="15827" width="6.1640625" style="1222" customWidth="1"/>
    <col min="15828" max="15832" width="3.83203125" style="1222" customWidth="1"/>
    <col min="15833" max="15833" width="4.5" style="1222" customWidth="1"/>
    <col min="15834" max="15837" width="3.83203125" style="1222" customWidth="1"/>
    <col min="15838" max="15838" width="4.5" style="1222" customWidth="1"/>
    <col min="15839" max="15873" width="3.83203125" style="1222" customWidth="1"/>
    <col min="15874" max="15875" width="1.5" style="1222" customWidth="1"/>
    <col min="15876" max="16082" width="10.5" style="1222"/>
    <col min="16083" max="16083" width="6.1640625" style="1222" customWidth="1"/>
    <col min="16084" max="16088" width="3.83203125" style="1222" customWidth="1"/>
    <col min="16089" max="16089" width="4.5" style="1222" customWidth="1"/>
    <col min="16090" max="16093" width="3.83203125" style="1222" customWidth="1"/>
    <col min="16094" max="16094" width="4.5" style="1222" customWidth="1"/>
    <col min="16095" max="16129" width="3.83203125" style="1222" customWidth="1"/>
    <col min="16130" max="16131" width="1.5" style="1222" customWidth="1"/>
    <col min="16132" max="16384" width="10.5" style="1222"/>
  </cols>
  <sheetData>
    <row r="1" spans="1:210" s="1221" customFormat="1" ht="30.75" customHeight="1" x14ac:dyDescent="0.2">
      <c r="A1" s="1324" t="s">
        <v>1497</v>
      </c>
      <c r="B1" s="1324"/>
      <c r="C1" s="1324"/>
      <c r="D1" s="1324"/>
      <c r="GP1" s="1222"/>
      <c r="GQ1" s="1222"/>
      <c r="GR1" s="1222"/>
      <c r="GS1" s="1222"/>
      <c r="GT1" s="1222"/>
      <c r="GU1" s="1222"/>
      <c r="GV1" s="1222"/>
      <c r="GW1" s="1222"/>
      <c r="GX1" s="1222"/>
      <c r="GY1" s="1222"/>
      <c r="GZ1" s="1222"/>
      <c r="HA1" s="1222"/>
      <c r="HB1" s="1222"/>
    </row>
    <row r="2" spans="1:210" s="1221" customFormat="1" ht="16.5" customHeight="1" x14ac:dyDescent="0.2">
      <c r="A2" s="1323" t="s">
        <v>1450</v>
      </c>
      <c r="B2" s="1323"/>
      <c r="C2" s="1323"/>
      <c r="D2" s="1323"/>
      <c r="GP2" s="1222"/>
      <c r="GQ2" s="1222"/>
      <c r="GR2" s="1222"/>
      <c r="GS2" s="1222"/>
      <c r="GT2" s="1222"/>
      <c r="GU2" s="1222"/>
      <c r="GV2" s="1222"/>
      <c r="GW2" s="1222"/>
      <c r="GX2" s="1222"/>
      <c r="GY2" s="1222"/>
      <c r="GZ2" s="1222"/>
      <c r="HA2" s="1222"/>
      <c r="HB2" s="1222"/>
    </row>
    <row r="3" spans="1:210" s="1221" customFormat="1" ht="40.5" customHeight="1" x14ac:dyDescent="0.2">
      <c r="A3" s="1323"/>
      <c r="B3" s="1323"/>
      <c r="C3" s="1323"/>
      <c r="D3" s="1323"/>
      <c r="GP3" s="1222"/>
      <c r="GQ3" s="1222"/>
      <c r="GR3" s="1222"/>
      <c r="GS3" s="1222"/>
      <c r="GT3" s="1222"/>
      <c r="GU3" s="1222"/>
      <c r="GV3" s="1222"/>
      <c r="GW3" s="1222"/>
      <c r="GX3" s="1222"/>
      <c r="GY3" s="1222"/>
      <c r="GZ3" s="1222"/>
      <c r="HA3" s="1222"/>
      <c r="HB3" s="1222"/>
    </row>
    <row r="4" spans="1:210" ht="16.149999999999999" customHeight="1" x14ac:dyDescent="0.2">
      <c r="A4" s="1326"/>
      <c r="B4" s="1326"/>
      <c r="C4" s="1326"/>
      <c r="D4" s="1326"/>
    </row>
    <row r="5" spans="1:210" x14ac:dyDescent="0.2">
      <c r="A5" s="1325" t="s">
        <v>1222</v>
      </c>
      <c r="B5" s="1325"/>
      <c r="C5" s="1325"/>
      <c r="D5" s="1325"/>
    </row>
    <row r="6" spans="1:210" ht="39.75" customHeight="1" x14ac:dyDescent="0.2">
      <c r="A6" s="1227" t="s">
        <v>12</v>
      </c>
      <c r="B6" s="1229" t="s">
        <v>1223</v>
      </c>
      <c r="C6" s="1229" t="s">
        <v>1224</v>
      </c>
      <c r="D6" s="1229" t="s">
        <v>1225</v>
      </c>
    </row>
    <row r="7" spans="1:210" x14ac:dyDescent="0.2">
      <c r="A7" s="1244" t="s">
        <v>986</v>
      </c>
      <c r="B7" s="1244" t="s">
        <v>1227</v>
      </c>
      <c r="C7" s="1244" t="s">
        <v>1228</v>
      </c>
      <c r="D7" s="1244" t="s">
        <v>1229</v>
      </c>
    </row>
    <row r="8" spans="1:210" ht="12.75" customHeight="1" x14ac:dyDescent="0.2">
      <c r="A8" s="1225" t="s">
        <v>1234</v>
      </c>
      <c r="B8" s="1223" t="s">
        <v>1231</v>
      </c>
      <c r="C8" s="1223" t="s">
        <v>1231</v>
      </c>
      <c r="D8" s="1223" t="s">
        <v>1231</v>
      </c>
    </row>
    <row r="9" spans="1:210" ht="12.75" customHeight="1" x14ac:dyDescent="0.2">
      <c r="A9" s="1225" t="s">
        <v>1244</v>
      </c>
      <c r="B9" s="1223" t="s">
        <v>1231</v>
      </c>
      <c r="C9" s="1223" t="s">
        <v>1231</v>
      </c>
      <c r="D9" s="1223" t="s">
        <v>1231</v>
      </c>
    </row>
    <row r="10" spans="1:210" ht="12.75" customHeight="1" x14ac:dyDescent="0.2">
      <c r="A10" s="1225" t="s">
        <v>1258</v>
      </c>
      <c r="B10" s="1223" t="s">
        <v>1231</v>
      </c>
      <c r="C10" s="1223" t="s">
        <v>1231</v>
      </c>
      <c r="D10" s="1223" t="s">
        <v>1231</v>
      </c>
    </row>
    <row r="11" spans="1:210" ht="12.75" customHeight="1" x14ac:dyDescent="0.2">
      <c r="A11" s="1225" t="s">
        <v>1264</v>
      </c>
      <c r="B11" s="1223" t="s">
        <v>1231</v>
      </c>
      <c r="C11" s="1223" t="s">
        <v>1231</v>
      </c>
      <c r="D11" s="1223" t="s">
        <v>1231</v>
      </c>
    </row>
    <row r="12" spans="1:210" ht="23.85" customHeight="1" x14ac:dyDescent="0.2">
      <c r="A12" s="1235" t="s">
        <v>1265</v>
      </c>
      <c r="B12" s="1236" t="s">
        <v>1231</v>
      </c>
      <c r="C12" s="1236" t="s">
        <v>1231</v>
      </c>
      <c r="D12" s="1236" t="s">
        <v>1231</v>
      </c>
    </row>
    <row r="13" spans="1:210" ht="12.75" customHeight="1" x14ac:dyDescent="0.2">
      <c r="A13" s="1225" t="s">
        <v>1266</v>
      </c>
      <c r="B13" s="1223" t="s">
        <v>1231</v>
      </c>
      <c r="C13" s="1223" t="s">
        <v>1231</v>
      </c>
      <c r="D13" s="1223" t="s">
        <v>1231</v>
      </c>
    </row>
    <row r="14" spans="1:210" ht="12.75" customHeight="1" x14ac:dyDescent="0.2">
      <c r="A14" s="1225" t="s">
        <v>1267</v>
      </c>
      <c r="B14" s="1223" t="s">
        <v>1231</v>
      </c>
      <c r="C14" s="1223" t="s">
        <v>1231</v>
      </c>
      <c r="D14" s="1223" t="s">
        <v>1231</v>
      </c>
    </row>
    <row r="15" spans="1:210" ht="12.75" customHeight="1" x14ac:dyDescent="0.2">
      <c r="A15" s="1235" t="s">
        <v>1268</v>
      </c>
      <c r="B15" s="1236" t="s">
        <v>1231</v>
      </c>
      <c r="C15" s="1236" t="s">
        <v>1231</v>
      </c>
      <c r="D15" s="1236" t="s">
        <v>1231</v>
      </c>
    </row>
    <row r="16" spans="1:210" ht="12.75" customHeight="1" x14ac:dyDescent="0.2">
      <c r="A16" s="1225" t="s">
        <v>1269</v>
      </c>
      <c r="B16" s="1223" t="s">
        <v>1231</v>
      </c>
      <c r="C16" s="1223" t="s">
        <v>1231</v>
      </c>
      <c r="D16" s="1223" t="s">
        <v>1231</v>
      </c>
    </row>
    <row r="17" spans="1:4" ht="12.75" customHeight="1" x14ac:dyDescent="0.2">
      <c r="A17" s="1225" t="s">
        <v>1270</v>
      </c>
      <c r="B17" s="1223" t="s">
        <v>1231</v>
      </c>
      <c r="C17" s="1223" t="s">
        <v>1231</v>
      </c>
      <c r="D17" s="1223" t="s">
        <v>1231</v>
      </c>
    </row>
    <row r="18" spans="1:4" ht="12.75" customHeight="1" x14ac:dyDescent="0.2">
      <c r="A18" s="1225" t="s">
        <v>1271</v>
      </c>
      <c r="B18" s="1223" t="s">
        <v>1231</v>
      </c>
      <c r="C18" s="1223" t="s">
        <v>1231</v>
      </c>
      <c r="D18" s="1223" t="s">
        <v>1231</v>
      </c>
    </row>
    <row r="19" spans="1:4" ht="12.75" customHeight="1" x14ac:dyDescent="0.2">
      <c r="A19" s="1225" t="s">
        <v>1272</v>
      </c>
      <c r="B19" s="1223" t="s">
        <v>1370</v>
      </c>
      <c r="C19" s="1238">
        <f>B19-D19</f>
        <v>38255</v>
      </c>
      <c r="D19" s="1223" t="s">
        <v>1371</v>
      </c>
    </row>
    <row r="20" spans="1:4" ht="12.75" customHeight="1" x14ac:dyDescent="0.2">
      <c r="A20" s="1225" t="s">
        <v>1275</v>
      </c>
      <c r="B20" s="1223" t="s">
        <v>1231</v>
      </c>
      <c r="C20" s="1238" t="s">
        <v>1231</v>
      </c>
      <c r="D20" s="1223" t="s">
        <v>1231</v>
      </c>
    </row>
    <row r="21" spans="1:4" ht="12.75" customHeight="1" x14ac:dyDescent="0.2">
      <c r="A21" s="1225" t="s">
        <v>1276</v>
      </c>
      <c r="B21" s="1223" t="s">
        <v>1231</v>
      </c>
      <c r="C21" s="1238" t="s">
        <v>1231</v>
      </c>
      <c r="D21" s="1223" t="s">
        <v>1231</v>
      </c>
    </row>
    <row r="22" spans="1:4" ht="12.75" customHeight="1" x14ac:dyDescent="0.2">
      <c r="A22" s="1225" t="s">
        <v>1277</v>
      </c>
      <c r="B22" s="1223" t="s">
        <v>1370</v>
      </c>
      <c r="C22" s="1238">
        <f>B22-D22</f>
        <v>38255</v>
      </c>
      <c r="D22" s="1223" t="s">
        <v>1371</v>
      </c>
    </row>
    <row r="23" spans="1:4" ht="12.75" customHeight="1" x14ac:dyDescent="0.2">
      <c r="A23" s="1225" t="s">
        <v>1278</v>
      </c>
      <c r="B23" s="1223" t="s">
        <v>1372</v>
      </c>
      <c r="C23" s="1238">
        <f>D23-B23</f>
        <v>88077</v>
      </c>
      <c r="D23" s="1223" t="s">
        <v>1373</v>
      </c>
    </row>
    <row r="24" spans="1:4" ht="12.75" customHeight="1" x14ac:dyDescent="0.2">
      <c r="A24" s="1225" t="s">
        <v>1281</v>
      </c>
      <c r="B24" s="1223" t="s">
        <v>1231</v>
      </c>
      <c r="C24" s="1238"/>
      <c r="D24" s="1223" t="s">
        <v>1231</v>
      </c>
    </row>
    <row r="25" spans="1:4" ht="12.75" customHeight="1" x14ac:dyDescent="0.2">
      <c r="A25" s="1225" t="s">
        <v>1282</v>
      </c>
      <c r="B25" s="1223" t="s">
        <v>1372</v>
      </c>
      <c r="C25" s="1238">
        <f t="shared" ref="C25:C70" si="0">D25-B25</f>
        <v>88077</v>
      </c>
      <c r="D25" s="1223" t="s">
        <v>1373</v>
      </c>
    </row>
    <row r="26" spans="1:4" ht="12.75" customHeight="1" x14ac:dyDescent="0.2">
      <c r="A26" s="1225" t="s">
        <v>1283</v>
      </c>
      <c r="B26" s="1223" t="s">
        <v>1231</v>
      </c>
      <c r="C26" s="1238"/>
      <c r="D26" s="1223" t="s">
        <v>1231</v>
      </c>
    </row>
    <row r="27" spans="1:4" ht="12.75" customHeight="1" x14ac:dyDescent="0.2">
      <c r="A27" s="1225" t="s">
        <v>1284</v>
      </c>
      <c r="B27" s="1223" t="s">
        <v>1231</v>
      </c>
      <c r="C27" s="1238"/>
      <c r="D27" s="1223" t="s">
        <v>1231</v>
      </c>
    </row>
    <row r="28" spans="1:4" ht="12.75" customHeight="1" x14ac:dyDescent="0.2">
      <c r="A28" s="1225" t="s">
        <v>1285</v>
      </c>
      <c r="B28" s="1223" t="s">
        <v>1231</v>
      </c>
      <c r="C28" s="1238"/>
      <c r="D28" s="1223" t="s">
        <v>1231</v>
      </c>
    </row>
    <row r="29" spans="1:4" ht="12.75" customHeight="1" x14ac:dyDescent="0.2">
      <c r="A29" s="1235" t="s">
        <v>1286</v>
      </c>
      <c r="B29" s="1236" t="s">
        <v>1374</v>
      </c>
      <c r="C29" s="1237">
        <f t="shared" si="0"/>
        <v>49822</v>
      </c>
      <c r="D29" s="1236" t="s">
        <v>1375</v>
      </c>
    </row>
    <row r="30" spans="1:4" ht="23.85" customHeight="1" x14ac:dyDescent="0.2">
      <c r="A30" s="1225" t="s">
        <v>1289</v>
      </c>
      <c r="B30" s="1223" t="s">
        <v>1376</v>
      </c>
      <c r="C30" s="1238">
        <f t="shared" si="0"/>
        <v>97906</v>
      </c>
      <c r="D30" s="1223" t="s">
        <v>1377</v>
      </c>
    </row>
    <row r="31" spans="1:4" ht="35.1" customHeight="1" x14ac:dyDescent="0.2">
      <c r="A31" s="1225" t="s">
        <v>1290</v>
      </c>
      <c r="B31" s="1223" t="s">
        <v>1231</v>
      </c>
      <c r="C31" s="1238"/>
      <c r="D31" s="1223" t="s">
        <v>1378</v>
      </c>
    </row>
    <row r="32" spans="1:4" ht="23.85" customHeight="1" x14ac:dyDescent="0.2">
      <c r="A32" s="1225" t="s">
        <v>1291</v>
      </c>
      <c r="B32" s="1223" t="s">
        <v>1231</v>
      </c>
      <c r="C32" s="1238"/>
      <c r="D32" s="1223" t="s">
        <v>1231</v>
      </c>
    </row>
    <row r="33" spans="1:4" ht="23.85" customHeight="1" x14ac:dyDescent="0.2">
      <c r="A33" s="1225" t="s">
        <v>1292</v>
      </c>
      <c r="B33" s="1223" t="s">
        <v>1379</v>
      </c>
      <c r="C33" s="1238">
        <f t="shared" si="0"/>
        <v>49332</v>
      </c>
      <c r="D33" s="1223" t="s">
        <v>1380</v>
      </c>
    </row>
    <row r="34" spans="1:4" ht="23.85" customHeight="1" x14ac:dyDescent="0.2">
      <c r="A34" s="1225" t="s">
        <v>1293</v>
      </c>
      <c r="B34" s="1223" t="s">
        <v>1381</v>
      </c>
      <c r="C34" s="1238">
        <f t="shared" si="0"/>
        <v>19665</v>
      </c>
      <c r="D34" s="1223" t="s">
        <v>1382</v>
      </c>
    </row>
    <row r="35" spans="1:4" ht="30" customHeight="1" x14ac:dyDescent="0.2">
      <c r="A35" s="1233" t="s">
        <v>1399</v>
      </c>
      <c r="B35" s="1234" t="s">
        <v>1376</v>
      </c>
      <c r="C35" s="1240">
        <f t="shared" si="0"/>
        <v>97906</v>
      </c>
      <c r="D35" s="1234" t="s">
        <v>1377</v>
      </c>
    </row>
    <row r="36" spans="1:4" ht="23.85" customHeight="1" x14ac:dyDescent="0.2">
      <c r="A36" s="1233" t="s">
        <v>1307</v>
      </c>
      <c r="B36" s="1234" t="s">
        <v>1231</v>
      </c>
      <c r="C36" s="1238"/>
      <c r="D36" s="1234" t="s">
        <v>1231</v>
      </c>
    </row>
    <row r="37" spans="1:4" ht="12.75" customHeight="1" x14ac:dyDescent="0.2">
      <c r="A37" s="1225" t="s">
        <v>1308</v>
      </c>
      <c r="B37" s="1223" t="s">
        <v>1383</v>
      </c>
      <c r="C37" s="1238">
        <f t="shared" si="0"/>
        <v>1760</v>
      </c>
      <c r="D37" s="1223" t="s">
        <v>1384</v>
      </c>
    </row>
    <row r="38" spans="1:4" ht="12.75" customHeight="1" x14ac:dyDescent="0.2">
      <c r="A38" s="1225" t="s">
        <v>1311</v>
      </c>
      <c r="B38" s="1223" t="s">
        <v>1383</v>
      </c>
      <c r="C38" s="1238">
        <f t="shared" si="0"/>
        <v>1760</v>
      </c>
      <c r="D38" s="1223" t="s">
        <v>1384</v>
      </c>
    </row>
    <row r="39" spans="1:4" ht="12.75" customHeight="1" x14ac:dyDescent="0.2">
      <c r="A39" s="1233" t="s">
        <v>1312</v>
      </c>
      <c r="B39" s="1234" t="s">
        <v>1383</v>
      </c>
      <c r="C39" s="1240">
        <f t="shared" si="0"/>
        <v>1760</v>
      </c>
      <c r="D39" s="1234" t="s">
        <v>1384</v>
      </c>
    </row>
    <row r="40" spans="1:4" ht="12.75" customHeight="1" x14ac:dyDescent="0.2">
      <c r="A40" s="1235" t="s">
        <v>1313</v>
      </c>
      <c r="B40" s="1236" t="s">
        <v>1385</v>
      </c>
      <c r="C40" s="1237">
        <f t="shared" si="0"/>
        <v>99666</v>
      </c>
      <c r="D40" s="1236" t="s">
        <v>1386</v>
      </c>
    </row>
    <row r="41" spans="1:4" ht="23.85" customHeight="1" x14ac:dyDescent="0.2">
      <c r="A41" s="1225" t="s">
        <v>1314</v>
      </c>
      <c r="B41" s="1223" t="s">
        <v>1231</v>
      </c>
      <c r="C41" s="1238"/>
      <c r="D41" s="1223" t="s">
        <v>1231</v>
      </c>
    </row>
    <row r="42" spans="1:4" ht="12.75" customHeight="1" x14ac:dyDescent="0.2">
      <c r="A42" s="1225" t="s">
        <v>1315</v>
      </c>
      <c r="B42" s="1223" t="s">
        <v>1231</v>
      </c>
      <c r="C42" s="1238"/>
      <c r="D42" s="1223" t="s">
        <v>1231</v>
      </c>
    </row>
    <row r="43" spans="1:4" ht="12.75" customHeight="1" x14ac:dyDescent="0.2">
      <c r="A43" s="1225" t="s">
        <v>1316</v>
      </c>
      <c r="B43" s="1223" t="s">
        <v>1231</v>
      </c>
      <c r="C43" s="1238"/>
      <c r="D43" s="1223" t="s">
        <v>1231</v>
      </c>
    </row>
    <row r="44" spans="1:4" ht="23.85" customHeight="1" x14ac:dyDescent="0.2">
      <c r="A44" s="1235" t="s">
        <v>1317</v>
      </c>
      <c r="B44" s="1236" t="s">
        <v>1231</v>
      </c>
      <c r="C44" s="1238"/>
      <c r="D44" s="1236" t="s">
        <v>1231</v>
      </c>
    </row>
    <row r="45" spans="1:4" ht="12.75" customHeight="1" x14ac:dyDescent="0.2">
      <c r="A45" s="1225" t="s">
        <v>1318</v>
      </c>
      <c r="B45" s="1223" t="s">
        <v>1231</v>
      </c>
      <c r="C45" s="1238"/>
      <c r="D45" s="1223" t="s">
        <v>1231</v>
      </c>
    </row>
    <row r="46" spans="1:4" ht="12.75" customHeight="1" x14ac:dyDescent="0.2">
      <c r="A46" s="1225" t="s">
        <v>1319</v>
      </c>
      <c r="B46" s="1223" t="s">
        <v>1231</v>
      </c>
      <c r="C46" s="1238"/>
      <c r="D46" s="1223" t="s">
        <v>1231</v>
      </c>
    </row>
    <row r="47" spans="1:4" ht="12.75" customHeight="1" x14ac:dyDescent="0.2">
      <c r="A47" s="1225" t="s">
        <v>1320</v>
      </c>
      <c r="B47" s="1223" t="s">
        <v>1231</v>
      </c>
      <c r="C47" s="1238"/>
      <c r="D47" s="1223" t="s">
        <v>1231</v>
      </c>
    </row>
    <row r="48" spans="1:4" ht="12.75" customHeight="1" x14ac:dyDescent="0.2">
      <c r="A48" s="1235" t="s">
        <v>1321</v>
      </c>
      <c r="B48" s="1236" t="s">
        <v>1231</v>
      </c>
      <c r="C48" s="1238"/>
      <c r="D48" s="1236" t="s">
        <v>1231</v>
      </c>
    </row>
    <row r="49" spans="1:4" ht="12.75" customHeight="1" x14ac:dyDescent="0.2">
      <c r="A49" s="1241" t="s">
        <v>1322</v>
      </c>
      <c r="B49" s="1242" t="s">
        <v>1387</v>
      </c>
      <c r="C49" s="1243">
        <f t="shared" si="0"/>
        <v>149488</v>
      </c>
      <c r="D49" s="1242" t="s">
        <v>1388</v>
      </c>
    </row>
    <row r="50" spans="1:4" ht="12.75" customHeight="1" x14ac:dyDescent="0.2">
      <c r="A50" s="1225" t="s">
        <v>1325</v>
      </c>
      <c r="B50" s="1223" t="s">
        <v>1231</v>
      </c>
      <c r="C50" s="1238"/>
      <c r="D50" s="1223" t="s">
        <v>1231</v>
      </c>
    </row>
    <row r="51" spans="1:4" ht="12.75" customHeight="1" x14ac:dyDescent="0.2">
      <c r="A51" s="1225" t="s">
        <v>1326</v>
      </c>
      <c r="B51" s="1223" t="s">
        <v>1231</v>
      </c>
      <c r="C51" s="1238"/>
      <c r="D51" s="1223" t="s">
        <v>1231</v>
      </c>
    </row>
    <row r="52" spans="1:4" ht="12.75" customHeight="1" x14ac:dyDescent="0.2">
      <c r="A52" s="1225" t="s">
        <v>1327</v>
      </c>
      <c r="B52" s="1223" t="s">
        <v>1231</v>
      </c>
      <c r="C52" s="1238"/>
      <c r="D52" s="1223" t="s">
        <v>1231</v>
      </c>
    </row>
    <row r="53" spans="1:4" ht="12.75" customHeight="1" x14ac:dyDescent="0.2">
      <c r="A53" s="1225" t="s">
        <v>1328</v>
      </c>
      <c r="B53" s="1223" t="s">
        <v>1231</v>
      </c>
      <c r="C53" s="1238"/>
      <c r="D53" s="1223" t="s">
        <v>1231</v>
      </c>
    </row>
    <row r="54" spans="1:4" ht="23.85" customHeight="1" x14ac:dyDescent="0.2">
      <c r="A54" s="1225" t="s">
        <v>1329</v>
      </c>
      <c r="B54" s="1223" t="s">
        <v>1389</v>
      </c>
      <c r="C54" s="1238">
        <f t="shared" si="0"/>
        <v>0</v>
      </c>
      <c r="D54" s="1223" t="s">
        <v>1389</v>
      </c>
    </row>
    <row r="55" spans="1:4" ht="35.1" customHeight="1" x14ac:dyDescent="0.2">
      <c r="A55" s="1225" t="s">
        <v>1331</v>
      </c>
      <c r="B55" s="1223" t="s">
        <v>1389</v>
      </c>
      <c r="C55" s="1238">
        <f t="shared" si="0"/>
        <v>0</v>
      </c>
      <c r="D55" s="1223" t="s">
        <v>1389</v>
      </c>
    </row>
    <row r="56" spans="1:4" ht="12.75" customHeight="1" x14ac:dyDescent="0.2">
      <c r="A56" s="1225" t="s">
        <v>1332</v>
      </c>
      <c r="B56" s="1223" t="s">
        <v>1390</v>
      </c>
      <c r="C56" s="1238">
        <f t="shared" si="0"/>
        <v>436129</v>
      </c>
      <c r="D56" s="1223" t="s">
        <v>1391</v>
      </c>
    </row>
    <row r="57" spans="1:4" ht="12.75" customHeight="1" x14ac:dyDescent="0.2">
      <c r="A57" s="1225" t="s">
        <v>1335</v>
      </c>
      <c r="B57" s="1223" t="s">
        <v>1231</v>
      </c>
      <c r="C57" s="1238"/>
      <c r="D57" s="1223" t="s">
        <v>1231</v>
      </c>
    </row>
    <row r="58" spans="1:4" ht="12.75" customHeight="1" x14ac:dyDescent="0.2">
      <c r="A58" s="1225" t="s">
        <v>1336</v>
      </c>
      <c r="B58" s="1223" t="s">
        <v>1392</v>
      </c>
      <c r="C58" s="1238">
        <f t="shared" si="0"/>
        <v>-7103989</v>
      </c>
      <c r="D58" s="1223" t="s">
        <v>1393</v>
      </c>
    </row>
    <row r="59" spans="1:4" ht="12.75" customHeight="1" x14ac:dyDescent="0.2">
      <c r="A59" s="1235" t="s">
        <v>1339</v>
      </c>
      <c r="B59" s="1236" t="s">
        <v>1394</v>
      </c>
      <c r="C59" s="1237">
        <f t="shared" si="0"/>
        <v>-6667860</v>
      </c>
      <c r="D59" s="1236" t="s">
        <v>1395</v>
      </c>
    </row>
    <row r="60" spans="1:4" ht="23.85" customHeight="1" x14ac:dyDescent="0.2">
      <c r="A60" s="1233" t="s">
        <v>1366</v>
      </c>
      <c r="B60" s="1223" t="s">
        <v>1231</v>
      </c>
      <c r="C60" s="1238"/>
      <c r="D60" s="1223" t="s">
        <v>1231</v>
      </c>
    </row>
    <row r="61" spans="1:4" ht="23.85" customHeight="1" x14ac:dyDescent="0.2">
      <c r="A61" s="1233" t="s">
        <v>1400</v>
      </c>
      <c r="B61" s="1223" t="s">
        <v>1231</v>
      </c>
      <c r="C61" s="1238"/>
      <c r="D61" s="1223" t="s">
        <v>1231</v>
      </c>
    </row>
    <row r="62" spans="1:4" ht="12.75" customHeight="1" x14ac:dyDescent="0.2">
      <c r="A62" s="1225" t="s">
        <v>1345</v>
      </c>
      <c r="B62" s="1223" t="s">
        <v>1396</v>
      </c>
      <c r="C62" s="1238">
        <f t="shared" si="0"/>
        <v>7962</v>
      </c>
      <c r="D62" s="1223" t="s">
        <v>1397</v>
      </c>
    </row>
    <row r="63" spans="1:4" ht="12.75" customHeight="1" x14ac:dyDescent="0.2">
      <c r="A63" s="1233" t="s">
        <v>1355</v>
      </c>
      <c r="B63" s="1234" t="s">
        <v>1396</v>
      </c>
      <c r="C63" s="1238">
        <f t="shared" si="0"/>
        <v>7962</v>
      </c>
      <c r="D63" s="1234" t="s">
        <v>1397</v>
      </c>
    </row>
    <row r="64" spans="1:4" ht="12.75" customHeight="1" x14ac:dyDescent="0.2">
      <c r="A64" s="1235" t="s">
        <v>1356</v>
      </c>
      <c r="B64" s="1236" t="s">
        <v>1396</v>
      </c>
      <c r="C64" s="1237">
        <f t="shared" si="0"/>
        <v>7962</v>
      </c>
      <c r="D64" s="1236" t="s">
        <v>1397</v>
      </c>
    </row>
    <row r="65" spans="1:4" ht="12.75" customHeight="1" x14ac:dyDescent="0.2">
      <c r="A65" s="1235" t="s">
        <v>1357</v>
      </c>
      <c r="B65" s="1236" t="s">
        <v>1231</v>
      </c>
      <c r="C65" s="1238"/>
      <c r="D65" s="1236" t="s">
        <v>1231</v>
      </c>
    </row>
    <row r="66" spans="1:4" ht="12.75" customHeight="1" x14ac:dyDescent="0.2">
      <c r="A66" s="1225" t="s">
        <v>1358</v>
      </c>
      <c r="B66" s="1223" t="s">
        <v>1231</v>
      </c>
      <c r="C66" s="1238"/>
      <c r="D66" s="1223" t="s">
        <v>1231</v>
      </c>
    </row>
    <row r="67" spans="1:4" ht="12.75" customHeight="1" x14ac:dyDescent="0.2">
      <c r="A67" s="1225" t="s">
        <v>1359</v>
      </c>
      <c r="B67" s="1223" t="s">
        <v>1231</v>
      </c>
      <c r="C67" s="1238">
        <v>6809386</v>
      </c>
      <c r="D67" s="1223" t="s">
        <v>1398</v>
      </c>
    </row>
    <row r="68" spans="1:4" ht="12.75" customHeight="1" x14ac:dyDescent="0.2">
      <c r="A68" s="1225" t="s">
        <v>1361</v>
      </c>
      <c r="B68" s="1223" t="s">
        <v>1231</v>
      </c>
      <c r="C68" s="1238"/>
      <c r="D68" s="1223" t="s">
        <v>1231</v>
      </c>
    </row>
    <row r="69" spans="1:4" ht="12.75" customHeight="1" x14ac:dyDescent="0.2">
      <c r="A69" s="1235" t="s">
        <v>1362</v>
      </c>
      <c r="B69" s="1242" t="s">
        <v>1231</v>
      </c>
      <c r="C69" s="1237">
        <v>6809386</v>
      </c>
      <c r="D69" s="1236" t="s">
        <v>1398</v>
      </c>
    </row>
    <row r="70" spans="1:4" ht="12.75" customHeight="1" x14ac:dyDescent="0.2">
      <c r="A70" s="1241" t="s">
        <v>1363</v>
      </c>
      <c r="B70" s="1242" t="s">
        <v>1387</v>
      </c>
      <c r="C70" s="1243">
        <f t="shared" si="0"/>
        <v>149488</v>
      </c>
      <c r="D70" s="1242" t="s">
        <v>1388</v>
      </c>
    </row>
    <row r="71" spans="1:4" x14ac:dyDescent="0.2">
      <c r="A71" s="1224"/>
      <c r="B71" s="1224"/>
      <c r="C71" s="1224"/>
      <c r="D71" s="1224"/>
    </row>
  </sheetData>
  <sheetProtection selectLockedCells="1" selectUnlockedCells="1"/>
  <mergeCells count="4">
    <mergeCell ref="A1:D1"/>
    <mergeCell ref="A2:D3"/>
    <mergeCell ref="A4:D4"/>
    <mergeCell ref="A5:D5"/>
  </mergeCells>
  <conditionalFormatting sqref="A8:D70">
    <cfRule type="cellIs" dxfId="8" priority="1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66" firstPageNumber="0" orientation="landscape" horizontalDpi="300" verticalDpi="300" r:id="rId1"/>
  <headerFooter alignWithMargins="0"/>
  <rowBreaks count="1" manualBreakCount="1">
    <brk id="40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C111"/>
  <sheetViews>
    <sheetView zoomScaleNormal="100" workbookViewId="0">
      <selection sqref="A1:D1"/>
    </sheetView>
  </sheetViews>
  <sheetFormatPr defaultColWidth="10.5" defaultRowHeight="12.75" x14ac:dyDescent="0.2"/>
  <cols>
    <col min="1" max="1" width="77.33203125" style="1222" customWidth="1"/>
    <col min="2" max="4" width="14.83203125" style="1222" customWidth="1"/>
    <col min="5" max="211" width="10.5" style="1222"/>
    <col min="212" max="212" width="6.1640625" style="1222" customWidth="1"/>
    <col min="213" max="217" width="3.83203125" style="1222" customWidth="1"/>
    <col min="218" max="218" width="4.5" style="1222" customWidth="1"/>
    <col min="219" max="222" width="3.83203125" style="1222" customWidth="1"/>
    <col min="223" max="223" width="4.5" style="1222" customWidth="1"/>
    <col min="224" max="258" width="3.83203125" style="1222" customWidth="1"/>
    <col min="259" max="260" width="1.5" style="1222" customWidth="1"/>
    <col min="261" max="467" width="10.5" style="1222"/>
    <col min="468" max="468" width="6.1640625" style="1222" customWidth="1"/>
    <col min="469" max="473" width="3.83203125" style="1222" customWidth="1"/>
    <col min="474" max="474" width="4.5" style="1222" customWidth="1"/>
    <col min="475" max="478" width="3.83203125" style="1222" customWidth="1"/>
    <col min="479" max="479" width="4.5" style="1222" customWidth="1"/>
    <col min="480" max="514" width="3.83203125" style="1222" customWidth="1"/>
    <col min="515" max="516" width="1.5" style="1222" customWidth="1"/>
    <col min="517" max="723" width="10.5" style="1222"/>
    <col min="724" max="724" width="6.1640625" style="1222" customWidth="1"/>
    <col min="725" max="729" width="3.83203125" style="1222" customWidth="1"/>
    <col min="730" max="730" width="4.5" style="1222" customWidth="1"/>
    <col min="731" max="734" width="3.83203125" style="1222" customWidth="1"/>
    <col min="735" max="735" width="4.5" style="1222" customWidth="1"/>
    <col min="736" max="770" width="3.83203125" style="1222" customWidth="1"/>
    <col min="771" max="772" width="1.5" style="1222" customWidth="1"/>
    <col min="773" max="979" width="10.5" style="1222"/>
    <col min="980" max="980" width="6.1640625" style="1222" customWidth="1"/>
    <col min="981" max="985" width="3.83203125" style="1222" customWidth="1"/>
    <col min="986" max="986" width="4.5" style="1222" customWidth="1"/>
    <col min="987" max="990" width="3.83203125" style="1222" customWidth="1"/>
    <col min="991" max="991" width="4.5" style="1222" customWidth="1"/>
    <col min="992" max="1026" width="3.83203125" style="1222" customWidth="1"/>
    <col min="1027" max="1028" width="1.5" style="1222" customWidth="1"/>
    <col min="1029" max="1235" width="10.5" style="1222"/>
    <col min="1236" max="1236" width="6.1640625" style="1222" customWidth="1"/>
    <col min="1237" max="1241" width="3.83203125" style="1222" customWidth="1"/>
    <col min="1242" max="1242" width="4.5" style="1222" customWidth="1"/>
    <col min="1243" max="1246" width="3.83203125" style="1222" customWidth="1"/>
    <col min="1247" max="1247" width="4.5" style="1222" customWidth="1"/>
    <col min="1248" max="1282" width="3.83203125" style="1222" customWidth="1"/>
    <col min="1283" max="1284" width="1.5" style="1222" customWidth="1"/>
    <col min="1285" max="1491" width="10.5" style="1222"/>
    <col min="1492" max="1492" width="6.1640625" style="1222" customWidth="1"/>
    <col min="1493" max="1497" width="3.83203125" style="1222" customWidth="1"/>
    <col min="1498" max="1498" width="4.5" style="1222" customWidth="1"/>
    <col min="1499" max="1502" width="3.83203125" style="1222" customWidth="1"/>
    <col min="1503" max="1503" width="4.5" style="1222" customWidth="1"/>
    <col min="1504" max="1538" width="3.83203125" style="1222" customWidth="1"/>
    <col min="1539" max="1540" width="1.5" style="1222" customWidth="1"/>
    <col min="1541" max="1747" width="10.5" style="1222"/>
    <col min="1748" max="1748" width="6.1640625" style="1222" customWidth="1"/>
    <col min="1749" max="1753" width="3.83203125" style="1222" customWidth="1"/>
    <col min="1754" max="1754" width="4.5" style="1222" customWidth="1"/>
    <col min="1755" max="1758" width="3.83203125" style="1222" customWidth="1"/>
    <col min="1759" max="1759" width="4.5" style="1222" customWidth="1"/>
    <col min="1760" max="1794" width="3.83203125" style="1222" customWidth="1"/>
    <col min="1795" max="1796" width="1.5" style="1222" customWidth="1"/>
    <col min="1797" max="2003" width="10.5" style="1222"/>
    <col min="2004" max="2004" width="6.1640625" style="1222" customWidth="1"/>
    <col min="2005" max="2009" width="3.83203125" style="1222" customWidth="1"/>
    <col min="2010" max="2010" width="4.5" style="1222" customWidth="1"/>
    <col min="2011" max="2014" width="3.83203125" style="1222" customWidth="1"/>
    <col min="2015" max="2015" width="4.5" style="1222" customWidth="1"/>
    <col min="2016" max="2050" width="3.83203125" style="1222" customWidth="1"/>
    <col min="2051" max="2052" width="1.5" style="1222" customWidth="1"/>
    <col min="2053" max="2259" width="10.5" style="1222"/>
    <col min="2260" max="2260" width="6.1640625" style="1222" customWidth="1"/>
    <col min="2261" max="2265" width="3.83203125" style="1222" customWidth="1"/>
    <col min="2266" max="2266" width="4.5" style="1222" customWidth="1"/>
    <col min="2267" max="2270" width="3.83203125" style="1222" customWidth="1"/>
    <col min="2271" max="2271" width="4.5" style="1222" customWidth="1"/>
    <col min="2272" max="2306" width="3.83203125" style="1222" customWidth="1"/>
    <col min="2307" max="2308" width="1.5" style="1222" customWidth="1"/>
    <col min="2309" max="2515" width="10.5" style="1222"/>
    <col min="2516" max="2516" width="6.1640625" style="1222" customWidth="1"/>
    <col min="2517" max="2521" width="3.83203125" style="1222" customWidth="1"/>
    <col min="2522" max="2522" width="4.5" style="1222" customWidth="1"/>
    <col min="2523" max="2526" width="3.83203125" style="1222" customWidth="1"/>
    <col min="2527" max="2527" width="4.5" style="1222" customWidth="1"/>
    <col min="2528" max="2562" width="3.83203125" style="1222" customWidth="1"/>
    <col min="2563" max="2564" width="1.5" style="1222" customWidth="1"/>
    <col min="2565" max="2771" width="10.5" style="1222"/>
    <col min="2772" max="2772" width="6.1640625" style="1222" customWidth="1"/>
    <col min="2773" max="2777" width="3.83203125" style="1222" customWidth="1"/>
    <col min="2778" max="2778" width="4.5" style="1222" customWidth="1"/>
    <col min="2779" max="2782" width="3.83203125" style="1222" customWidth="1"/>
    <col min="2783" max="2783" width="4.5" style="1222" customWidth="1"/>
    <col min="2784" max="2818" width="3.83203125" style="1222" customWidth="1"/>
    <col min="2819" max="2820" width="1.5" style="1222" customWidth="1"/>
    <col min="2821" max="3027" width="10.5" style="1222"/>
    <col min="3028" max="3028" width="6.1640625" style="1222" customWidth="1"/>
    <col min="3029" max="3033" width="3.83203125" style="1222" customWidth="1"/>
    <col min="3034" max="3034" width="4.5" style="1222" customWidth="1"/>
    <col min="3035" max="3038" width="3.83203125" style="1222" customWidth="1"/>
    <col min="3039" max="3039" width="4.5" style="1222" customWidth="1"/>
    <col min="3040" max="3074" width="3.83203125" style="1222" customWidth="1"/>
    <col min="3075" max="3076" width="1.5" style="1222" customWidth="1"/>
    <col min="3077" max="3283" width="10.5" style="1222"/>
    <col min="3284" max="3284" width="6.1640625" style="1222" customWidth="1"/>
    <col min="3285" max="3289" width="3.83203125" style="1222" customWidth="1"/>
    <col min="3290" max="3290" width="4.5" style="1222" customWidth="1"/>
    <col min="3291" max="3294" width="3.83203125" style="1222" customWidth="1"/>
    <col min="3295" max="3295" width="4.5" style="1222" customWidth="1"/>
    <col min="3296" max="3330" width="3.83203125" style="1222" customWidth="1"/>
    <col min="3331" max="3332" width="1.5" style="1222" customWidth="1"/>
    <col min="3333" max="3539" width="10.5" style="1222"/>
    <col min="3540" max="3540" width="6.1640625" style="1222" customWidth="1"/>
    <col min="3541" max="3545" width="3.83203125" style="1222" customWidth="1"/>
    <col min="3546" max="3546" width="4.5" style="1222" customWidth="1"/>
    <col min="3547" max="3550" width="3.83203125" style="1222" customWidth="1"/>
    <col min="3551" max="3551" width="4.5" style="1222" customWidth="1"/>
    <col min="3552" max="3586" width="3.83203125" style="1222" customWidth="1"/>
    <col min="3587" max="3588" width="1.5" style="1222" customWidth="1"/>
    <col min="3589" max="3795" width="10.5" style="1222"/>
    <col min="3796" max="3796" width="6.1640625" style="1222" customWidth="1"/>
    <col min="3797" max="3801" width="3.83203125" style="1222" customWidth="1"/>
    <col min="3802" max="3802" width="4.5" style="1222" customWidth="1"/>
    <col min="3803" max="3806" width="3.83203125" style="1222" customWidth="1"/>
    <col min="3807" max="3807" width="4.5" style="1222" customWidth="1"/>
    <col min="3808" max="3842" width="3.83203125" style="1222" customWidth="1"/>
    <col min="3843" max="3844" width="1.5" style="1222" customWidth="1"/>
    <col min="3845" max="4051" width="10.5" style="1222"/>
    <col min="4052" max="4052" width="6.1640625" style="1222" customWidth="1"/>
    <col min="4053" max="4057" width="3.83203125" style="1222" customWidth="1"/>
    <col min="4058" max="4058" width="4.5" style="1222" customWidth="1"/>
    <col min="4059" max="4062" width="3.83203125" style="1222" customWidth="1"/>
    <col min="4063" max="4063" width="4.5" style="1222" customWidth="1"/>
    <col min="4064" max="4098" width="3.83203125" style="1222" customWidth="1"/>
    <col min="4099" max="4100" width="1.5" style="1222" customWidth="1"/>
    <col min="4101" max="4307" width="10.5" style="1222"/>
    <col min="4308" max="4308" width="6.1640625" style="1222" customWidth="1"/>
    <col min="4309" max="4313" width="3.83203125" style="1222" customWidth="1"/>
    <col min="4314" max="4314" width="4.5" style="1222" customWidth="1"/>
    <col min="4315" max="4318" width="3.83203125" style="1222" customWidth="1"/>
    <col min="4319" max="4319" width="4.5" style="1222" customWidth="1"/>
    <col min="4320" max="4354" width="3.83203125" style="1222" customWidth="1"/>
    <col min="4355" max="4356" width="1.5" style="1222" customWidth="1"/>
    <col min="4357" max="4563" width="10.5" style="1222"/>
    <col min="4564" max="4564" width="6.1640625" style="1222" customWidth="1"/>
    <col min="4565" max="4569" width="3.83203125" style="1222" customWidth="1"/>
    <col min="4570" max="4570" width="4.5" style="1222" customWidth="1"/>
    <col min="4571" max="4574" width="3.83203125" style="1222" customWidth="1"/>
    <col min="4575" max="4575" width="4.5" style="1222" customWidth="1"/>
    <col min="4576" max="4610" width="3.83203125" style="1222" customWidth="1"/>
    <col min="4611" max="4612" width="1.5" style="1222" customWidth="1"/>
    <col min="4613" max="4819" width="10.5" style="1222"/>
    <col min="4820" max="4820" width="6.1640625" style="1222" customWidth="1"/>
    <col min="4821" max="4825" width="3.83203125" style="1222" customWidth="1"/>
    <col min="4826" max="4826" width="4.5" style="1222" customWidth="1"/>
    <col min="4827" max="4830" width="3.83203125" style="1222" customWidth="1"/>
    <col min="4831" max="4831" width="4.5" style="1222" customWidth="1"/>
    <col min="4832" max="4866" width="3.83203125" style="1222" customWidth="1"/>
    <col min="4867" max="4868" width="1.5" style="1222" customWidth="1"/>
    <col min="4869" max="5075" width="10.5" style="1222"/>
    <col min="5076" max="5076" width="6.1640625" style="1222" customWidth="1"/>
    <col min="5077" max="5081" width="3.83203125" style="1222" customWidth="1"/>
    <col min="5082" max="5082" width="4.5" style="1222" customWidth="1"/>
    <col min="5083" max="5086" width="3.83203125" style="1222" customWidth="1"/>
    <col min="5087" max="5087" width="4.5" style="1222" customWidth="1"/>
    <col min="5088" max="5122" width="3.83203125" style="1222" customWidth="1"/>
    <col min="5123" max="5124" width="1.5" style="1222" customWidth="1"/>
    <col min="5125" max="5331" width="10.5" style="1222"/>
    <col min="5332" max="5332" width="6.1640625" style="1222" customWidth="1"/>
    <col min="5333" max="5337" width="3.83203125" style="1222" customWidth="1"/>
    <col min="5338" max="5338" width="4.5" style="1222" customWidth="1"/>
    <col min="5339" max="5342" width="3.83203125" style="1222" customWidth="1"/>
    <col min="5343" max="5343" width="4.5" style="1222" customWidth="1"/>
    <col min="5344" max="5378" width="3.83203125" style="1222" customWidth="1"/>
    <col min="5379" max="5380" width="1.5" style="1222" customWidth="1"/>
    <col min="5381" max="5587" width="10.5" style="1222"/>
    <col min="5588" max="5588" width="6.1640625" style="1222" customWidth="1"/>
    <col min="5589" max="5593" width="3.83203125" style="1222" customWidth="1"/>
    <col min="5594" max="5594" width="4.5" style="1222" customWidth="1"/>
    <col min="5595" max="5598" width="3.83203125" style="1222" customWidth="1"/>
    <col min="5599" max="5599" width="4.5" style="1222" customWidth="1"/>
    <col min="5600" max="5634" width="3.83203125" style="1222" customWidth="1"/>
    <col min="5635" max="5636" width="1.5" style="1222" customWidth="1"/>
    <col min="5637" max="5843" width="10.5" style="1222"/>
    <col min="5844" max="5844" width="6.1640625" style="1222" customWidth="1"/>
    <col min="5845" max="5849" width="3.83203125" style="1222" customWidth="1"/>
    <col min="5850" max="5850" width="4.5" style="1222" customWidth="1"/>
    <col min="5851" max="5854" width="3.83203125" style="1222" customWidth="1"/>
    <col min="5855" max="5855" width="4.5" style="1222" customWidth="1"/>
    <col min="5856" max="5890" width="3.83203125" style="1222" customWidth="1"/>
    <col min="5891" max="5892" width="1.5" style="1222" customWidth="1"/>
    <col min="5893" max="6099" width="10.5" style="1222"/>
    <col min="6100" max="6100" width="6.1640625" style="1222" customWidth="1"/>
    <col min="6101" max="6105" width="3.83203125" style="1222" customWidth="1"/>
    <col min="6106" max="6106" width="4.5" style="1222" customWidth="1"/>
    <col min="6107" max="6110" width="3.83203125" style="1222" customWidth="1"/>
    <col min="6111" max="6111" width="4.5" style="1222" customWidth="1"/>
    <col min="6112" max="6146" width="3.83203125" style="1222" customWidth="1"/>
    <col min="6147" max="6148" width="1.5" style="1222" customWidth="1"/>
    <col min="6149" max="6355" width="10.5" style="1222"/>
    <col min="6356" max="6356" width="6.1640625" style="1222" customWidth="1"/>
    <col min="6357" max="6361" width="3.83203125" style="1222" customWidth="1"/>
    <col min="6362" max="6362" width="4.5" style="1222" customWidth="1"/>
    <col min="6363" max="6366" width="3.83203125" style="1222" customWidth="1"/>
    <col min="6367" max="6367" width="4.5" style="1222" customWidth="1"/>
    <col min="6368" max="6402" width="3.83203125" style="1222" customWidth="1"/>
    <col min="6403" max="6404" width="1.5" style="1222" customWidth="1"/>
    <col min="6405" max="6611" width="10.5" style="1222"/>
    <col min="6612" max="6612" width="6.1640625" style="1222" customWidth="1"/>
    <col min="6613" max="6617" width="3.83203125" style="1222" customWidth="1"/>
    <col min="6618" max="6618" width="4.5" style="1222" customWidth="1"/>
    <col min="6619" max="6622" width="3.83203125" style="1222" customWidth="1"/>
    <col min="6623" max="6623" width="4.5" style="1222" customWidth="1"/>
    <col min="6624" max="6658" width="3.83203125" style="1222" customWidth="1"/>
    <col min="6659" max="6660" width="1.5" style="1222" customWidth="1"/>
    <col min="6661" max="6867" width="10.5" style="1222"/>
    <col min="6868" max="6868" width="6.1640625" style="1222" customWidth="1"/>
    <col min="6869" max="6873" width="3.83203125" style="1222" customWidth="1"/>
    <col min="6874" max="6874" width="4.5" style="1222" customWidth="1"/>
    <col min="6875" max="6878" width="3.83203125" style="1222" customWidth="1"/>
    <col min="6879" max="6879" width="4.5" style="1222" customWidth="1"/>
    <col min="6880" max="6914" width="3.83203125" style="1222" customWidth="1"/>
    <col min="6915" max="6916" width="1.5" style="1222" customWidth="1"/>
    <col min="6917" max="7123" width="10.5" style="1222"/>
    <col min="7124" max="7124" width="6.1640625" style="1222" customWidth="1"/>
    <col min="7125" max="7129" width="3.83203125" style="1222" customWidth="1"/>
    <col min="7130" max="7130" width="4.5" style="1222" customWidth="1"/>
    <col min="7131" max="7134" width="3.83203125" style="1222" customWidth="1"/>
    <col min="7135" max="7135" width="4.5" style="1222" customWidth="1"/>
    <col min="7136" max="7170" width="3.83203125" style="1222" customWidth="1"/>
    <col min="7171" max="7172" width="1.5" style="1222" customWidth="1"/>
    <col min="7173" max="7379" width="10.5" style="1222"/>
    <col min="7380" max="7380" width="6.1640625" style="1222" customWidth="1"/>
    <col min="7381" max="7385" width="3.83203125" style="1222" customWidth="1"/>
    <col min="7386" max="7386" width="4.5" style="1222" customWidth="1"/>
    <col min="7387" max="7390" width="3.83203125" style="1222" customWidth="1"/>
    <col min="7391" max="7391" width="4.5" style="1222" customWidth="1"/>
    <col min="7392" max="7426" width="3.83203125" style="1222" customWidth="1"/>
    <col min="7427" max="7428" width="1.5" style="1222" customWidth="1"/>
    <col min="7429" max="7635" width="10.5" style="1222"/>
    <col min="7636" max="7636" width="6.1640625" style="1222" customWidth="1"/>
    <col min="7637" max="7641" width="3.83203125" style="1222" customWidth="1"/>
    <col min="7642" max="7642" width="4.5" style="1222" customWidth="1"/>
    <col min="7643" max="7646" width="3.83203125" style="1222" customWidth="1"/>
    <col min="7647" max="7647" width="4.5" style="1222" customWidth="1"/>
    <col min="7648" max="7682" width="3.83203125" style="1222" customWidth="1"/>
    <col min="7683" max="7684" width="1.5" style="1222" customWidth="1"/>
    <col min="7685" max="7891" width="10.5" style="1222"/>
    <col min="7892" max="7892" width="6.1640625" style="1222" customWidth="1"/>
    <col min="7893" max="7897" width="3.83203125" style="1222" customWidth="1"/>
    <col min="7898" max="7898" width="4.5" style="1222" customWidth="1"/>
    <col min="7899" max="7902" width="3.83203125" style="1222" customWidth="1"/>
    <col min="7903" max="7903" width="4.5" style="1222" customWidth="1"/>
    <col min="7904" max="7938" width="3.83203125" style="1222" customWidth="1"/>
    <col min="7939" max="7940" width="1.5" style="1222" customWidth="1"/>
    <col min="7941" max="8147" width="10.5" style="1222"/>
    <col min="8148" max="8148" width="6.1640625" style="1222" customWidth="1"/>
    <col min="8149" max="8153" width="3.83203125" style="1222" customWidth="1"/>
    <col min="8154" max="8154" width="4.5" style="1222" customWidth="1"/>
    <col min="8155" max="8158" width="3.83203125" style="1222" customWidth="1"/>
    <col min="8159" max="8159" width="4.5" style="1222" customWidth="1"/>
    <col min="8160" max="8194" width="3.83203125" style="1222" customWidth="1"/>
    <col min="8195" max="8196" width="1.5" style="1222" customWidth="1"/>
    <col min="8197" max="8403" width="10.5" style="1222"/>
    <col min="8404" max="8404" width="6.1640625" style="1222" customWidth="1"/>
    <col min="8405" max="8409" width="3.83203125" style="1222" customWidth="1"/>
    <col min="8410" max="8410" width="4.5" style="1222" customWidth="1"/>
    <col min="8411" max="8414" width="3.83203125" style="1222" customWidth="1"/>
    <col min="8415" max="8415" width="4.5" style="1222" customWidth="1"/>
    <col min="8416" max="8450" width="3.83203125" style="1222" customWidth="1"/>
    <col min="8451" max="8452" width="1.5" style="1222" customWidth="1"/>
    <col min="8453" max="8659" width="10.5" style="1222"/>
    <col min="8660" max="8660" width="6.1640625" style="1222" customWidth="1"/>
    <col min="8661" max="8665" width="3.83203125" style="1222" customWidth="1"/>
    <col min="8666" max="8666" width="4.5" style="1222" customWidth="1"/>
    <col min="8667" max="8670" width="3.83203125" style="1222" customWidth="1"/>
    <col min="8671" max="8671" width="4.5" style="1222" customWidth="1"/>
    <col min="8672" max="8706" width="3.83203125" style="1222" customWidth="1"/>
    <col min="8707" max="8708" width="1.5" style="1222" customWidth="1"/>
    <col min="8709" max="8915" width="10.5" style="1222"/>
    <col min="8916" max="8916" width="6.1640625" style="1222" customWidth="1"/>
    <col min="8917" max="8921" width="3.83203125" style="1222" customWidth="1"/>
    <col min="8922" max="8922" width="4.5" style="1222" customWidth="1"/>
    <col min="8923" max="8926" width="3.83203125" style="1222" customWidth="1"/>
    <col min="8927" max="8927" width="4.5" style="1222" customWidth="1"/>
    <col min="8928" max="8962" width="3.83203125" style="1222" customWidth="1"/>
    <col min="8963" max="8964" width="1.5" style="1222" customWidth="1"/>
    <col min="8965" max="9171" width="10.5" style="1222"/>
    <col min="9172" max="9172" width="6.1640625" style="1222" customWidth="1"/>
    <col min="9173" max="9177" width="3.83203125" style="1222" customWidth="1"/>
    <col min="9178" max="9178" width="4.5" style="1222" customWidth="1"/>
    <col min="9179" max="9182" width="3.83203125" style="1222" customWidth="1"/>
    <col min="9183" max="9183" width="4.5" style="1222" customWidth="1"/>
    <col min="9184" max="9218" width="3.83203125" style="1222" customWidth="1"/>
    <col min="9219" max="9220" width="1.5" style="1222" customWidth="1"/>
    <col min="9221" max="9427" width="10.5" style="1222"/>
    <col min="9428" max="9428" width="6.1640625" style="1222" customWidth="1"/>
    <col min="9429" max="9433" width="3.83203125" style="1222" customWidth="1"/>
    <col min="9434" max="9434" width="4.5" style="1222" customWidth="1"/>
    <col min="9435" max="9438" width="3.83203125" style="1222" customWidth="1"/>
    <col min="9439" max="9439" width="4.5" style="1222" customWidth="1"/>
    <col min="9440" max="9474" width="3.83203125" style="1222" customWidth="1"/>
    <col min="9475" max="9476" width="1.5" style="1222" customWidth="1"/>
    <col min="9477" max="9683" width="10.5" style="1222"/>
    <col min="9684" max="9684" width="6.1640625" style="1222" customWidth="1"/>
    <col min="9685" max="9689" width="3.83203125" style="1222" customWidth="1"/>
    <col min="9690" max="9690" width="4.5" style="1222" customWidth="1"/>
    <col min="9691" max="9694" width="3.83203125" style="1222" customWidth="1"/>
    <col min="9695" max="9695" width="4.5" style="1222" customWidth="1"/>
    <col min="9696" max="9730" width="3.83203125" style="1222" customWidth="1"/>
    <col min="9731" max="9732" width="1.5" style="1222" customWidth="1"/>
    <col min="9733" max="9939" width="10.5" style="1222"/>
    <col min="9940" max="9940" width="6.1640625" style="1222" customWidth="1"/>
    <col min="9941" max="9945" width="3.83203125" style="1222" customWidth="1"/>
    <col min="9946" max="9946" width="4.5" style="1222" customWidth="1"/>
    <col min="9947" max="9950" width="3.83203125" style="1222" customWidth="1"/>
    <col min="9951" max="9951" width="4.5" style="1222" customWidth="1"/>
    <col min="9952" max="9986" width="3.83203125" style="1222" customWidth="1"/>
    <col min="9987" max="9988" width="1.5" style="1222" customWidth="1"/>
    <col min="9989" max="10195" width="10.5" style="1222"/>
    <col min="10196" max="10196" width="6.1640625" style="1222" customWidth="1"/>
    <col min="10197" max="10201" width="3.83203125" style="1222" customWidth="1"/>
    <col min="10202" max="10202" width="4.5" style="1222" customWidth="1"/>
    <col min="10203" max="10206" width="3.83203125" style="1222" customWidth="1"/>
    <col min="10207" max="10207" width="4.5" style="1222" customWidth="1"/>
    <col min="10208" max="10242" width="3.83203125" style="1222" customWidth="1"/>
    <col min="10243" max="10244" width="1.5" style="1222" customWidth="1"/>
    <col min="10245" max="10451" width="10.5" style="1222"/>
    <col min="10452" max="10452" width="6.1640625" style="1222" customWidth="1"/>
    <col min="10453" max="10457" width="3.83203125" style="1222" customWidth="1"/>
    <col min="10458" max="10458" width="4.5" style="1222" customWidth="1"/>
    <col min="10459" max="10462" width="3.83203125" style="1222" customWidth="1"/>
    <col min="10463" max="10463" width="4.5" style="1222" customWidth="1"/>
    <col min="10464" max="10498" width="3.83203125" style="1222" customWidth="1"/>
    <col min="10499" max="10500" width="1.5" style="1222" customWidth="1"/>
    <col min="10501" max="10707" width="10.5" style="1222"/>
    <col min="10708" max="10708" width="6.1640625" style="1222" customWidth="1"/>
    <col min="10709" max="10713" width="3.83203125" style="1222" customWidth="1"/>
    <col min="10714" max="10714" width="4.5" style="1222" customWidth="1"/>
    <col min="10715" max="10718" width="3.83203125" style="1222" customWidth="1"/>
    <col min="10719" max="10719" width="4.5" style="1222" customWidth="1"/>
    <col min="10720" max="10754" width="3.83203125" style="1222" customWidth="1"/>
    <col min="10755" max="10756" width="1.5" style="1222" customWidth="1"/>
    <col min="10757" max="10963" width="10.5" style="1222"/>
    <col min="10964" max="10964" width="6.1640625" style="1222" customWidth="1"/>
    <col min="10965" max="10969" width="3.83203125" style="1222" customWidth="1"/>
    <col min="10970" max="10970" width="4.5" style="1222" customWidth="1"/>
    <col min="10971" max="10974" width="3.83203125" style="1222" customWidth="1"/>
    <col min="10975" max="10975" width="4.5" style="1222" customWidth="1"/>
    <col min="10976" max="11010" width="3.83203125" style="1222" customWidth="1"/>
    <col min="11011" max="11012" width="1.5" style="1222" customWidth="1"/>
    <col min="11013" max="11219" width="10.5" style="1222"/>
    <col min="11220" max="11220" width="6.1640625" style="1222" customWidth="1"/>
    <col min="11221" max="11225" width="3.83203125" style="1222" customWidth="1"/>
    <col min="11226" max="11226" width="4.5" style="1222" customWidth="1"/>
    <col min="11227" max="11230" width="3.83203125" style="1222" customWidth="1"/>
    <col min="11231" max="11231" width="4.5" style="1222" customWidth="1"/>
    <col min="11232" max="11266" width="3.83203125" style="1222" customWidth="1"/>
    <col min="11267" max="11268" width="1.5" style="1222" customWidth="1"/>
    <col min="11269" max="11475" width="10.5" style="1222"/>
    <col min="11476" max="11476" width="6.1640625" style="1222" customWidth="1"/>
    <col min="11477" max="11481" width="3.83203125" style="1222" customWidth="1"/>
    <col min="11482" max="11482" width="4.5" style="1222" customWidth="1"/>
    <col min="11483" max="11486" width="3.83203125" style="1222" customWidth="1"/>
    <col min="11487" max="11487" width="4.5" style="1222" customWidth="1"/>
    <col min="11488" max="11522" width="3.83203125" style="1222" customWidth="1"/>
    <col min="11523" max="11524" width="1.5" style="1222" customWidth="1"/>
    <col min="11525" max="11731" width="10.5" style="1222"/>
    <col min="11732" max="11732" width="6.1640625" style="1222" customWidth="1"/>
    <col min="11733" max="11737" width="3.83203125" style="1222" customWidth="1"/>
    <col min="11738" max="11738" width="4.5" style="1222" customWidth="1"/>
    <col min="11739" max="11742" width="3.83203125" style="1222" customWidth="1"/>
    <col min="11743" max="11743" width="4.5" style="1222" customWidth="1"/>
    <col min="11744" max="11778" width="3.83203125" style="1222" customWidth="1"/>
    <col min="11779" max="11780" width="1.5" style="1222" customWidth="1"/>
    <col min="11781" max="11987" width="10.5" style="1222"/>
    <col min="11988" max="11988" width="6.1640625" style="1222" customWidth="1"/>
    <col min="11989" max="11993" width="3.83203125" style="1222" customWidth="1"/>
    <col min="11994" max="11994" width="4.5" style="1222" customWidth="1"/>
    <col min="11995" max="11998" width="3.83203125" style="1222" customWidth="1"/>
    <col min="11999" max="11999" width="4.5" style="1222" customWidth="1"/>
    <col min="12000" max="12034" width="3.83203125" style="1222" customWidth="1"/>
    <col min="12035" max="12036" width="1.5" style="1222" customWidth="1"/>
    <col min="12037" max="12243" width="10.5" style="1222"/>
    <col min="12244" max="12244" width="6.1640625" style="1222" customWidth="1"/>
    <col min="12245" max="12249" width="3.83203125" style="1222" customWidth="1"/>
    <col min="12250" max="12250" width="4.5" style="1222" customWidth="1"/>
    <col min="12251" max="12254" width="3.83203125" style="1222" customWidth="1"/>
    <col min="12255" max="12255" width="4.5" style="1222" customWidth="1"/>
    <col min="12256" max="12290" width="3.83203125" style="1222" customWidth="1"/>
    <col min="12291" max="12292" width="1.5" style="1222" customWidth="1"/>
    <col min="12293" max="12499" width="10.5" style="1222"/>
    <col min="12500" max="12500" width="6.1640625" style="1222" customWidth="1"/>
    <col min="12501" max="12505" width="3.83203125" style="1222" customWidth="1"/>
    <col min="12506" max="12506" width="4.5" style="1222" customWidth="1"/>
    <col min="12507" max="12510" width="3.83203125" style="1222" customWidth="1"/>
    <col min="12511" max="12511" width="4.5" style="1222" customWidth="1"/>
    <col min="12512" max="12546" width="3.83203125" style="1222" customWidth="1"/>
    <col min="12547" max="12548" width="1.5" style="1222" customWidth="1"/>
    <col min="12549" max="12755" width="10.5" style="1222"/>
    <col min="12756" max="12756" width="6.1640625" style="1222" customWidth="1"/>
    <col min="12757" max="12761" width="3.83203125" style="1222" customWidth="1"/>
    <col min="12762" max="12762" width="4.5" style="1222" customWidth="1"/>
    <col min="12763" max="12766" width="3.83203125" style="1222" customWidth="1"/>
    <col min="12767" max="12767" width="4.5" style="1222" customWidth="1"/>
    <col min="12768" max="12802" width="3.83203125" style="1222" customWidth="1"/>
    <col min="12803" max="12804" width="1.5" style="1222" customWidth="1"/>
    <col min="12805" max="13011" width="10.5" style="1222"/>
    <col min="13012" max="13012" width="6.1640625" style="1222" customWidth="1"/>
    <col min="13013" max="13017" width="3.83203125" style="1222" customWidth="1"/>
    <col min="13018" max="13018" width="4.5" style="1222" customWidth="1"/>
    <col min="13019" max="13022" width="3.83203125" style="1222" customWidth="1"/>
    <col min="13023" max="13023" width="4.5" style="1222" customWidth="1"/>
    <col min="13024" max="13058" width="3.83203125" style="1222" customWidth="1"/>
    <col min="13059" max="13060" width="1.5" style="1222" customWidth="1"/>
    <col min="13061" max="13267" width="10.5" style="1222"/>
    <col min="13268" max="13268" width="6.1640625" style="1222" customWidth="1"/>
    <col min="13269" max="13273" width="3.83203125" style="1222" customWidth="1"/>
    <col min="13274" max="13274" width="4.5" style="1222" customWidth="1"/>
    <col min="13275" max="13278" width="3.83203125" style="1222" customWidth="1"/>
    <col min="13279" max="13279" width="4.5" style="1222" customWidth="1"/>
    <col min="13280" max="13314" width="3.83203125" style="1222" customWidth="1"/>
    <col min="13315" max="13316" width="1.5" style="1222" customWidth="1"/>
    <col min="13317" max="13523" width="10.5" style="1222"/>
    <col min="13524" max="13524" width="6.1640625" style="1222" customWidth="1"/>
    <col min="13525" max="13529" width="3.83203125" style="1222" customWidth="1"/>
    <col min="13530" max="13530" width="4.5" style="1222" customWidth="1"/>
    <col min="13531" max="13534" width="3.83203125" style="1222" customWidth="1"/>
    <col min="13535" max="13535" width="4.5" style="1222" customWidth="1"/>
    <col min="13536" max="13570" width="3.83203125" style="1222" customWidth="1"/>
    <col min="13571" max="13572" width="1.5" style="1222" customWidth="1"/>
    <col min="13573" max="13779" width="10.5" style="1222"/>
    <col min="13780" max="13780" width="6.1640625" style="1222" customWidth="1"/>
    <col min="13781" max="13785" width="3.83203125" style="1222" customWidth="1"/>
    <col min="13786" max="13786" width="4.5" style="1222" customWidth="1"/>
    <col min="13787" max="13790" width="3.83203125" style="1222" customWidth="1"/>
    <col min="13791" max="13791" width="4.5" style="1222" customWidth="1"/>
    <col min="13792" max="13826" width="3.83203125" style="1222" customWidth="1"/>
    <col min="13827" max="13828" width="1.5" style="1222" customWidth="1"/>
    <col min="13829" max="14035" width="10.5" style="1222"/>
    <col min="14036" max="14036" width="6.1640625" style="1222" customWidth="1"/>
    <col min="14037" max="14041" width="3.83203125" style="1222" customWidth="1"/>
    <col min="14042" max="14042" width="4.5" style="1222" customWidth="1"/>
    <col min="14043" max="14046" width="3.83203125" style="1222" customWidth="1"/>
    <col min="14047" max="14047" width="4.5" style="1222" customWidth="1"/>
    <col min="14048" max="14082" width="3.83203125" style="1222" customWidth="1"/>
    <col min="14083" max="14084" width="1.5" style="1222" customWidth="1"/>
    <col min="14085" max="14291" width="10.5" style="1222"/>
    <col min="14292" max="14292" width="6.1640625" style="1222" customWidth="1"/>
    <col min="14293" max="14297" width="3.83203125" style="1222" customWidth="1"/>
    <col min="14298" max="14298" width="4.5" style="1222" customWidth="1"/>
    <col min="14299" max="14302" width="3.83203125" style="1222" customWidth="1"/>
    <col min="14303" max="14303" width="4.5" style="1222" customWidth="1"/>
    <col min="14304" max="14338" width="3.83203125" style="1222" customWidth="1"/>
    <col min="14339" max="14340" width="1.5" style="1222" customWidth="1"/>
    <col min="14341" max="14547" width="10.5" style="1222"/>
    <col min="14548" max="14548" width="6.1640625" style="1222" customWidth="1"/>
    <col min="14549" max="14553" width="3.83203125" style="1222" customWidth="1"/>
    <col min="14554" max="14554" width="4.5" style="1222" customWidth="1"/>
    <col min="14555" max="14558" width="3.83203125" style="1222" customWidth="1"/>
    <col min="14559" max="14559" width="4.5" style="1222" customWidth="1"/>
    <col min="14560" max="14594" width="3.83203125" style="1222" customWidth="1"/>
    <col min="14595" max="14596" width="1.5" style="1222" customWidth="1"/>
    <col min="14597" max="14803" width="10.5" style="1222"/>
    <col min="14804" max="14804" width="6.1640625" style="1222" customWidth="1"/>
    <col min="14805" max="14809" width="3.83203125" style="1222" customWidth="1"/>
    <col min="14810" max="14810" width="4.5" style="1222" customWidth="1"/>
    <col min="14811" max="14814" width="3.83203125" style="1222" customWidth="1"/>
    <col min="14815" max="14815" width="4.5" style="1222" customWidth="1"/>
    <col min="14816" max="14850" width="3.83203125" style="1222" customWidth="1"/>
    <col min="14851" max="14852" width="1.5" style="1222" customWidth="1"/>
    <col min="14853" max="15059" width="10.5" style="1222"/>
    <col min="15060" max="15060" width="6.1640625" style="1222" customWidth="1"/>
    <col min="15061" max="15065" width="3.83203125" style="1222" customWidth="1"/>
    <col min="15066" max="15066" width="4.5" style="1222" customWidth="1"/>
    <col min="15067" max="15070" width="3.83203125" style="1222" customWidth="1"/>
    <col min="15071" max="15071" width="4.5" style="1222" customWidth="1"/>
    <col min="15072" max="15106" width="3.83203125" style="1222" customWidth="1"/>
    <col min="15107" max="15108" width="1.5" style="1222" customWidth="1"/>
    <col min="15109" max="15315" width="10.5" style="1222"/>
    <col min="15316" max="15316" width="6.1640625" style="1222" customWidth="1"/>
    <col min="15317" max="15321" width="3.83203125" style="1222" customWidth="1"/>
    <col min="15322" max="15322" width="4.5" style="1222" customWidth="1"/>
    <col min="15323" max="15326" width="3.83203125" style="1222" customWidth="1"/>
    <col min="15327" max="15327" width="4.5" style="1222" customWidth="1"/>
    <col min="15328" max="15362" width="3.83203125" style="1222" customWidth="1"/>
    <col min="15363" max="15364" width="1.5" style="1222" customWidth="1"/>
    <col min="15365" max="15571" width="10.5" style="1222"/>
    <col min="15572" max="15572" width="6.1640625" style="1222" customWidth="1"/>
    <col min="15573" max="15577" width="3.83203125" style="1222" customWidth="1"/>
    <col min="15578" max="15578" width="4.5" style="1222" customWidth="1"/>
    <col min="15579" max="15582" width="3.83203125" style="1222" customWidth="1"/>
    <col min="15583" max="15583" width="4.5" style="1222" customWidth="1"/>
    <col min="15584" max="15618" width="3.83203125" style="1222" customWidth="1"/>
    <col min="15619" max="15620" width="1.5" style="1222" customWidth="1"/>
    <col min="15621" max="15827" width="10.5" style="1222"/>
    <col min="15828" max="15828" width="6.1640625" style="1222" customWidth="1"/>
    <col min="15829" max="15833" width="3.83203125" style="1222" customWidth="1"/>
    <col min="15834" max="15834" width="4.5" style="1222" customWidth="1"/>
    <col min="15835" max="15838" width="3.83203125" style="1222" customWidth="1"/>
    <col min="15839" max="15839" width="4.5" style="1222" customWidth="1"/>
    <col min="15840" max="15874" width="3.83203125" style="1222" customWidth="1"/>
    <col min="15875" max="15876" width="1.5" style="1222" customWidth="1"/>
    <col min="15877" max="16083" width="10.5" style="1222"/>
    <col min="16084" max="16084" width="6.1640625" style="1222" customWidth="1"/>
    <col min="16085" max="16089" width="3.83203125" style="1222" customWidth="1"/>
    <col min="16090" max="16090" width="4.5" style="1222" customWidth="1"/>
    <col min="16091" max="16094" width="3.83203125" style="1222" customWidth="1"/>
    <col min="16095" max="16095" width="4.5" style="1222" customWidth="1"/>
    <col min="16096" max="16130" width="3.83203125" style="1222" customWidth="1"/>
    <col min="16131" max="16132" width="1.5" style="1222" customWidth="1"/>
    <col min="16133" max="16384" width="10.5" style="1222"/>
  </cols>
  <sheetData>
    <row r="1" spans="1:211" s="1221" customFormat="1" ht="29.25" customHeight="1" x14ac:dyDescent="0.2">
      <c r="A1" s="1324" t="s">
        <v>1498</v>
      </c>
      <c r="B1" s="1324"/>
      <c r="C1" s="1324"/>
      <c r="D1" s="1324"/>
      <c r="GQ1" s="1222"/>
      <c r="GR1" s="1222"/>
      <c r="GS1" s="1222"/>
      <c r="GT1" s="1222"/>
      <c r="GU1" s="1222"/>
      <c r="GV1" s="1222"/>
      <c r="GW1" s="1222"/>
      <c r="GX1" s="1222"/>
      <c r="GY1" s="1222"/>
      <c r="GZ1" s="1222"/>
      <c r="HA1" s="1222"/>
      <c r="HB1" s="1222"/>
      <c r="HC1" s="1222"/>
    </row>
    <row r="2" spans="1:211" s="1221" customFormat="1" ht="16.5" customHeight="1" x14ac:dyDescent="0.2">
      <c r="A2" s="1323" t="s">
        <v>1449</v>
      </c>
      <c r="B2" s="1323"/>
      <c r="C2" s="1323"/>
      <c r="D2" s="1323"/>
      <c r="GQ2" s="1222"/>
      <c r="GR2" s="1222"/>
      <c r="GS2" s="1222"/>
      <c r="GT2" s="1222"/>
      <c r="GU2" s="1222"/>
      <c r="GV2" s="1222"/>
      <c r="GW2" s="1222"/>
      <c r="GX2" s="1222"/>
      <c r="GY2" s="1222"/>
      <c r="GZ2" s="1222"/>
      <c r="HA2" s="1222"/>
      <c r="HB2" s="1222"/>
      <c r="HC2" s="1222"/>
    </row>
    <row r="3" spans="1:211" s="1221" customFormat="1" ht="40.5" customHeight="1" x14ac:dyDescent="0.2">
      <c r="A3" s="1323"/>
      <c r="B3" s="1323"/>
      <c r="C3" s="1323"/>
      <c r="D3" s="1323"/>
      <c r="GQ3" s="1222"/>
      <c r="GR3" s="1222"/>
      <c r="GS3" s="1222"/>
      <c r="GT3" s="1222"/>
      <c r="GU3" s="1222"/>
      <c r="GV3" s="1222"/>
      <c r="GW3" s="1222"/>
      <c r="GX3" s="1222"/>
      <c r="GY3" s="1222"/>
      <c r="GZ3" s="1222"/>
      <c r="HA3" s="1222"/>
      <c r="HB3" s="1222"/>
      <c r="HC3" s="1222"/>
    </row>
    <row r="4" spans="1:211" ht="16.149999999999999" customHeight="1" x14ac:dyDescent="0.2">
      <c r="A4" s="1326"/>
      <c r="B4" s="1326"/>
      <c r="C4" s="1326"/>
      <c r="D4" s="1326"/>
    </row>
    <row r="5" spans="1:211" x14ac:dyDescent="0.2">
      <c r="A5" s="1325" t="s">
        <v>1222</v>
      </c>
      <c r="B5" s="1325"/>
      <c r="C5" s="1325"/>
      <c r="D5" s="1325"/>
    </row>
    <row r="6" spans="1:211" ht="42" customHeight="1" x14ac:dyDescent="0.2">
      <c r="A6" s="1227" t="s">
        <v>12</v>
      </c>
      <c r="B6" s="1229" t="s">
        <v>1223</v>
      </c>
      <c r="C6" s="1229" t="s">
        <v>1224</v>
      </c>
      <c r="D6" s="1229" t="s">
        <v>1225</v>
      </c>
    </row>
    <row r="7" spans="1:211" x14ac:dyDescent="0.2">
      <c r="A7" s="1244" t="s">
        <v>986</v>
      </c>
      <c r="B7" s="1244" t="s">
        <v>1227</v>
      </c>
      <c r="C7" s="1244" t="s">
        <v>1228</v>
      </c>
      <c r="D7" s="1244" t="s">
        <v>1229</v>
      </c>
    </row>
    <row r="8" spans="1:211" ht="12.75" customHeight="1" x14ac:dyDescent="0.2">
      <c r="A8" s="1225" t="s">
        <v>1230</v>
      </c>
      <c r="B8" s="1223" t="s">
        <v>1231</v>
      </c>
      <c r="C8" s="1223" t="s">
        <v>1231</v>
      </c>
      <c r="D8" s="1223" t="s">
        <v>1231</v>
      </c>
    </row>
    <row r="9" spans="1:211" ht="12.75" customHeight="1" x14ac:dyDescent="0.2">
      <c r="A9" s="1225" t="s">
        <v>1232</v>
      </c>
      <c r="B9" s="1223" t="s">
        <v>1401</v>
      </c>
      <c r="C9" s="1238">
        <v>-3813900</v>
      </c>
      <c r="D9" s="1223" t="s">
        <v>1231</v>
      </c>
    </row>
    <row r="10" spans="1:211" ht="12.75" customHeight="1" x14ac:dyDescent="0.2">
      <c r="A10" s="1225" t="s">
        <v>1233</v>
      </c>
      <c r="B10" s="1223" t="s">
        <v>1231</v>
      </c>
      <c r="C10" s="1238" t="s">
        <v>1231</v>
      </c>
      <c r="D10" s="1223" t="s">
        <v>1231</v>
      </c>
    </row>
    <row r="11" spans="1:211" ht="12.75" customHeight="1" x14ac:dyDescent="0.2">
      <c r="A11" s="1233" t="s">
        <v>1234</v>
      </c>
      <c r="B11" s="1234" t="s">
        <v>1401</v>
      </c>
      <c r="C11" s="1240">
        <v>-3813900</v>
      </c>
      <c r="D11" s="1234" t="s">
        <v>1231</v>
      </c>
    </row>
    <row r="12" spans="1:211" ht="12.75" customHeight="1" x14ac:dyDescent="0.2">
      <c r="A12" s="1225" t="s">
        <v>1235</v>
      </c>
      <c r="B12" s="1223" t="s">
        <v>1402</v>
      </c>
      <c r="C12" s="1238">
        <f>B12-D12</f>
        <v>427394483</v>
      </c>
      <c r="D12" s="1223" t="s">
        <v>1403</v>
      </c>
    </row>
    <row r="13" spans="1:211" ht="12.75" customHeight="1" x14ac:dyDescent="0.2">
      <c r="A13" s="1225" t="s">
        <v>1236</v>
      </c>
      <c r="B13" s="1223" t="s">
        <v>1404</v>
      </c>
      <c r="C13" s="1238">
        <f>D13-B13</f>
        <v>11499902</v>
      </c>
      <c r="D13" s="1223" t="s">
        <v>1405</v>
      </c>
    </row>
    <row r="14" spans="1:211" ht="12.75" customHeight="1" x14ac:dyDescent="0.2">
      <c r="A14" s="1225" t="s">
        <v>1238</v>
      </c>
      <c r="B14" s="1223" t="s">
        <v>1231</v>
      </c>
      <c r="C14" s="1238" t="s">
        <v>1231</v>
      </c>
      <c r="D14" s="1223" t="s">
        <v>1231</v>
      </c>
    </row>
    <row r="15" spans="1:211" ht="12.75" customHeight="1" x14ac:dyDescent="0.2">
      <c r="A15" s="1225" t="s">
        <v>1240</v>
      </c>
      <c r="B15" s="1223" t="s">
        <v>1406</v>
      </c>
      <c r="C15" s="1238">
        <v>-96513457</v>
      </c>
      <c r="D15" s="1223" t="s">
        <v>1231</v>
      </c>
    </row>
    <row r="16" spans="1:211" ht="12.75" customHeight="1" x14ac:dyDescent="0.2">
      <c r="A16" s="1225" t="s">
        <v>1242</v>
      </c>
      <c r="B16" s="1223" t="s">
        <v>1231</v>
      </c>
      <c r="C16" s="1238" t="s">
        <v>1231</v>
      </c>
      <c r="D16" s="1223" t="s">
        <v>1231</v>
      </c>
    </row>
    <row r="17" spans="1:4" ht="12.75" customHeight="1" x14ac:dyDescent="0.2">
      <c r="A17" s="1233" t="s">
        <v>1244</v>
      </c>
      <c r="B17" s="1234" t="s">
        <v>1407</v>
      </c>
      <c r="C17" s="1240">
        <f>B17-D17</f>
        <v>512408038</v>
      </c>
      <c r="D17" s="1234" t="s">
        <v>1408</v>
      </c>
    </row>
    <row r="18" spans="1:4" ht="12.75" customHeight="1" x14ac:dyDescent="0.2">
      <c r="A18" s="1225" t="s">
        <v>1246</v>
      </c>
      <c r="B18" s="1223" t="s">
        <v>1409</v>
      </c>
      <c r="C18" s="1223" t="s">
        <v>1231</v>
      </c>
      <c r="D18" s="1223" t="s">
        <v>1409</v>
      </c>
    </row>
    <row r="19" spans="1:4" ht="12.75" customHeight="1" x14ac:dyDescent="0.2">
      <c r="A19" s="1225" t="s">
        <v>1248</v>
      </c>
      <c r="B19" s="1223" t="s">
        <v>1231</v>
      </c>
      <c r="C19" s="1223" t="s">
        <v>1231</v>
      </c>
      <c r="D19" s="1223" t="s">
        <v>1231</v>
      </c>
    </row>
    <row r="20" spans="1:4" ht="12.75" customHeight="1" x14ac:dyDescent="0.2">
      <c r="A20" s="1225" t="s">
        <v>1250</v>
      </c>
      <c r="B20" s="1223" t="s">
        <v>1409</v>
      </c>
      <c r="C20" s="1223" t="s">
        <v>1231</v>
      </c>
      <c r="D20" s="1223" t="s">
        <v>1409</v>
      </c>
    </row>
    <row r="21" spans="1:4" ht="12.75" customHeight="1" x14ac:dyDescent="0.2">
      <c r="A21" s="1225" t="s">
        <v>1252</v>
      </c>
      <c r="B21" s="1223" t="s">
        <v>1231</v>
      </c>
      <c r="C21" s="1223" t="s">
        <v>1231</v>
      </c>
      <c r="D21" s="1223" t="s">
        <v>1231</v>
      </c>
    </row>
    <row r="22" spans="1:4" ht="12.75" customHeight="1" x14ac:dyDescent="0.2">
      <c r="A22" s="1225" t="s">
        <v>1254</v>
      </c>
      <c r="B22" s="1223" t="s">
        <v>1231</v>
      </c>
      <c r="C22" s="1223" t="s">
        <v>1231</v>
      </c>
      <c r="D22" s="1223" t="s">
        <v>1231</v>
      </c>
    </row>
    <row r="23" spans="1:4" ht="12.75" customHeight="1" x14ac:dyDescent="0.2">
      <c r="A23" s="1225" t="s">
        <v>1256</v>
      </c>
      <c r="B23" s="1223" t="s">
        <v>1231</v>
      </c>
      <c r="C23" s="1223" t="s">
        <v>1231</v>
      </c>
      <c r="D23" s="1223" t="s">
        <v>1231</v>
      </c>
    </row>
    <row r="24" spans="1:4" ht="12.75" customHeight="1" x14ac:dyDescent="0.2">
      <c r="A24" s="1225" t="s">
        <v>1257</v>
      </c>
      <c r="B24" s="1223" t="s">
        <v>1231</v>
      </c>
      <c r="C24" s="1223" t="s">
        <v>1231</v>
      </c>
      <c r="D24" s="1223" t="s">
        <v>1231</v>
      </c>
    </row>
    <row r="25" spans="1:4" ht="12.75" customHeight="1" x14ac:dyDescent="0.2">
      <c r="A25" s="1233" t="s">
        <v>1258</v>
      </c>
      <c r="B25" s="1234" t="s">
        <v>1409</v>
      </c>
      <c r="C25" s="1234" t="s">
        <v>1231</v>
      </c>
      <c r="D25" s="1234" t="s">
        <v>1409</v>
      </c>
    </row>
    <row r="26" spans="1:4" ht="23.85" customHeight="1" x14ac:dyDescent="0.2">
      <c r="A26" s="1225" t="s">
        <v>1259</v>
      </c>
      <c r="B26" s="1223" t="s">
        <v>1231</v>
      </c>
      <c r="C26" s="1223" t="s">
        <v>1231</v>
      </c>
      <c r="D26" s="1223" t="s">
        <v>1231</v>
      </c>
    </row>
    <row r="27" spans="1:4" ht="12.75" customHeight="1" x14ac:dyDescent="0.2">
      <c r="A27" s="1225" t="s">
        <v>1260</v>
      </c>
      <c r="B27" s="1223" t="s">
        <v>1231</v>
      </c>
      <c r="C27" s="1223" t="s">
        <v>1231</v>
      </c>
      <c r="D27" s="1223" t="s">
        <v>1231</v>
      </c>
    </row>
    <row r="28" spans="1:4" ht="12.75" customHeight="1" x14ac:dyDescent="0.2">
      <c r="A28" s="1225" t="s">
        <v>1261</v>
      </c>
      <c r="B28" s="1223" t="s">
        <v>1231</v>
      </c>
      <c r="C28" s="1223" t="s">
        <v>1231</v>
      </c>
      <c r="D28" s="1223" t="s">
        <v>1231</v>
      </c>
    </row>
    <row r="29" spans="1:4" ht="12.75" customHeight="1" x14ac:dyDescent="0.2">
      <c r="A29" s="1225" t="s">
        <v>1262</v>
      </c>
      <c r="B29" s="1223" t="s">
        <v>1231</v>
      </c>
      <c r="C29" s="1223" t="s">
        <v>1231</v>
      </c>
      <c r="D29" s="1223" t="s">
        <v>1231</v>
      </c>
    </row>
    <row r="30" spans="1:4" ht="12.75" customHeight="1" x14ac:dyDescent="0.2">
      <c r="A30" s="1225" t="s">
        <v>1263</v>
      </c>
      <c r="B30" s="1223" t="s">
        <v>1231</v>
      </c>
      <c r="C30" s="1223" t="s">
        <v>1231</v>
      </c>
      <c r="D30" s="1223" t="s">
        <v>1231</v>
      </c>
    </row>
    <row r="31" spans="1:4" ht="12.75" customHeight="1" x14ac:dyDescent="0.2">
      <c r="A31" s="1233" t="s">
        <v>1264</v>
      </c>
      <c r="B31" s="1234" t="s">
        <v>1231</v>
      </c>
      <c r="C31" s="1234" t="s">
        <v>1231</v>
      </c>
      <c r="D31" s="1234" t="s">
        <v>1231</v>
      </c>
    </row>
    <row r="32" spans="1:4" ht="23.85" customHeight="1" x14ac:dyDescent="0.2">
      <c r="A32" s="1235" t="s">
        <v>1452</v>
      </c>
      <c r="B32" s="1236" t="s">
        <v>1410</v>
      </c>
      <c r="C32" s="1237">
        <f>B32-D32</f>
        <v>516221938</v>
      </c>
      <c r="D32" s="1236" t="s">
        <v>1411</v>
      </c>
    </row>
    <row r="33" spans="1:4" ht="12.75" customHeight="1" x14ac:dyDescent="0.2">
      <c r="A33" s="1225" t="s">
        <v>1266</v>
      </c>
      <c r="B33" s="1223" t="s">
        <v>1231</v>
      </c>
      <c r="C33" s="1223" t="s">
        <v>1231</v>
      </c>
      <c r="D33" s="1223" t="s">
        <v>1231</v>
      </c>
    </row>
    <row r="34" spans="1:4" ht="12.75" customHeight="1" x14ac:dyDescent="0.2">
      <c r="A34" s="1225" t="s">
        <v>1267</v>
      </c>
      <c r="B34" s="1223" t="s">
        <v>1231</v>
      </c>
      <c r="C34" s="1223" t="s">
        <v>1231</v>
      </c>
      <c r="D34" s="1223" t="s">
        <v>1231</v>
      </c>
    </row>
    <row r="35" spans="1:4" ht="12.75" customHeight="1" x14ac:dyDescent="0.2">
      <c r="A35" s="1235" t="s">
        <v>1268</v>
      </c>
      <c r="B35" s="1236" t="s">
        <v>1231</v>
      </c>
      <c r="C35" s="1236" t="s">
        <v>1231</v>
      </c>
      <c r="D35" s="1236" t="s">
        <v>1231</v>
      </c>
    </row>
    <row r="36" spans="1:4" ht="12.75" customHeight="1" x14ac:dyDescent="0.2">
      <c r="A36" s="1225" t="s">
        <v>1269</v>
      </c>
      <c r="B36" s="1223" t="s">
        <v>1231</v>
      </c>
      <c r="C36" s="1223" t="s">
        <v>1231</v>
      </c>
      <c r="D36" s="1223" t="s">
        <v>1231</v>
      </c>
    </row>
    <row r="37" spans="1:4" ht="12.75" customHeight="1" x14ac:dyDescent="0.2">
      <c r="A37" s="1225" t="s">
        <v>1270</v>
      </c>
      <c r="B37" s="1223" t="s">
        <v>1231</v>
      </c>
      <c r="C37" s="1223" t="s">
        <v>1231</v>
      </c>
      <c r="D37" s="1223" t="s">
        <v>1231</v>
      </c>
    </row>
    <row r="38" spans="1:4" ht="12.75" customHeight="1" x14ac:dyDescent="0.2">
      <c r="A38" s="1225" t="s">
        <v>1271</v>
      </c>
      <c r="B38" s="1223" t="s">
        <v>1231</v>
      </c>
      <c r="C38" s="1223" t="s">
        <v>1231</v>
      </c>
      <c r="D38" s="1223" t="s">
        <v>1231</v>
      </c>
    </row>
    <row r="39" spans="1:4" ht="12.75" customHeight="1" x14ac:dyDescent="0.2">
      <c r="A39" s="1225" t="s">
        <v>1272</v>
      </c>
      <c r="B39" s="1223" t="s">
        <v>1412</v>
      </c>
      <c r="C39" s="1238">
        <f>B39-D39</f>
        <v>122575</v>
      </c>
      <c r="D39" s="1223" t="s">
        <v>1413</v>
      </c>
    </row>
    <row r="40" spans="1:4" ht="12.75" customHeight="1" x14ac:dyDescent="0.2">
      <c r="A40" s="1225" t="s">
        <v>1275</v>
      </c>
      <c r="B40" s="1223" t="s">
        <v>1231</v>
      </c>
      <c r="C40" s="1238"/>
      <c r="D40" s="1223" t="s">
        <v>1231</v>
      </c>
    </row>
    <row r="41" spans="1:4" ht="12.75" customHeight="1" x14ac:dyDescent="0.2">
      <c r="A41" s="1225" t="s">
        <v>1276</v>
      </c>
      <c r="B41" s="1223" t="s">
        <v>1231</v>
      </c>
      <c r="C41" s="1238"/>
      <c r="D41" s="1223" t="s">
        <v>1231</v>
      </c>
    </row>
    <row r="42" spans="1:4" ht="12.75" customHeight="1" x14ac:dyDescent="0.2">
      <c r="A42" s="1233" t="s">
        <v>1453</v>
      </c>
      <c r="B42" s="1234" t="s">
        <v>1412</v>
      </c>
      <c r="C42" s="1240">
        <f t="shared" ref="C42" si="0">B42-D42</f>
        <v>122575</v>
      </c>
      <c r="D42" s="1234" t="s">
        <v>1413</v>
      </c>
    </row>
    <row r="43" spans="1:4" ht="12.75" customHeight="1" x14ac:dyDescent="0.2">
      <c r="A43" s="1225" t="s">
        <v>1278</v>
      </c>
      <c r="B43" s="1223" t="s">
        <v>1414</v>
      </c>
      <c r="C43" s="1238">
        <f>D43-B43</f>
        <v>41000945</v>
      </c>
      <c r="D43" s="1223" t="s">
        <v>1415</v>
      </c>
    </row>
    <row r="44" spans="1:4" ht="12.75" customHeight="1" x14ac:dyDescent="0.2">
      <c r="A44" s="1225" t="s">
        <v>1281</v>
      </c>
      <c r="B44" s="1223" t="s">
        <v>1231</v>
      </c>
      <c r="C44" s="1238"/>
      <c r="D44" s="1223" t="s">
        <v>1231</v>
      </c>
    </row>
    <row r="45" spans="1:4" ht="12.75" customHeight="1" x14ac:dyDescent="0.2">
      <c r="A45" s="1233" t="s">
        <v>1454</v>
      </c>
      <c r="B45" s="1234" t="s">
        <v>1414</v>
      </c>
      <c r="C45" s="1240">
        <f t="shared" ref="C45:C51" si="1">D45-B45</f>
        <v>41000945</v>
      </c>
      <c r="D45" s="1234" t="s">
        <v>1415</v>
      </c>
    </row>
    <row r="46" spans="1:4" ht="12.75" customHeight="1" x14ac:dyDescent="0.2">
      <c r="A46" s="1225" t="s">
        <v>1283</v>
      </c>
      <c r="B46" s="1223" t="s">
        <v>1231</v>
      </c>
      <c r="C46" s="1238"/>
      <c r="D46" s="1223" t="s">
        <v>1231</v>
      </c>
    </row>
    <row r="47" spans="1:4" ht="12.75" customHeight="1" x14ac:dyDescent="0.2">
      <c r="A47" s="1225" t="s">
        <v>1284</v>
      </c>
      <c r="B47" s="1223" t="s">
        <v>1231</v>
      </c>
      <c r="C47" s="1238"/>
      <c r="D47" s="1223" t="s">
        <v>1231</v>
      </c>
    </row>
    <row r="48" spans="1:4" ht="12.75" customHeight="1" x14ac:dyDescent="0.2">
      <c r="A48" s="1225" t="s">
        <v>1285</v>
      </c>
      <c r="B48" s="1223" t="s">
        <v>1231</v>
      </c>
      <c r="C48" s="1238"/>
      <c r="D48" s="1223" t="s">
        <v>1231</v>
      </c>
    </row>
    <row r="49" spans="1:4" ht="12.75" customHeight="1" x14ac:dyDescent="0.2">
      <c r="A49" s="1235" t="s">
        <v>1286</v>
      </c>
      <c r="B49" s="1236" t="s">
        <v>1416</v>
      </c>
      <c r="C49" s="1237">
        <f t="shared" si="1"/>
        <v>40878370</v>
      </c>
      <c r="D49" s="1236" t="s">
        <v>1417</v>
      </c>
    </row>
    <row r="50" spans="1:4" ht="23.85" customHeight="1" x14ac:dyDescent="0.2">
      <c r="A50" s="1225" t="s">
        <v>1289</v>
      </c>
      <c r="B50" s="1223" t="s">
        <v>1226</v>
      </c>
      <c r="C50" s="1238">
        <f>D50-B50</f>
        <v>1948093</v>
      </c>
      <c r="D50" s="1223" t="s">
        <v>1418</v>
      </c>
    </row>
    <row r="51" spans="1:4" ht="35.1" customHeight="1" x14ac:dyDescent="0.2">
      <c r="A51" s="1225" t="s">
        <v>1290</v>
      </c>
      <c r="B51" s="1223" t="s">
        <v>1226</v>
      </c>
      <c r="C51" s="1238">
        <f t="shared" si="1"/>
        <v>130465</v>
      </c>
      <c r="D51" s="1223" t="s">
        <v>1419</v>
      </c>
    </row>
    <row r="52" spans="1:4" ht="23.85" customHeight="1" x14ac:dyDescent="0.2">
      <c r="A52" s="1225" t="s">
        <v>1291</v>
      </c>
      <c r="B52" s="1223" t="s">
        <v>1231</v>
      </c>
      <c r="C52" s="1238">
        <v>1739349</v>
      </c>
      <c r="D52" s="1223" t="s">
        <v>1420</v>
      </c>
    </row>
    <row r="53" spans="1:4" ht="23.85" customHeight="1" x14ac:dyDescent="0.2">
      <c r="A53" s="1225" t="s">
        <v>1292</v>
      </c>
      <c r="B53" s="1223" t="s">
        <v>1231</v>
      </c>
      <c r="C53" s="1238">
        <v>78279</v>
      </c>
      <c r="D53" s="1223" t="s">
        <v>1421</v>
      </c>
    </row>
    <row r="54" spans="1:4" ht="23.85" customHeight="1" x14ac:dyDescent="0.2">
      <c r="A54" s="1225" t="s">
        <v>1294</v>
      </c>
      <c r="B54" s="1223" t="s">
        <v>1231</v>
      </c>
      <c r="C54" s="1223" t="s">
        <v>1231</v>
      </c>
      <c r="D54" s="1223" t="s">
        <v>1231</v>
      </c>
    </row>
    <row r="55" spans="1:4" ht="23.85" customHeight="1" x14ac:dyDescent="0.2">
      <c r="A55" s="1225" t="s">
        <v>1295</v>
      </c>
      <c r="B55" s="1223" t="s">
        <v>1231</v>
      </c>
      <c r="C55" s="1223" t="s">
        <v>1231</v>
      </c>
      <c r="D55" s="1223" t="s">
        <v>1231</v>
      </c>
    </row>
    <row r="56" spans="1:4" ht="23.85" customHeight="1" x14ac:dyDescent="0.2">
      <c r="A56" s="1225" t="s">
        <v>1296</v>
      </c>
      <c r="B56" s="1223" t="s">
        <v>1231</v>
      </c>
      <c r="C56" s="1223" t="s">
        <v>1231</v>
      </c>
      <c r="D56" s="1223" t="s">
        <v>1231</v>
      </c>
    </row>
    <row r="57" spans="1:4" ht="23.85" customHeight="1" x14ac:dyDescent="0.2">
      <c r="A57" s="1225" t="s">
        <v>1297</v>
      </c>
      <c r="B57" s="1223" t="s">
        <v>1231</v>
      </c>
      <c r="C57" s="1223" t="s">
        <v>1231</v>
      </c>
      <c r="D57" s="1223" t="s">
        <v>1231</v>
      </c>
    </row>
    <row r="58" spans="1:4" ht="23.85" customHeight="1" x14ac:dyDescent="0.2">
      <c r="A58" s="1245" t="s">
        <v>1298</v>
      </c>
      <c r="B58" s="1246" t="s">
        <v>1226</v>
      </c>
      <c r="C58" s="1247">
        <v>1948093</v>
      </c>
      <c r="D58" s="1246" t="s">
        <v>1418</v>
      </c>
    </row>
    <row r="59" spans="1:4" ht="23.85" customHeight="1" x14ac:dyDescent="0.2">
      <c r="A59" s="1225" t="s">
        <v>1299</v>
      </c>
      <c r="B59" s="1223" t="s">
        <v>1231</v>
      </c>
      <c r="C59" s="1223" t="s">
        <v>1231</v>
      </c>
      <c r="D59" s="1223" t="s">
        <v>1231</v>
      </c>
    </row>
    <row r="60" spans="1:4" ht="23.85" customHeight="1" x14ac:dyDescent="0.2">
      <c r="A60" s="1225" t="s">
        <v>1300</v>
      </c>
      <c r="B60" s="1223" t="s">
        <v>1231</v>
      </c>
      <c r="C60" s="1223" t="s">
        <v>1231</v>
      </c>
      <c r="D60" s="1223" t="s">
        <v>1231</v>
      </c>
    </row>
    <row r="61" spans="1:4" ht="23.85" customHeight="1" x14ac:dyDescent="0.2">
      <c r="A61" s="1225" t="s">
        <v>1301</v>
      </c>
      <c r="B61" s="1223" t="s">
        <v>1231</v>
      </c>
      <c r="C61" s="1223" t="s">
        <v>1231</v>
      </c>
      <c r="D61" s="1223" t="s">
        <v>1231</v>
      </c>
    </row>
    <row r="62" spans="1:4" ht="23.85" customHeight="1" x14ac:dyDescent="0.2">
      <c r="A62" s="1225" t="s">
        <v>1302</v>
      </c>
      <c r="B62" s="1223" t="s">
        <v>1231</v>
      </c>
      <c r="C62" s="1223" t="s">
        <v>1231</v>
      </c>
      <c r="D62" s="1223" t="s">
        <v>1231</v>
      </c>
    </row>
    <row r="63" spans="1:4" ht="23.85" customHeight="1" x14ac:dyDescent="0.2">
      <c r="A63" s="1225" t="s">
        <v>1303</v>
      </c>
      <c r="B63" s="1223" t="s">
        <v>1231</v>
      </c>
      <c r="C63" s="1223" t="s">
        <v>1231</v>
      </c>
      <c r="D63" s="1223" t="s">
        <v>1231</v>
      </c>
    </row>
    <row r="64" spans="1:4" ht="23.85" customHeight="1" x14ac:dyDescent="0.2">
      <c r="A64" s="1225" t="s">
        <v>1304</v>
      </c>
      <c r="B64" s="1223" t="s">
        <v>1231</v>
      </c>
      <c r="C64" s="1223" t="s">
        <v>1231</v>
      </c>
      <c r="D64" s="1223" t="s">
        <v>1231</v>
      </c>
    </row>
    <row r="65" spans="1:4" ht="23.85" customHeight="1" x14ac:dyDescent="0.2">
      <c r="A65" s="1225" t="s">
        <v>1305</v>
      </c>
      <c r="B65" s="1223" t="s">
        <v>1231</v>
      </c>
      <c r="C65" s="1223" t="s">
        <v>1231</v>
      </c>
      <c r="D65" s="1223" t="s">
        <v>1231</v>
      </c>
    </row>
    <row r="66" spans="1:4" ht="23.85" customHeight="1" x14ac:dyDescent="0.2">
      <c r="A66" s="1225" t="s">
        <v>1306</v>
      </c>
      <c r="B66" s="1223" t="s">
        <v>1231</v>
      </c>
      <c r="C66" s="1223" t="s">
        <v>1231</v>
      </c>
      <c r="D66" s="1223" t="s">
        <v>1231</v>
      </c>
    </row>
    <row r="67" spans="1:4" ht="23.85" customHeight="1" x14ac:dyDescent="0.2">
      <c r="A67" s="1233" t="s">
        <v>1307</v>
      </c>
      <c r="B67" s="1234" t="s">
        <v>1231</v>
      </c>
      <c r="C67" s="1234" t="s">
        <v>1231</v>
      </c>
      <c r="D67" s="1234" t="s">
        <v>1231</v>
      </c>
    </row>
    <row r="68" spans="1:4" ht="12.75" customHeight="1" x14ac:dyDescent="0.2">
      <c r="A68" s="1225" t="s">
        <v>1308</v>
      </c>
      <c r="B68" s="1223" t="s">
        <v>1422</v>
      </c>
      <c r="C68" s="1238">
        <f>D68-B68</f>
        <v>-483567</v>
      </c>
      <c r="D68" s="1223" t="s">
        <v>1423</v>
      </c>
    </row>
    <row r="69" spans="1:4" ht="12.75" customHeight="1" x14ac:dyDescent="0.2">
      <c r="A69" s="1225" t="s">
        <v>1311</v>
      </c>
      <c r="B69" s="1223" t="s">
        <v>1422</v>
      </c>
      <c r="C69" s="1238">
        <f t="shared" ref="C69:C71" si="2">D69-B69</f>
        <v>-483567</v>
      </c>
      <c r="D69" s="1223" t="s">
        <v>1423</v>
      </c>
    </row>
    <row r="70" spans="1:4" ht="12.75" customHeight="1" x14ac:dyDescent="0.2">
      <c r="A70" s="1233" t="s">
        <v>1312</v>
      </c>
      <c r="B70" s="1234" t="s">
        <v>1422</v>
      </c>
      <c r="C70" s="1240">
        <f t="shared" si="2"/>
        <v>-483567</v>
      </c>
      <c r="D70" s="1234" t="s">
        <v>1423</v>
      </c>
    </row>
    <row r="71" spans="1:4" ht="12.75" customHeight="1" x14ac:dyDescent="0.2">
      <c r="A71" s="1235" t="s">
        <v>1313</v>
      </c>
      <c r="B71" s="1236" t="s">
        <v>1424</v>
      </c>
      <c r="C71" s="1237">
        <f t="shared" si="2"/>
        <v>1464526</v>
      </c>
      <c r="D71" s="1236" t="s">
        <v>1425</v>
      </c>
    </row>
    <row r="72" spans="1:4" ht="23.85" customHeight="1" x14ac:dyDescent="0.2">
      <c r="A72" s="1233" t="s">
        <v>1314</v>
      </c>
      <c r="B72" s="1234" t="s">
        <v>1231</v>
      </c>
      <c r="C72" s="1234" t="s">
        <v>1231</v>
      </c>
      <c r="D72" s="1234" t="s">
        <v>1231</v>
      </c>
    </row>
    <row r="73" spans="1:4" ht="12.75" customHeight="1" x14ac:dyDescent="0.2">
      <c r="A73" s="1233" t="s">
        <v>1315</v>
      </c>
      <c r="B73" s="1223" t="s">
        <v>1231</v>
      </c>
      <c r="C73" s="1223" t="s">
        <v>1231</v>
      </c>
      <c r="D73" s="1223" t="s">
        <v>1231</v>
      </c>
    </row>
    <row r="74" spans="1:4" ht="12.75" customHeight="1" x14ac:dyDescent="0.2">
      <c r="A74" s="1233" t="s">
        <v>1316</v>
      </c>
      <c r="B74" s="1223" t="s">
        <v>1231</v>
      </c>
      <c r="C74" s="1223" t="s">
        <v>1231</v>
      </c>
      <c r="D74" s="1223" t="s">
        <v>1231</v>
      </c>
    </row>
    <row r="75" spans="1:4" ht="23.85" customHeight="1" x14ac:dyDescent="0.2">
      <c r="A75" s="1235" t="s">
        <v>1317</v>
      </c>
      <c r="B75" s="1236" t="s">
        <v>1231</v>
      </c>
      <c r="C75" s="1236" t="s">
        <v>1231</v>
      </c>
      <c r="D75" s="1236" t="s">
        <v>1231</v>
      </c>
    </row>
    <row r="76" spans="1:4" ht="12.75" customHeight="1" x14ac:dyDescent="0.2">
      <c r="A76" s="1235" t="s">
        <v>1321</v>
      </c>
      <c r="B76" s="1223" t="s">
        <v>1231</v>
      </c>
      <c r="C76" s="1223" t="s">
        <v>1231</v>
      </c>
      <c r="D76" s="1223" t="s">
        <v>1231</v>
      </c>
    </row>
    <row r="77" spans="1:4" ht="12.75" customHeight="1" x14ac:dyDescent="0.2">
      <c r="A77" s="1241" t="s">
        <v>1322</v>
      </c>
      <c r="B77" s="1242" t="s">
        <v>1426</v>
      </c>
      <c r="C77" s="1243">
        <f>D77-B77</f>
        <v>-473879042</v>
      </c>
      <c r="D77" s="1242" t="s">
        <v>1427</v>
      </c>
    </row>
    <row r="78" spans="1:4" ht="12.75" customHeight="1" x14ac:dyDescent="0.2">
      <c r="A78" s="1225" t="s">
        <v>1325</v>
      </c>
      <c r="B78" s="1223" t="s">
        <v>1428</v>
      </c>
      <c r="C78" s="1223"/>
      <c r="D78" s="1223" t="s">
        <v>1428</v>
      </c>
    </row>
    <row r="79" spans="1:4" ht="12.75" customHeight="1" x14ac:dyDescent="0.2">
      <c r="A79" s="1225" t="s">
        <v>1326</v>
      </c>
      <c r="B79" s="1223" t="s">
        <v>1231</v>
      </c>
      <c r="C79" s="1223"/>
      <c r="D79" s="1223" t="s">
        <v>1231</v>
      </c>
    </row>
    <row r="80" spans="1:4" ht="12.75" customHeight="1" x14ac:dyDescent="0.2">
      <c r="A80" s="1225" t="s">
        <v>1327</v>
      </c>
      <c r="B80" s="1223" t="s">
        <v>1231</v>
      </c>
      <c r="C80" s="1223" t="s">
        <v>1231</v>
      </c>
      <c r="D80" s="1223" t="s">
        <v>1231</v>
      </c>
    </row>
    <row r="81" spans="1:4" ht="12.75" customHeight="1" x14ac:dyDescent="0.2">
      <c r="A81" s="1225" t="s">
        <v>1328</v>
      </c>
      <c r="B81" s="1223" t="s">
        <v>1231</v>
      </c>
      <c r="C81" s="1223" t="s">
        <v>1231</v>
      </c>
      <c r="D81" s="1223" t="s">
        <v>1231</v>
      </c>
    </row>
    <row r="82" spans="1:4" ht="23.85" customHeight="1" x14ac:dyDescent="0.2">
      <c r="A82" s="1225" t="s">
        <v>1329</v>
      </c>
      <c r="B82" s="1223" t="s">
        <v>1429</v>
      </c>
      <c r="C82" s="1223" t="s">
        <v>1231</v>
      </c>
      <c r="D82" s="1223" t="s">
        <v>1429</v>
      </c>
    </row>
    <row r="83" spans="1:4" ht="35.1" customHeight="1" x14ac:dyDescent="0.2">
      <c r="A83" s="1225" t="s">
        <v>1331</v>
      </c>
      <c r="B83" s="1223" t="s">
        <v>1429</v>
      </c>
      <c r="C83" s="1223" t="s">
        <v>1231</v>
      </c>
      <c r="D83" s="1223" t="s">
        <v>1429</v>
      </c>
    </row>
    <row r="84" spans="1:4" ht="12.75" customHeight="1" x14ac:dyDescent="0.2">
      <c r="A84" s="1225" t="s">
        <v>1332</v>
      </c>
      <c r="B84" s="1223" t="s">
        <v>1430</v>
      </c>
      <c r="C84" s="1238">
        <f>D84-B84</f>
        <v>123727671</v>
      </c>
      <c r="D84" s="1223" t="s">
        <v>1431</v>
      </c>
    </row>
    <row r="85" spans="1:4" ht="12.75" customHeight="1" x14ac:dyDescent="0.2">
      <c r="A85" s="1225" t="s">
        <v>1335</v>
      </c>
      <c r="B85" s="1223" t="s">
        <v>1231</v>
      </c>
      <c r="C85" s="1238" t="s">
        <v>1231</v>
      </c>
      <c r="D85" s="1223" t="s">
        <v>1231</v>
      </c>
    </row>
    <row r="86" spans="1:4" ht="12.75" customHeight="1" x14ac:dyDescent="0.2">
      <c r="A86" s="1225" t="s">
        <v>1336</v>
      </c>
      <c r="B86" s="1223" t="s">
        <v>1432</v>
      </c>
      <c r="C86" s="1238">
        <f>D86-B86</f>
        <v>-605550727</v>
      </c>
      <c r="D86" s="1223" t="s">
        <v>1433</v>
      </c>
    </row>
    <row r="87" spans="1:4" ht="12.75" customHeight="1" x14ac:dyDescent="0.2">
      <c r="A87" s="1235" t="s">
        <v>1339</v>
      </c>
      <c r="B87" s="1236" t="s">
        <v>1434</v>
      </c>
      <c r="C87" s="1237">
        <f>D87-B87</f>
        <v>-481823056</v>
      </c>
      <c r="D87" s="1236" t="s">
        <v>1435</v>
      </c>
    </row>
    <row r="88" spans="1:4" ht="23.85" customHeight="1" x14ac:dyDescent="0.2">
      <c r="A88" s="1225" t="s">
        <v>1341</v>
      </c>
      <c r="B88" s="1223" t="s">
        <v>1231</v>
      </c>
      <c r="C88" s="1223" t="s">
        <v>1231</v>
      </c>
      <c r="D88" s="1223" t="s">
        <v>1231</v>
      </c>
    </row>
    <row r="89" spans="1:4" ht="12.75" customHeight="1" x14ac:dyDescent="0.2">
      <c r="A89" s="1225" t="s">
        <v>1342</v>
      </c>
      <c r="B89" s="1223" t="s">
        <v>1231</v>
      </c>
      <c r="C89" s="1223" t="s">
        <v>1231</v>
      </c>
      <c r="D89" s="1223" t="s">
        <v>1231</v>
      </c>
    </row>
    <row r="90" spans="1:4" ht="23.85" customHeight="1" x14ac:dyDescent="0.2">
      <c r="A90" s="1225" t="s">
        <v>1343</v>
      </c>
      <c r="B90" s="1223" t="s">
        <v>1436</v>
      </c>
      <c r="C90" s="1238">
        <f>D90-B90</f>
        <v>603417</v>
      </c>
      <c r="D90" s="1223" t="s">
        <v>1437</v>
      </c>
    </row>
    <row r="91" spans="1:4" ht="35.1" customHeight="1" x14ac:dyDescent="0.2">
      <c r="A91" s="1225" t="s">
        <v>1344</v>
      </c>
      <c r="B91" s="1223" t="s">
        <v>1436</v>
      </c>
      <c r="C91" s="1238">
        <v>603417</v>
      </c>
      <c r="D91" s="1223" t="s">
        <v>1437</v>
      </c>
    </row>
    <row r="92" spans="1:4" ht="23.85" customHeight="1" x14ac:dyDescent="0.2">
      <c r="A92" s="1233" t="s">
        <v>1367</v>
      </c>
      <c r="B92" s="1234" t="s">
        <v>1436</v>
      </c>
      <c r="C92" s="1240">
        <v>603417</v>
      </c>
      <c r="D92" s="1234" t="s">
        <v>1437</v>
      </c>
    </row>
    <row r="93" spans="1:4" ht="12.75" customHeight="1" x14ac:dyDescent="0.2">
      <c r="A93" s="1225" t="s">
        <v>1345</v>
      </c>
      <c r="B93" s="1223" t="s">
        <v>1438</v>
      </c>
      <c r="C93" s="1238">
        <f>D93-B93</f>
        <v>4195582</v>
      </c>
      <c r="D93" s="1223" t="s">
        <v>1439</v>
      </c>
    </row>
    <row r="94" spans="1:4" ht="12.75" customHeight="1" x14ac:dyDescent="0.2">
      <c r="A94" s="1225" t="s">
        <v>1346</v>
      </c>
      <c r="B94" s="1223" t="s">
        <v>1231</v>
      </c>
      <c r="C94" s="1238"/>
      <c r="D94" s="1223" t="s">
        <v>1231</v>
      </c>
    </row>
    <row r="95" spans="1:4" ht="12.75" customHeight="1" x14ac:dyDescent="0.2">
      <c r="A95" s="1225" t="s">
        <v>1347</v>
      </c>
      <c r="B95" s="1223" t="s">
        <v>1440</v>
      </c>
      <c r="C95" s="1238">
        <f t="shared" ref="C95" si="3">D95-B95</f>
        <v>524702</v>
      </c>
      <c r="D95" s="1223" t="s">
        <v>1441</v>
      </c>
    </row>
    <row r="96" spans="1:4" ht="12.75" customHeight="1" x14ac:dyDescent="0.2">
      <c r="A96" s="1225" t="s">
        <v>1348</v>
      </c>
      <c r="B96" s="1223" t="s">
        <v>1231</v>
      </c>
      <c r="C96" s="1223"/>
      <c r="D96" s="1223" t="s">
        <v>1231</v>
      </c>
    </row>
    <row r="97" spans="1:4" ht="35.1" customHeight="1" x14ac:dyDescent="0.2">
      <c r="A97" s="1225" t="s">
        <v>1349</v>
      </c>
      <c r="B97" s="1223" t="s">
        <v>1231</v>
      </c>
      <c r="C97" s="1223"/>
      <c r="D97" s="1223" t="s">
        <v>1231</v>
      </c>
    </row>
    <row r="98" spans="1:4" ht="23.85" customHeight="1" x14ac:dyDescent="0.2">
      <c r="A98" s="1225" t="s">
        <v>1350</v>
      </c>
      <c r="B98" s="1223" t="s">
        <v>1231</v>
      </c>
      <c r="C98" s="1223"/>
      <c r="D98" s="1223" t="s">
        <v>1231</v>
      </c>
    </row>
    <row r="99" spans="1:4" ht="12.75" customHeight="1" x14ac:dyDescent="0.2">
      <c r="A99" s="1225" t="s">
        <v>1351</v>
      </c>
      <c r="B99" s="1223" t="s">
        <v>1231</v>
      </c>
      <c r="C99" s="1223"/>
      <c r="D99" s="1223" t="s">
        <v>1231</v>
      </c>
    </row>
    <row r="100" spans="1:4" ht="12.75" customHeight="1" x14ac:dyDescent="0.2">
      <c r="A100" s="1225" t="s">
        <v>1352</v>
      </c>
      <c r="B100" s="1223" t="s">
        <v>1442</v>
      </c>
      <c r="C100" s="1223"/>
      <c r="D100" s="1223" t="s">
        <v>1442</v>
      </c>
    </row>
    <row r="101" spans="1:4" ht="12.75" customHeight="1" x14ac:dyDescent="0.2">
      <c r="A101" s="1225" t="s">
        <v>1353</v>
      </c>
      <c r="B101" s="1223" t="s">
        <v>1231</v>
      </c>
      <c r="C101" s="1223" t="s">
        <v>1231</v>
      </c>
      <c r="D101" s="1223" t="s">
        <v>1231</v>
      </c>
    </row>
    <row r="102" spans="1:4" ht="12.75" customHeight="1" x14ac:dyDescent="0.2">
      <c r="A102" s="1225" t="s">
        <v>1354</v>
      </c>
      <c r="B102" s="1223" t="s">
        <v>1231</v>
      </c>
      <c r="C102" s="1223" t="s">
        <v>1231</v>
      </c>
      <c r="D102" s="1223" t="s">
        <v>1231</v>
      </c>
    </row>
    <row r="103" spans="1:4" ht="12.75" customHeight="1" x14ac:dyDescent="0.2">
      <c r="A103" s="1233" t="s">
        <v>1355</v>
      </c>
      <c r="B103" s="1234" t="s">
        <v>1443</v>
      </c>
      <c r="C103" s="1240">
        <f>D103-B103</f>
        <v>4720284</v>
      </c>
      <c r="D103" s="1234" t="s">
        <v>1444</v>
      </c>
    </row>
    <row r="104" spans="1:4" ht="12.75" customHeight="1" x14ac:dyDescent="0.2">
      <c r="A104" s="1235" t="s">
        <v>1356</v>
      </c>
      <c r="B104" s="1236" t="s">
        <v>1445</v>
      </c>
      <c r="C104" s="1237">
        <f t="shared" ref="C104:C110" si="4">D104-B104</f>
        <v>5323701</v>
      </c>
      <c r="D104" s="1236" t="s">
        <v>1446</v>
      </c>
    </row>
    <row r="105" spans="1:4" ht="12.75" customHeight="1" x14ac:dyDescent="0.2">
      <c r="A105" s="1235" t="s">
        <v>1357</v>
      </c>
      <c r="B105" s="1236" t="s">
        <v>1231</v>
      </c>
      <c r="C105" s="1240"/>
      <c r="D105" s="1236" t="s">
        <v>1231</v>
      </c>
    </row>
    <row r="106" spans="1:4" ht="12.75" customHeight="1" x14ac:dyDescent="0.2">
      <c r="A106" s="1225" t="s">
        <v>1358</v>
      </c>
      <c r="B106" s="1223" t="s">
        <v>1231</v>
      </c>
      <c r="C106" s="1240"/>
      <c r="D106" s="1223" t="s">
        <v>1231</v>
      </c>
    </row>
    <row r="107" spans="1:4" ht="12.75" customHeight="1" x14ac:dyDescent="0.2">
      <c r="A107" s="1225" t="s">
        <v>1359</v>
      </c>
      <c r="B107" s="1223" t="s">
        <v>1231</v>
      </c>
      <c r="C107" s="1248">
        <v>2677113</v>
      </c>
      <c r="D107" s="1223" t="s">
        <v>1447</v>
      </c>
    </row>
    <row r="108" spans="1:4" ht="12.75" customHeight="1" x14ac:dyDescent="0.2">
      <c r="A108" s="1225" t="s">
        <v>1361</v>
      </c>
      <c r="B108" s="1223" t="s">
        <v>1231</v>
      </c>
      <c r="C108" s="1240"/>
      <c r="D108" s="1223" t="s">
        <v>1231</v>
      </c>
    </row>
    <row r="109" spans="1:4" ht="12.75" customHeight="1" x14ac:dyDescent="0.2">
      <c r="A109" s="1235" t="s">
        <v>1362</v>
      </c>
      <c r="B109" s="1236" t="s">
        <v>1231</v>
      </c>
      <c r="C109" s="1237">
        <v>2677113</v>
      </c>
      <c r="D109" s="1236" t="s">
        <v>1447</v>
      </c>
    </row>
    <row r="110" spans="1:4" ht="12.75" customHeight="1" x14ac:dyDescent="0.2">
      <c r="A110" s="1241" t="s">
        <v>1363</v>
      </c>
      <c r="B110" s="1242" t="s">
        <v>1448</v>
      </c>
      <c r="C110" s="1240">
        <f t="shared" si="4"/>
        <v>-473822242</v>
      </c>
      <c r="D110" s="1242" t="s">
        <v>1427</v>
      </c>
    </row>
    <row r="111" spans="1:4" x14ac:dyDescent="0.2">
      <c r="A111" s="1224"/>
      <c r="B111" s="1224"/>
      <c r="C111" s="1224"/>
      <c r="D111" s="1224"/>
    </row>
  </sheetData>
  <sheetProtection selectLockedCells="1" selectUnlockedCells="1"/>
  <mergeCells count="4">
    <mergeCell ref="A1:D1"/>
    <mergeCell ref="A2:D3"/>
    <mergeCell ref="A4:D4"/>
    <mergeCell ref="A5:D5"/>
  </mergeCells>
  <conditionalFormatting sqref="A8:D110">
    <cfRule type="cellIs" dxfId="7" priority="1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6"/>
  <sheetViews>
    <sheetView tabSelected="1" view="pageBreakPreview" zoomScaleNormal="100" zoomScaleSheetLayoutView="100" workbookViewId="0">
      <selection sqref="A1:E1"/>
    </sheetView>
  </sheetViews>
  <sheetFormatPr defaultColWidth="10.5" defaultRowHeight="12.75" x14ac:dyDescent="0.2"/>
  <cols>
    <col min="1" max="1" width="66.6640625" style="1222" customWidth="1"/>
    <col min="2" max="2" width="12.5" style="1222" customWidth="1"/>
    <col min="3" max="5" width="17.83203125" style="1222" customWidth="1"/>
    <col min="6" max="213" width="10.5" style="1222"/>
    <col min="214" max="214" width="8.33203125" style="1222" customWidth="1"/>
    <col min="215" max="219" width="3.83203125" style="1222" customWidth="1"/>
    <col min="220" max="220" width="4.5" style="1222" customWidth="1"/>
    <col min="221" max="224" width="3.83203125" style="1222" customWidth="1"/>
    <col min="225" max="225" width="4.5" style="1222" customWidth="1"/>
    <col min="226" max="260" width="3.83203125" style="1222" customWidth="1"/>
    <col min="261" max="469" width="10.5" style="1222"/>
    <col min="470" max="470" width="8.33203125" style="1222" customWidth="1"/>
    <col min="471" max="475" width="3.83203125" style="1222" customWidth="1"/>
    <col min="476" max="476" width="4.5" style="1222" customWidth="1"/>
    <col min="477" max="480" width="3.83203125" style="1222" customWidth="1"/>
    <col min="481" max="481" width="4.5" style="1222" customWidth="1"/>
    <col min="482" max="516" width="3.83203125" style="1222" customWidth="1"/>
    <col min="517" max="725" width="10.5" style="1222"/>
    <col min="726" max="726" width="8.33203125" style="1222" customWidth="1"/>
    <col min="727" max="731" width="3.83203125" style="1222" customWidth="1"/>
    <col min="732" max="732" width="4.5" style="1222" customWidth="1"/>
    <col min="733" max="736" width="3.83203125" style="1222" customWidth="1"/>
    <col min="737" max="737" width="4.5" style="1222" customWidth="1"/>
    <col min="738" max="772" width="3.83203125" style="1222" customWidth="1"/>
    <col min="773" max="981" width="10.5" style="1222"/>
    <col min="982" max="982" width="8.33203125" style="1222" customWidth="1"/>
    <col min="983" max="987" width="3.83203125" style="1222" customWidth="1"/>
    <col min="988" max="988" width="4.5" style="1222" customWidth="1"/>
    <col min="989" max="992" width="3.83203125" style="1222" customWidth="1"/>
    <col min="993" max="993" width="4.5" style="1222" customWidth="1"/>
    <col min="994" max="1028" width="3.83203125" style="1222" customWidth="1"/>
    <col min="1029" max="1237" width="10.5" style="1222"/>
    <col min="1238" max="1238" width="8.33203125" style="1222" customWidth="1"/>
    <col min="1239" max="1243" width="3.83203125" style="1222" customWidth="1"/>
    <col min="1244" max="1244" width="4.5" style="1222" customWidth="1"/>
    <col min="1245" max="1248" width="3.83203125" style="1222" customWidth="1"/>
    <col min="1249" max="1249" width="4.5" style="1222" customWidth="1"/>
    <col min="1250" max="1284" width="3.83203125" style="1222" customWidth="1"/>
    <col min="1285" max="1493" width="10.5" style="1222"/>
    <col min="1494" max="1494" width="8.33203125" style="1222" customWidth="1"/>
    <col min="1495" max="1499" width="3.83203125" style="1222" customWidth="1"/>
    <col min="1500" max="1500" width="4.5" style="1222" customWidth="1"/>
    <col min="1501" max="1504" width="3.83203125" style="1222" customWidth="1"/>
    <col min="1505" max="1505" width="4.5" style="1222" customWidth="1"/>
    <col min="1506" max="1540" width="3.83203125" style="1222" customWidth="1"/>
    <col min="1541" max="1749" width="10.5" style="1222"/>
    <col min="1750" max="1750" width="8.33203125" style="1222" customWidth="1"/>
    <col min="1751" max="1755" width="3.83203125" style="1222" customWidth="1"/>
    <col min="1756" max="1756" width="4.5" style="1222" customWidth="1"/>
    <col min="1757" max="1760" width="3.83203125" style="1222" customWidth="1"/>
    <col min="1761" max="1761" width="4.5" style="1222" customWidth="1"/>
    <col min="1762" max="1796" width="3.83203125" style="1222" customWidth="1"/>
    <col min="1797" max="2005" width="10.5" style="1222"/>
    <col min="2006" max="2006" width="8.33203125" style="1222" customWidth="1"/>
    <col min="2007" max="2011" width="3.83203125" style="1222" customWidth="1"/>
    <col min="2012" max="2012" width="4.5" style="1222" customWidth="1"/>
    <col min="2013" max="2016" width="3.83203125" style="1222" customWidth="1"/>
    <col min="2017" max="2017" width="4.5" style="1222" customWidth="1"/>
    <col min="2018" max="2052" width="3.83203125" style="1222" customWidth="1"/>
    <col min="2053" max="2261" width="10.5" style="1222"/>
    <col min="2262" max="2262" width="8.33203125" style="1222" customWidth="1"/>
    <col min="2263" max="2267" width="3.83203125" style="1222" customWidth="1"/>
    <col min="2268" max="2268" width="4.5" style="1222" customWidth="1"/>
    <col min="2269" max="2272" width="3.83203125" style="1222" customWidth="1"/>
    <col min="2273" max="2273" width="4.5" style="1222" customWidth="1"/>
    <col min="2274" max="2308" width="3.83203125" style="1222" customWidth="1"/>
    <col min="2309" max="2517" width="10.5" style="1222"/>
    <col min="2518" max="2518" width="8.33203125" style="1222" customWidth="1"/>
    <col min="2519" max="2523" width="3.83203125" style="1222" customWidth="1"/>
    <col min="2524" max="2524" width="4.5" style="1222" customWidth="1"/>
    <col min="2525" max="2528" width="3.83203125" style="1222" customWidth="1"/>
    <col min="2529" max="2529" width="4.5" style="1222" customWidth="1"/>
    <col min="2530" max="2564" width="3.83203125" style="1222" customWidth="1"/>
    <col min="2565" max="2773" width="10.5" style="1222"/>
    <col min="2774" max="2774" width="8.33203125" style="1222" customWidth="1"/>
    <col min="2775" max="2779" width="3.83203125" style="1222" customWidth="1"/>
    <col min="2780" max="2780" width="4.5" style="1222" customWidth="1"/>
    <col min="2781" max="2784" width="3.83203125" style="1222" customWidth="1"/>
    <col min="2785" max="2785" width="4.5" style="1222" customWidth="1"/>
    <col min="2786" max="2820" width="3.83203125" style="1222" customWidth="1"/>
    <col min="2821" max="3029" width="10.5" style="1222"/>
    <col min="3030" max="3030" width="8.33203125" style="1222" customWidth="1"/>
    <col min="3031" max="3035" width="3.83203125" style="1222" customWidth="1"/>
    <col min="3036" max="3036" width="4.5" style="1222" customWidth="1"/>
    <col min="3037" max="3040" width="3.83203125" style="1222" customWidth="1"/>
    <col min="3041" max="3041" width="4.5" style="1222" customWidth="1"/>
    <col min="3042" max="3076" width="3.83203125" style="1222" customWidth="1"/>
    <col min="3077" max="3285" width="10.5" style="1222"/>
    <col min="3286" max="3286" width="8.33203125" style="1222" customWidth="1"/>
    <col min="3287" max="3291" width="3.83203125" style="1222" customWidth="1"/>
    <col min="3292" max="3292" width="4.5" style="1222" customWidth="1"/>
    <col min="3293" max="3296" width="3.83203125" style="1222" customWidth="1"/>
    <col min="3297" max="3297" width="4.5" style="1222" customWidth="1"/>
    <col min="3298" max="3332" width="3.83203125" style="1222" customWidth="1"/>
    <col min="3333" max="3541" width="10.5" style="1222"/>
    <col min="3542" max="3542" width="8.33203125" style="1222" customWidth="1"/>
    <col min="3543" max="3547" width="3.83203125" style="1222" customWidth="1"/>
    <col min="3548" max="3548" width="4.5" style="1222" customWidth="1"/>
    <col min="3549" max="3552" width="3.83203125" style="1222" customWidth="1"/>
    <col min="3553" max="3553" width="4.5" style="1222" customWidth="1"/>
    <col min="3554" max="3588" width="3.83203125" style="1222" customWidth="1"/>
    <col min="3589" max="3797" width="10.5" style="1222"/>
    <col min="3798" max="3798" width="8.33203125" style="1222" customWidth="1"/>
    <col min="3799" max="3803" width="3.83203125" style="1222" customWidth="1"/>
    <col min="3804" max="3804" width="4.5" style="1222" customWidth="1"/>
    <col min="3805" max="3808" width="3.83203125" style="1222" customWidth="1"/>
    <col min="3809" max="3809" width="4.5" style="1222" customWidth="1"/>
    <col min="3810" max="3844" width="3.83203125" style="1222" customWidth="1"/>
    <col min="3845" max="4053" width="10.5" style="1222"/>
    <col min="4054" max="4054" width="8.33203125" style="1222" customWidth="1"/>
    <col min="4055" max="4059" width="3.83203125" style="1222" customWidth="1"/>
    <col min="4060" max="4060" width="4.5" style="1222" customWidth="1"/>
    <col min="4061" max="4064" width="3.83203125" style="1222" customWidth="1"/>
    <col min="4065" max="4065" width="4.5" style="1222" customWidth="1"/>
    <col min="4066" max="4100" width="3.83203125" style="1222" customWidth="1"/>
    <col min="4101" max="4309" width="10.5" style="1222"/>
    <col min="4310" max="4310" width="8.33203125" style="1222" customWidth="1"/>
    <col min="4311" max="4315" width="3.83203125" style="1222" customWidth="1"/>
    <col min="4316" max="4316" width="4.5" style="1222" customWidth="1"/>
    <col min="4317" max="4320" width="3.83203125" style="1222" customWidth="1"/>
    <col min="4321" max="4321" width="4.5" style="1222" customWidth="1"/>
    <col min="4322" max="4356" width="3.83203125" style="1222" customWidth="1"/>
    <col min="4357" max="4565" width="10.5" style="1222"/>
    <col min="4566" max="4566" width="8.33203125" style="1222" customWidth="1"/>
    <col min="4567" max="4571" width="3.83203125" style="1222" customWidth="1"/>
    <col min="4572" max="4572" width="4.5" style="1222" customWidth="1"/>
    <col min="4573" max="4576" width="3.83203125" style="1222" customWidth="1"/>
    <col min="4577" max="4577" width="4.5" style="1222" customWidth="1"/>
    <col min="4578" max="4612" width="3.83203125" style="1222" customWidth="1"/>
    <col min="4613" max="4821" width="10.5" style="1222"/>
    <col min="4822" max="4822" width="8.33203125" style="1222" customWidth="1"/>
    <col min="4823" max="4827" width="3.83203125" style="1222" customWidth="1"/>
    <col min="4828" max="4828" width="4.5" style="1222" customWidth="1"/>
    <col min="4829" max="4832" width="3.83203125" style="1222" customWidth="1"/>
    <col min="4833" max="4833" width="4.5" style="1222" customWidth="1"/>
    <col min="4834" max="4868" width="3.83203125" style="1222" customWidth="1"/>
    <col min="4869" max="5077" width="10.5" style="1222"/>
    <col min="5078" max="5078" width="8.33203125" style="1222" customWidth="1"/>
    <col min="5079" max="5083" width="3.83203125" style="1222" customWidth="1"/>
    <col min="5084" max="5084" width="4.5" style="1222" customWidth="1"/>
    <col min="5085" max="5088" width="3.83203125" style="1222" customWidth="1"/>
    <col min="5089" max="5089" width="4.5" style="1222" customWidth="1"/>
    <col min="5090" max="5124" width="3.83203125" style="1222" customWidth="1"/>
    <col min="5125" max="5333" width="10.5" style="1222"/>
    <col min="5334" max="5334" width="8.33203125" style="1222" customWidth="1"/>
    <col min="5335" max="5339" width="3.83203125" style="1222" customWidth="1"/>
    <col min="5340" max="5340" width="4.5" style="1222" customWidth="1"/>
    <col min="5341" max="5344" width="3.83203125" style="1222" customWidth="1"/>
    <col min="5345" max="5345" width="4.5" style="1222" customWidth="1"/>
    <col min="5346" max="5380" width="3.83203125" style="1222" customWidth="1"/>
    <col min="5381" max="5589" width="10.5" style="1222"/>
    <col min="5590" max="5590" width="8.33203125" style="1222" customWidth="1"/>
    <col min="5591" max="5595" width="3.83203125" style="1222" customWidth="1"/>
    <col min="5596" max="5596" width="4.5" style="1222" customWidth="1"/>
    <col min="5597" max="5600" width="3.83203125" style="1222" customWidth="1"/>
    <col min="5601" max="5601" width="4.5" style="1222" customWidth="1"/>
    <col min="5602" max="5636" width="3.83203125" style="1222" customWidth="1"/>
    <col min="5637" max="5845" width="10.5" style="1222"/>
    <col min="5846" max="5846" width="8.33203125" style="1222" customWidth="1"/>
    <col min="5847" max="5851" width="3.83203125" style="1222" customWidth="1"/>
    <col min="5852" max="5852" width="4.5" style="1222" customWidth="1"/>
    <col min="5853" max="5856" width="3.83203125" style="1222" customWidth="1"/>
    <col min="5857" max="5857" width="4.5" style="1222" customWidth="1"/>
    <col min="5858" max="5892" width="3.83203125" style="1222" customWidth="1"/>
    <col min="5893" max="6101" width="10.5" style="1222"/>
    <col min="6102" max="6102" width="8.33203125" style="1222" customWidth="1"/>
    <col min="6103" max="6107" width="3.83203125" style="1222" customWidth="1"/>
    <col min="6108" max="6108" width="4.5" style="1222" customWidth="1"/>
    <col min="6109" max="6112" width="3.83203125" style="1222" customWidth="1"/>
    <col min="6113" max="6113" width="4.5" style="1222" customWidth="1"/>
    <col min="6114" max="6148" width="3.83203125" style="1222" customWidth="1"/>
    <col min="6149" max="6357" width="10.5" style="1222"/>
    <col min="6358" max="6358" width="8.33203125" style="1222" customWidth="1"/>
    <col min="6359" max="6363" width="3.83203125" style="1222" customWidth="1"/>
    <col min="6364" max="6364" width="4.5" style="1222" customWidth="1"/>
    <col min="6365" max="6368" width="3.83203125" style="1222" customWidth="1"/>
    <col min="6369" max="6369" width="4.5" style="1222" customWidth="1"/>
    <col min="6370" max="6404" width="3.83203125" style="1222" customWidth="1"/>
    <col min="6405" max="6613" width="10.5" style="1222"/>
    <col min="6614" max="6614" width="8.33203125" style="1222" customWidth="1"/>
    <col min="6615" max="6619" width="3.83203125" style="1222" customWidth="1"/>
    <col min="6620" max="6620" width="4.5" style="1222" customWidth="1"/>
    <col min="6621" max="6624" width="3.83203125" style="1222" customWidth="1"/>
    <col min="6625" max="6625" width="4.5" style="1222" customWidth="1"/>
    <col min="6626" max="6660" width="3.83203125" style="1222" customWidth="1"/>
    <col min="6661" max="6869" width="10.5" style="1222"/>
    <col min="6870" max="6870" width="8.33203125" style="1222" customWidth="1"/>
    <col min="6871" max="6875" width="3.83203125" style="1222" customWidth="1"/>
    <col min="6876" max="6876" width="4.5" style="1222" customWidth="1"/>
    <col min="6877" max="6880" width="3.83203125" style="1222" customWidth="1"/>
    <col min="6881" max="6881" width="4.5" style="1222" customWidth="1"/>
    <col min="6882" max="6916" width="3.83203125" style="1222" customWidth="1"/>
    <col min="6917" max="7125" width="10.5" style="1222"/>
    <col min="7126" max="7126" width="8.33203125" style="1222" customWidth="1"/>
    <col min="7127" max="7131" width="3.83203125" style="1222" customWidth="1"/>
    <col min="7132" max="7132" width="4.5" style="1222" customWidth="1"/>
    <col min="7133" max="7136" width="3.83203125" style="1222" customWidth="1"/>
    <col min="7137" max="7137" width="4.5" style="1222" customWidth="1"/>
    <col min="7138" max="7172" width="3.83203125" style="1222" customWidth="1"/>
    <col min="7173" max="7381" width="10.5" style="1222"/>
    <col min="7382" max="7382" width="8.33203125" style="1222" customWidth="1"/>
    <col min="7383" max="7387" width="3.83203125" style="1222" customWidth="1"/>
    <col min="7388" max="7388" width="4.5" style="1222" customWidth="1"/>
    <col min="7389" max="7392" width="3.83203125" style="1222" customWidth="1"/>
    <col min="7393" max="7393" width="4.5" style="1222" customWidth="1"/>
    <col min="7394" max="7428" width="3.83203125" style="1222" customWidth="1"/>
    <col min="7429" max="7637" width="10.5" style="1222"/>
    <col min="7638" max="7638" width="8.33203125" style="1222" customWidth="1"/>
    <col min="7639" max="7643" width="3.83203125" style="1222" customWidth="1"/>
    <col min="7644" max="7644" width="4.5" style="1222" customWidth="1"/>
    <col min="7645" max="7648" width="3.83203125" style="1222" customWidth="1"/>
    <col min="7649" max="7649" width="4.5" style="1222" customWidth="1"/>
    <col min="7650" max="7684" width="3.83203125" style="1222" customWidth="1"/>
    <col min="7685" max="7893" width="10.5" style="1222"/>
    <col min="7894" max="7894" width="8.33203125" style="1222" customWidth="1"/>
    <col min="7895" max="7899" width="3.83203125" style="1222" customWidth="1"/>
    <col min="7900" max="7900" width="4.5" style="1222" customWidth="1"/>
    <col min="7901" max="7904" width="3.83203125" style="1222" customWidth="1"/>
    <col min="7905" max="7905" width="4.5" style="1222" customWidth="1"/>
    <col min="7906" max="7940" width="3.83203125" style="1222" customWidth="1"/>
    <col min="7941" max="8149" width="10.5" style="1222"/>
    <col min="8150" max="8150" width="8.33203125" style="1222" customWidth="1"/>
    <col min="8151" max="8155" width="3.83203125" style="1222" customWidth="1"/>
    <col min="8156" max="8156" width="4.5" style="1222" customWidth="1"/>
    <col min="8157" max="8160" width="3.83203125" style="1222" customWidth="1"/>
    <col min="8161" max="8161" width="4.5" style="1222" customWidth="1"/>
    <col min="8162" max="8196" width="3.83203125" style="1222" customWidth="1"/>
    <col min="8197" max="8405" width="10.5" style="1222"/>
    <col min="8406" max="8406" width="8.33203125" style="1222" customWidth="1"/>
    <col min="8407" max="8411" width="3.83203125" style="1222" customWidth="1"/>
    <col min="8412" max="8412" width="4.5" style="1222" customWidth="1"/>
    <col min="8413" max="8416" width="3.83203125" style="1222" customWidth="1"/>
    <col min="8417" max="8417" width="4.5" style="1222" customWidth="1"/>
    <col min="8418" max="8452" width="3.83203125" style="1222" customWidth="1"/>
    <col min="8453" max="8661" width="10.5" style="1222"/>
    <col min="8662" max="8662" width="8.33203125" style="1222" customWidth="1"/>
    <col min="8663" max="8667" width="3.83203125" style="1222" customWidth="1"/>
    <col min="8668" max="8668" width="4.5" style="1222" customWidth="1"/>
    <col min="8669" max="8672" width="3.83203125" style="1222" customWidth="1"/>
    <col min="8673" max="8673" width="4.5" style="1222" customWidth="1"/>
    <col min="8674" max="8708" width="3.83203125" style="1222" customWidth="1"/>
    <col min="8709" max="8917" width="10.5" style="1222"/>
    <col min="8918" max="8918" width="8.33203125" style="1222" customWidth="1"/>
    <col min="8919" max="8923" width="3.83203125" style="1222" customWidth="1"/>
    <col min="8924" max="8924" width="4.5" style="1222" customWidth="1"/>
    <col min="8925" max="8928" width="3.83203125" style="1222" customWidth="1"/>
    <col min="8929" max="8929" width="4.5" style="1222" customWidth="1"/>
    <col min="8930" max="8964" width="3.83203125" style="1222" customWidth="1"/>
    <col min="8965" max="9173" width="10.5" style="1222"/>
    <col min="9174" max="9174" width="8.33203125" style="1222" customWidth="1"/>
    <col min="9175" max="9179" width="3.83203125" style="1222" customWidth="1"/>
    <col min="9180" max="9180" width="4.5" style="1222" customWidth="1"/>
    <col min="9181" max="9184" width="3.83203125" style="1222" customWidth="1"/>
    <col min="9185" max="9185" width="4.5" style="1222" customWidth="1"/>
    <col min="9186" max="9220" width="3.83203125" style="1222" customWidth="1"/>
    <col min="9221" max="9429" width="10.5" style="1222"/>
    <col min="9430" max="9430" width="8.33203125" style="1222" customWidth="1"/>
    <col min="9431" max="9435" width="3.83203125" style="1222" customWidth="1"/>
    <col min="9436" max="9436" width="4.5" style="1222" customWidth="1"/>
    <col min="9437" max="9440" width="3.83203125" style="1222" customWidth="1"/>
    <col min="9441" max="9441" width="4.5" style="1222" customWidth="1"/>
    <col min="9442" max="9476" width="3.83203125" style="1222" customWidth="1"/>
    <col min="9477" max="9685" width="10.5" style="1222"/>
    <col min="9686" max="9686" width="8.33203125" style="1222" customWidth="1"/>
    <col min="9687" max="9691" width="3.83203125" style="1222" customWidth="1"/>
    <col min="9692" max="9692" width="4.5" style="1222" customWidth="1"/>
    <col min="9693" max="9696" width="3.83203125" style="1222" customWidth="1"/>
    <col min="9697" max="9697" width="4.5" style="1222" customWidth="1"/>
    <col min="9698" max="9732" width="3.83203125" style="1222" customWidth="1"/>
    <col min="9733" max="9941" width="10.5" style="1222"/>
    <col min="9942" max="9942" width="8.33203125" style="1222" customWidth="1"/>
    <col min="9943" max="9947" width="3.83203125" style="1222" customWidth="1"/>
    <col min="9948" max="9948" width="4.5" style="1222" customWidth="1"/>
    <col min="9949" max="9952" width="3.83203125" style="1222" customWidth="1"/>
    <col min="9953" max="9953" width="4.5" style="1222" customWidth="1"/>
    <col min="9954" max="9988" width="3.83203125" style="1222" customWidth="1"/>
    <col min="9989" max="10197" width="10.5" style="1222"/>
    <col min="10198" max="10198" width="8.33203125" style="1222" customWidth="1"/>
    <col min="10199" max="10203" width="3.83203125" style="1222" customWidth="1"/>
    <col min="10204" max="10204" width="4.5" style="1222" customWidth="1"/>
    <col min="10205" max="10208" width="3.83203125" style="1222" customWidth="1"/>
    <col min="10209" max="10209" width="4.5" style="1222" customWidth="1"/>
    <col min="10210" max="10244" width="3.83203125" style="1222" customWidth="1"/>
    <col min="10245" max="10453" width="10.5" style="1222"/>
    <col min="10454" max="10454" width="8.33203125" style="1222" customWidth="1"/>
    <col min="10455" max="10459" width="3.83203125" style="1222" customWidth="1"/>
    <col min="10460" max="10460" width="4.5" style="1222" customWidth="1"/>
    <col min="10461" max="10464" width="3.83203125" style="1222" customWidth="1"/>
    <col min="10465" max="10465" width="4.5" style="1222" customWidth="1"/>
    <col min="10466" max="10500" width="3.83203125" style="1222" customWidth="1"/>
    <col min="10501" max="10709" width="10.5" style="1222"/>
    <col min="10710" max="10710" width="8.33203125" style="1222" customWidth="1"/>
    <col min="10711" max="10715" width="3.83203125" style="1222" customWidth="1"/>
    <col min="10716" max="10716" width="4.5" style="1222" customWidth="1"/>
    <col min="10717" max="10720" width="3.83203125" style="1222" customWidth="1"/>
    <col min="10721" max="10721" width="4.5" style="1222" customWidth="1"/>
    <col min="10722" max="10756" width="3.83203125" style="1222" customWidth="1"/>
    <col min="10757" max="10965" width="10.5" style="1222"/>
    <col min="10966" max="10966" width="8.33203125" style="1222" customWidth="1"/>
    <col min="10967" max="10971" width="3.83203125" style="1222" customWidth="1"/>
    <col min="10972" max="10972" width="4.5" style="1222" customWidth="1"/>
    <col min="10973" max="10976" width="3.83203125" style="1222" customWidth="1"/>
    <col min="10977" max="10977" width="4.5" style="1222" customWidth="1"/>
    <col min="10978" max="11012" width="3.83203125" style="1222" customWidth="1"/>
    <col min="11013" max="11221" width="10.5" style="1222"/>
    <col min="11222" max="11222" width="8.33203125" style="1222" customWidth="1"/>
    <col min="11223" max="11227" width="3.83203125" style="1222" customWidth="1"/>
    <col min="11228" max="11228" width="4.5" style="1222" customWidth="1"/>
    <col min="11229" max="11232" width="3.83203125" style="1222" customWidth="1"/>
    <col min="11233" max="11233" width="4.5" style="1222" customWidth="1"/>
    <col min="11234" max="11268" width="3.83203125" style="1222" customWidth="1"/>
    <col min="11269" max="11477" width="10.5" style="1222"/>
    <col min="11478" max="11478" width="8.33203125" style="1222" customWidth="1"/>
    <col min="11479" max="11483" width="3.83203125" style="1222" customWidth="1"/>
    <col min="11484" max="11484" width="4.5" style="1222" customWidth="1"/>
    <col min="11485" max="11488" width="3.83203125" style="1222" customWidth="1"/>
    <col min="11489" max="11489" width="4.5" style="1222" customWidth="1"/>
    <col min="11490" max="11524" width="3.83203125" style="1222" customWidth="1"/>
    <col min="11525" max="11733" width="10.5" style="1222"/>
    <col min="11734" max="11734" width="8.33203125" style="1222" customWidth="1"/>
    <col min="11735" max="11739" width="3.83203125" style="1222" customWidth="1"/>
    <col min="11740" max="11740" width="4.5" style="1222" customWidth="1"/>
    <col min="11741" max="11744" width="3.83203125" style="1222" customWidth="1"/>
    <col min="11745" max="11745" width="4.5" style="1222" customWidth="1"/>
    <col min="11746" max="11780" width="3.83203125" style="1222" customWidth="1"/>
    <col min="11781" max="11989" width="10.5" style="1222"/>
    <col min="11990" max="11990" width="8.33203125" style="1222" customWidth="1"/>
    <col min="11991" max="11995" width="3.83203125" style="1222" customWidth="1"/>
    <col min="11996" max="11996" width="4.5" style="1222" customWidth="1"/>
    <col min="11997" max="12000" width="3.83203125" style="1222" customWidth="1"/>
    <col min="12001" max="12001" width="4.5" style="1222" customWidth="1"/>
    <col min="12002" max="12036" width="3.83203125" style="1222" customWidth="1"/>
    <col min="12037" max="12245" width="10.5" style="1222"/>
    <col min="12246" max="12246" width="8.33203125" style="1222" customWidth="1"/>
    <col min="12247" max="12251" width="3.83203125" style="1222" customWidth="1"/>
    <col min="12252" max="12252" width="4.5" style="1222" customWidth="1"/>
    <col min="12253" max="12256" width="3.83203125" style="1222" customWidth="1"/>
    <col min="12257" max="12257" width="4.5" style="1222" customWidth="1"/>
    <col min="12258" max="12292" width="3.83203125" style="1222" customWidth="1"/>
    <col min="12293" max="12501" width="10.5" style="1222"/>
    <col min="12502" max="12502" width="8.33203125" style="1222" customWidth="1"/>
    <col min="12503" max="12507" width="3.83203125" style="1222" customWidth="1"/>
    <col min="12508" max="12508" width="4.5" style="1222" customWidth="1"/>
    <col min="12509" max="12512" width="3.83203125" style="1222" customWidth="1"/>
    <col min="12513" max="12513" width="4.5" style="1222" customWidth="1"/>
    <col min="12514" max="12548" width="3.83203125" style="1222" customWidth="1"/>
    <col min="12549" max="12757" width="10.5" style="1222"/>
    <col min="12758" max="12758" width="8.33203125" style="1222" customWidth="1"/>
    <col min="12759" max="12763" width="3.83203125" style="1222" customWidth="1"/>
    <col min="12764" max="12764" width="4.5" style="1222" customWidth="1"/>
    <col min="12765" max="12768" width="3.83203125" style="1222" customWidth="1"/>
    <col min="12769" max="12769" width="4.5" style="1222" customWidth="1"/>
    <col min="12770" max="12804" width="3.83203125" style="1222" customWidth="1"/>
    <col min="12805" max="13013" width="10.5" style="1222"/>
    <col min="13014" max="13014" width="8.33203125" style="1222" customWidth="1"/>
    <col min="13015" max="13019" width="3.83203125" style="1222" customWidth="1"/>
    <col min="13020" max="13020" width="4.5" style="1222" customWidth="1"/>
    <col min="13021" max="13024" width="3.83203125" style="1222" customWidth="1"/>
    <col min="13025" max="13025" width="4.5" style="1222" customWidth="1"/>
    <col min="13026" max="13060" width="3.83203125" style="1222" customWidth="1"/>
    <col min="13061" max="13269" width="10.5" style="1222"/>
    <col min="13270" max="13270" width="8.33203125" style="1222" customWidth="1"/>
    <col min="13271" max="13275" width="3.83203125" style="1222" customWidth="1"/>
    <col min="13276" max="13276" width="4.5" style="1222" customWidth="1"/>
    <col min="13277" max="13280" width="3.83203125" style="1222" customWidth="1"/>
    <col min="13281" max="13281" width="4.5" style="1222" customWidth="1"/>
    <col min="13282" max="13316" width="3.83203125" style="1222" customWidth="1"/>
    <col min="13317" max="13525" width="10.5" style="1222"/>
    <col min="13526" max="13526" width="8.33203125" style="1222" customWidth="1"/>
    <col min="13527" max="13531" width="3.83203125" style="1222" customWidth="1"/>
    <col min="13532" max="13532" width="4.5" style="1222" customWidth="1"/>
    <col min="13533" max="13536" width="3.83203125" style="1222" customWidth="1"/>
    <col min="13537" max="13537" width="4.5" style="1222" customWidth="1"/>
    <col min="13538" max="13572" width="3.83203125" style="1222" customWidth="1"/>
    <col min="13573" max="13781" width="10.5" style="1222"/>
    <col min="13782" max="13782" width="8.33203125" style="1222" customWidth="1"/>
    <col min="13783" max="13787" width="3.83203125" style="1222" customWidth="1"/>
    <col min="13788" max="13788" width="4.5" style="1222" customWidth="1"/>
    <col min="13789" max="13792" width="3.83203125" style="1222" customWidth="1"/>
    <col min="13793" max="13793" width="4.5" style="1222" customWidth="1"/>
    <col min="13794" max="13828" width="3.83203125" style="1222" customWidth="1"/>
    <col min="13829" max="14037" width="10.5" style="1222"/>
    <col min="14038" max="14038" width="8.33203125" style="1222" customWidth="1"/>
    <col min="14039" max="14043" width="3.83203125" style="1222" customWidth="1"/>
    <col min="14044" max="14044" width="4.5" style="1222" customWidth="1"/>
    <col min="14045" max="14048" width="3.83203125" style="1222" customWidth="1"/>
    <col min="14049" max="14049" width="4.5" style="1222" customWidth="1"/>
    <col min="14050" max="14084" width="3.83203125" style="1222" customWidth="1"/>
    <col min="14085" max="14293" width="10.5" style="1222"/>
    <col min="14294" max="14294" width="8.33203125" style="1222" customWidth="1"/>
    <col min="14295" max="14299" width="3.83203125" style="1222" customWidth="1"/>
    <col min="14300" max="14300" width="4.5" style="1222" customWidth="1"/>
    <col min="14301" max="14304" width="3.83203125" style="1222" customWidth="1"/>
    <col min="14305" max="14305" width="4.5" style="1222" customWidth="1"/>
    <col min="14306" max="14340" width="3.83203125" style="1222" customWidth="1"/>
    <col min="14341" max="14549" width="10.5" style="1222"/>
    <col min="14550" max="14550" width="8.33203125" style="1222" customWidth="1"/>
    <col min="14551" max="14555" width="3.83203125" style="1222" customWidth="1"/>
    <col min="14556" max="14556" width="4.5" style="1222" customWidth="1"/>
    <col min="14557" max="14560" width="3.83203125" style="1222" customWidth="1"/>
    <col min="14561" max="14561" width="4.5" style="1222" customWidth="1"/>
    <col min="14562" max="14596" width="3.83203125" style="1222" customWidth="1"/>
    <col min="14597" max="14805" width="10.5" style="1222"/>
    <col min="14806" max="14806" width="8.33203125" style="1222" customWidth="1"/>
    <col min="14807" max="14811" width="3.83203125" style="1222" customWidth="1"/>
    <col min="14812" max="14812" width="4.5" style="1222" customWidth="1"/>
    <col min="14813" max="14816" width="3.83203125" style="1222" customWidth="1"/>
    <col min="14817" max="14817" width="4.5" style="1222" customWidth="1"/>
    <col min="14818" max="14852" width="3.83203125" style="1222" customWidth="1"/>
    <col min="14853" max="15061" width="10.5" style="1222"/>
    <col min="15062" max="15062" width="8.33203125" style="1222" customWidth="1"/>
    <col min="15063" max="15067" width="3.83203125" style="1222" customWidth="1"/>
    <col min="15068" max="15068" width="4.5" style="1222" customWidth="1"/>
    <col min="15069" max="15072" width="3.83203125" style="1222" customWidth="1"/>
    <col min="15073" max="15073" width="4.5" style="1222" customWidth="1"/>
    <col min="15074" max="15108" width="3.83203125" style="1222" customWidth="1"/>
    <col min="15109" max="15317" width="10.5" style="1222"/>
    <col min="15318" max="15318" width="8.33203125" style="1222" customWidth="1"/>
    <col min="15319" max="15323" width="3.83203125" style="1222" customWidth="1"/>
    <col min="15324" max="15324" width="4.5" style="1222" customWidth="1"/>
    <col min="15325" max="15328" width="3.83203125" style="1222" customWidth="1"/>
    <col min="15329" max="15329" width="4.5" style="1222" customWidth="1"/>
    <col min="15330" max="15364" width="3.83203125" style="1222" customWidth="1"/>
    <col min="15365" max="15573" width="10.5" style="1222"/>
    <col min="15574" max="15574" width="8.33203125" style="1222" customWidth="1"/>
    <col min="15575" max="15579" width="3.83203125" style="1222" customWidth="1"/>
    <col min="15580" max="15580" width="4.5" style="1222" customWidth="1"/>
    <col min="15581" max="15584" width="3.83203125" style="1222" customWidth="1"/>
    <col min="15585" max="15585" width="4.5" style="1222" customWidth="1"/>
    <col min="15586" max="15620" width="3.83203125" style="1222" customWidth="1"/>
    <col min="15621" max="15829" width="10.5" style="1222"/>
    <col min="15830" max="15830" width="8.33203125" style="1222" customWidth="1"/>
    <col min="15831" max="15835" width="3.83203125" style="1222" customWidth="1"/>
    <col min="15836" max="15836" width="4.5" style="1222" customWidth="1"/>
    <col min="15837" max="15840" width="3.83203125" style="1222" customWidth="1"/>
    <col min="15841" max="15841" width="4.5" style="1222" customWidth="1"/>
    <col min="15842" max="15876" width="3.83203125" style="1222" customWidth="1"/>
    <col min="15877" max="16085" width="10.5" style="1222"/>
    <col min="16086" max="16086" width="8.33203125" style="1222" customWidth="1"/>
    <col min="16087" max="16091" width="3.83203125" style="1222" customWidth="1"/>
    <col min="16092" max="16092" width="4.5" style="1222" customWidth="1"/>
    <col min="16093" max="16096" width="3.83203125" style="1222" customWidth="1"/>
    <col min="16097" max="16097" width="4.5" style="1222" customWidth="1"/>
    <col min="16098" max="16132" width="3.83203125" style="1222" customWidth="1"/>
    <col min="16133" max="16384" width="10.5" style="1222"/>
  </cols>
  <sheetData>
    <row r="1" spans="1:5" ht="29.25" customHeight="1" x14ac:dyDescent="0.2">
      <c r="A1" s="1324" t="s">
        <v>1499</v>
      </c>
      <c r="B1" s="1324"/>
      <c r="C1" s="1324"/>
      <c r="D1" s="1324"/>
      <c r="E1" s="1324"/>
    </row>
    <row r="2" spans="1:5" s="1221" customFormat="1" ht="9.9499999999999993" customHeight="1" x14ac:dyDescent="0.2">
      <c r="A2" s="1219"/>
      <c r="B2" s="1220"/>
      <c r="C2" s="1220"/>
      <c r="D2" s="1220"/>
    </row>
    <row r="3" spans="1:5" s="1221" customFormat="1" ht="16.5" customHeight="1" x14ac:dyDescent="0.2">
      <c r="A3" s="1323" t="s">
        <v>1492</v>
      </c>
      <c r="B3" s="1329"/>
      <c r="C3" s="1329"/>
      <c r="D3" s="1329"/>
      <c r="E3" s="1329"/>
    </row>
    <row r="4" spans="1:5" s="1221" customFormat="1" ht="16.5" customHeight="1" x14ac:dyDescent="0.2">
      <c r="A4" s="1329"/>
      <c r="B4" s="1329"/>
      <c r="C4" s="1329"/>
      <c r="D4" s="1329"/>
      <c r="E4" s="1329"/>
    </row>
    <row r="5" spans="1:5" s="1221" customFormat="1" ht="23.25" customHeight="1" x14ac:dyDescent="0.2">
      <c r="A5" s="1329"/>
      <c r="B5" s="1329"/>
      <c r="C5" s="1329"/>
      <c r="D5" s="1329"/>
      <c r="E5" s="1329"/>
    </row>
    <row r="6" spans="1:5" ht="25.5" customHeight="1" x14ac:dyDescent="0.2">
      <c r="A6" s="1331"/>
      <c r="B6" s="1331"/>
      <c r="C6" s="1331"/>
      <c r="D6" s="1331"/>
    </row>
    <row r="7" spans="1:5" x14ac:dyDescent="0.2">
      <c r="A7" s="1328" t="s">
        <v>1222</v>
      </c>
      <c r="B7" s="1328"/>
      <c r="C7" s="1328"/>
      <c r="D7" s="1328"/>
      <c r="E7" s="1328"/>
    </row>
    <row r="8" spans="1:5" ht="21.75" customHeight="1" x14ac:dyDescent="0.2">
      <c r="A8" s="1330" t="s">
        <v>12</v>
      </c>
      <c r="B8" s="1327" t="s">
        <v>1456</v>
      </c>
      <c r="C8" s="1327" t="s">
        <v>1455</v>
      </c>
      <c r="D8" s="1327"/>
      <c r="E8" s="1327"/>
    </row>
    <row r="9" spans="1:5" ht="24.75" customHeight="1" x14ac:dyDescent="0.2">
      <c r="A9" s="1330"/>
      <c r="B9" s="1327"/>
      <c r="C9" s="1256" t="s">
        <v>1479</v>
      </c>
      <c r="D9" s="1228" t="s">
        <v>1481</v>
      </c>
      <c r="E9" s="1257" t="s">
        <v>1480</v>
      </c>
    </row>
    <row r="10" spans="1:5" x14ac:dyDescent="0.2">
      <c r="A10" s="1249" t="s">
        <v>986</v>
      </c>
      <c r="B10" s="1250" t="s">
        <v>1226</v>
      </c>
      <c r="C10" s="1250" t="s">
        <v>1227</v>
      </c>
      <c r="D10" s="1254">
        <v>4</v>
      </c>
      <c r="E10" s="1258" t="s">
        <v>1229</v>
      </c>
    </row>
    <row r="11" spans="1:5" ht="12.75" customHeight="1" x14ac:dyDescent="0.2">
      <c r="A11" s="1251" t="s">
        <v>1457</v>
      </c>
      <c r="B11" s="1252" t="s">
        <v>1226</v>
      </c>
      <c r="C11" s="1253" t="s">
        <v>1458</v>
      </c>
      <c r="D11" s="1255" t="s">
        <v>1482</v>
      </c>
      <c r="E11" s="1255" t="s">
        <v>1487</v>
      </c>
    </row>
    <row r="12" spans="1:5" ht="12.75" customHeight="1" x14ac:dyDescent="0.2">
      <c r="A12" s="1251" t="s">
        <v>1459</v>
      </c>
      <c r="B12" s="1252" t="s">
        <v>986</v>
      </c>
      <c r="C12" s="1253" t="s">
        <v>1460</v>
      </c>
      <c r="D12" s="1255" t="s">
        <v>1483</v>
      </c>
      <c r="E12" s="1255" t="s">
        <v>1488</v>
      </c>
    </row>
    <row r="13" spans="1:5" ht="12.75" customHeight="1" x14ac:dyDescent="0.2">
      <c r="A13" s="1251" t="s">
        <v>1461</v>
      </c>
      <c r="B13" s="1252" t="s">
        <v>1227</v>
      </c>
      <c r="C13" s="1253" t="s">
        <v>1462</v>
      </c>
      <c r="D13" s="1255" t="s">
        <v>1484</v>
      </c>
      <c r="E13" s="1255" t="s">
        <v>1489</v>
      </c>
    </row>
    <row r="14" spans="1:5" ht="12.75" customHeight="1" x14ac:dyDescent="0.2">
      <c r="A14" s="1251" t="s">
        <v>1463</v>
      </c>
      <c r="B14" s="1252" t="s">
        <v>1228</v>
      </c>
      <c r="C14" s="1253" t="s">
        <v>1464</v>
      </c>
      <c r="D14" s="1255" t="s">
        <v>1485</v>
      </c>
      <c r="E14" s="1255" t="s">
        <v>1490</v>
      </c>
    </row>
    <row r="15" spans="1:5" ht="12.75" customHeight="1" x14ac:dyDescent="0.2">
      <c r="A15" s="1251" t="s">
        <v>1465</v>
      </c>
      <c r="B15" s="1252" t="s">
        <v>1229</v>
      </c>
      <c r="C15" s="1253" t="s">
        <v>1466</v>
      </c>
      <c r="D15" s="1255" t="s">
        <v>1231</v>
      </c>
      <c r="E15" s="1255" t="s">
        <v>1231</v>
      </c>
    </row>
    <row r="16" spans="1:5" ht="12.75" customHeight="1" x14ac:dyDescent="0.2">
      <c r="A16" s="1251" t="s">
        <v>1467</v>
      </c>
      <c r="B16" s="1252" t="s">
        <v>1237</v>
      </c>
      <c r="C16" s="1253" t="s">
        <v>1468</v>
      </c>
      <c r="D16" s="1255" t="s">
        <v>1485</v>
      </c>
      <c r="E16" s="1255" t="s">
        <v>1490</v>
      </c>
    </row>
    <row r="17" spans="1:5" ht="12.75" customHeight="1" x14ac:dyDescent="0.2">
      <c r="A17" s="1251" t="s">
        <v>1469</v>
      </c>
      <c r="B17" s="1252" t="s">
        <v>1239</v>
      </c>
      <c r="C17" s="1253" t="s">
        <v>1470</v>
      </c>
      <c r="D17" s="1255" t="s">
        <v>1486</v>
      </c>
      <c r="E17" s="1255" t="s">
        <v>1491</v>
      </c>
    </row>
    <row r="18" spans="1:5" ht="12.75" customHeight="1" x14ac:dyDescent="0.2">
      <c r="A18" s="1251" t="s">
        <v>1471</v>
      </c>
      <c r="B18" s="1252" t="s">
        <v>1241</v>
      </c>
      <c r="C18" s="1253" t="s">
        <v>1231</v>
      </c>
      <c r="D18" s="1255" t="s">
        <v>1231</v>
      </c>
      <c r="E18" s="1255" t="s">
        <v>1231</v>
      </c>
    </row>
    <row r="19" spans="1:5" ht="12.75" customHeight="1" x14ac:dyDescent="0.2">
      <c r="A19" s="1251" t="s">
        <v>1472</v>
      </c>
      <c r="B19" s="1252" t="s">
        <v>1243</v>
      </c>
      <c r="C19" s="1253" t="s">
        <v>1231</v>
      </c>
      <c r="D19" s="1255" t="s">
        <v>1231</v>
      </c>
      <c r="E19" s="1255" t="s">
        <v>1231</v>
      </c>
    </row>
    <row r="20" spans="1:5" ht="12.75" customHeight="1" x14ac:dyDescent="0.2">
      <c r="A20" s="1251" t="s">
        <v>1473</v>
      </c>
      <c r="B20" s="1252" t="s">
        <v>1245</v>
      </c>
      <c r="C20" s="1253" t="s">
        <v>1231</v>
      </c>
      <c r="D20" s="1255" t="s">
        <v>1231</v>
      </c>
      <c r="E20" s="1255" t="s">
        <v>1231</v>
      </c>
    </row>
    <row r="21" spans="1:5" ht="12.75" customHeight="1" x14ac:dyDescent="0.2">
      <c r="A21" s="1251" t="s">
        <v>1474</v>
      </c>
      <c r="B21" s="1252" t="s">
        <v>1247</v>
      </c>
      <c r="C21" s="1253" t="s">
        <v>1231</v>
      </c>
      <c r="D21" s="1255" t="s">
        <v>1231</v>
      </c>
      <c r="E21" s="1255" t="s">
        <v>1231</v>
      </c>
    </row>
    <row r="22" spans="1:5" ht="12.75" customHeight="1" x14ac:dyDescent="0.2">
      <c r="A22" s="1251" t="s">
        <v>1475</v>
      </c>
      <c r="B22" s="1252" t="s">
        <v>1249</v>
      </c>
      <c r="C22" s="1253" t="s">
        <v>1231</v>
      </c>
      <c r="D22" s="1255" t="s">
        <v>1231</v>
      </c>
      <c r="E22" s="1255" t="s">
        <v>1231</v>
      </c>
    </row>
    <row r="23" spans="1:5" ht="12.75" customHeight="1" x14ac:dyDescent="0.2">
      <c r="A23" s="1251" t="s">
        <v>1476</v>
      </c>
      <c r="B23" s="1252" t="s">
        <v>1251</v>
      </c>
      <c r="C23" s="1253" t="s">
        <v>1231</v>
      </c>
      <c r="D23" s="1255" t="s">
        <v>1231</v>
      </c>
      <c r="E23" s="1255" t="s">
        <v>1231</v>
      </c>
    </row>
    <row r="24" spans="1:5" ht="12.75" customHeight="1" x14ac:dyDescent="0.2">
      <c r="A24" s="1251" t="s">
        <v>1477</v>
      </c>
      <c r="B24" s="1252" t="s">
        <v>1253</v>
      </c>
      <c r="C24" s="1253" t="s">
        <v>1231</v>
      </c>
      <c r="D24" s="1255" t="s">
        <v>1231</v>
      </c>
      <c r="E24" s="1255" t="s">
        <v>1231</v>
      </c>
    </row>
    <row r="25" spans="1:5" ht="12.75" customHeight="1" x14ac:dyDescent="0.2">
      <c r="A25" s="1259" t="s">
        <v>1478</v>
      </c>
      <c r="B25" s="1226" t="s">
        <v>1255</v>
      </c>
      <c r="C25" s="1260" t="s">
        <v>1470</v>
      </c>
      <c r="D25" s="1261" t="s">
        <v>1486</v>
      </c>
      <c r="E25" s="1261" t="s">
        <v>1491</v>
      </c>
    </row>
    <row r="26" spans="1:5" x14ac:dyDescent="0.2">
      <c r="A26" s="1224"/>
      <c r="B26" s="1224"/>
      <c r="C26" s="1224"/>
    </row>
  </sheetData>
  <sheetProtection selectLockedCells="1" selectUnlockedCells="1"/>
  <mergeCells count="7">
    <mergeCell ref="C8:E8"/>
    <mergeCell ref="A7:E7"/>
    <mergeCell ref="A3:E5"/>
    <mergeCell ref="A1:E1"/>
    <mergeCell ref="A8:A9"/>
    <mergeCell ref="B8:B9"/>
    <mergeCell ref="A6:D6"/>
  </mergeCells>
  <conditionalFormatting sqref="A11:A25">
    <cfRule type="cellIs" dxfId="6" priority="3" stopIfTrue="1" operator="equal">
      <formula>#REF!</formula>
    </cfRule>
  </conditionalFormatting>
  <conditionalFormatting sqref="B11:B25">
    <cfRule type="cellIs" dxfId="5" priority="4" stopIfTrue="1" operator="equal">
      <formula>#REF!</formula>
    </cfRule>
  </conditionalFormatting>
  <conditionalFormatting sqref="C11:C25">
    <cfRule type="cellIs" dxfId="4" priority="5" stopIfTrue="1" operator="equal">
      <formula>#REF!</formula>
    </cfRule>
  </conditionalFormatting>
  <conditionalFormatting sqref="D11:D25">
    <cfRule type="cellIs" dxfId="3" priority="2" stopIfTrue="1" operator="equal">
      <formula>#REF!</formula>
    </cfRule>
  </conditionalFormatting>
  <conditionalFormatting sqref="E11:E25">
    <cfRule type="cellIs" dxfId="2" priority="1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333" t="s">
        <v>865</v>
      </c>
      <c r="B1" s="1333"/>
      <c r="C1" s="1333"/>
      <c r="D1" s="1333"/>
      <c r="E1" s="1333"/>
      <c r="F1" s="1333"/>
      <c r="G1" s="1333"/>
    </row>
    <row r="3" spans="1:7" s="173" customFormat="1" ht="27" customHeight="1" x14ac:dyDescent="0.25">
      <c r="A3" s="171" t="s">
        <v>217</v>
      </c>
      <c r="B3" s="172"/>
      <c r="C3" s="1332" t="s">
        <v>218</v>
      </c>
      <c r="D3" s="1332"/>
      <c r="E3" s="1332"/>
      <c r="F3" s="1332"/>
      <c r="G3" s="1332"/>
    </row>
    <row r="4" spans="1:7" s="173" customFormat="1" ht="15.75" x14ac:dyDescent="0.25">
      <c r="A4" s="172"/>
      <c r="B4" s="172"/>
      <c r="C4" s="172"/>
      <c r="D4" s="172"/>
      <c r="E4" s="172"/>
      <c r="F4" s="172"/>
      <c r="G4" s="172"/>
    </row>
    <row r="5" spans="1:7" s="173" customFormat="1" ht="24.75" customHeight="1" x14ac:dyDescent="0.25">
      <c r="A5" s="171" t="s">
        <v>219</v>
      </c>
      <c r="B5" s="172"/>
      <c r="C5" s="1332" t="s">
        <v>218</v>
      </c>
      <c r="D5" s="1332"/>
      <c r="E5" s="1332"/>
      <c r="F5" s="1332"/>
      <c r="G5" s="172"/>
    </row>
    <row r="6" spans="1:7" s="174" customFormat="1" x14ac:dyDescent="0.2">
      <c r="A6" s="213"/>
      <c r="B6" s="213"/>
      <c r="C6" s="213"/>
      <c r="D6" s="213"/>
      <c r="E6" s="213"/>
      <c r="F6" s="213"/>
      <c r="G6" s="213"/>
    </row>
    <row r="7" spans="1:7" s="175" customFormat="1" ht="15" customHeight="1" x14ac:dyDescent="0.25">
      <c r="A7" s="280" t="s">
        <v>220</v>
      </c>
      <c r="B7" s="279"/>
      <c r="C7" s="279"/>
      <c r="D7" s="265"/>
      <c r="E7" s="265"/>
      <c r="F7" s="265"/>
      <c r="G7" s="265"/>
    </row>
    <row r="8" spans="1:7" s="175" customFormat="1" ht="15" customHeight="1" thickBot="1" x14ac:dyDescent="0.3">
      <c r="A8" s="280" t="s">
        <v>221</v>
      </c>
      <c r="B8" s="265"/>
      <c r="C8" s="265"/>
      <c r="D8" s="265"/>
      <c r="E8" s="265"/>
      <c r="F8" s="265"/>
      <c r="G8" s="265"/>
    </row>
    <row r="9" spans="1:7" s="83" customFormat="1" ht="42" customHeight="1" thickBot="1" x14ac:dyDescent="0.25">
      <c r="A9" s="198" t="s">
        <v>883</v>
      </c>
      <c r="B9" s="199" t="s">
        <v>222</v>
      </c>
      <c r="C9" s="199" t="s">
        <v>223</v>
      </c>
      <c r="D9" s="199" t="s">
        <v>224</v>
      </c>
      <c r="E9" s="199" t="s">
        <v>225</v>
      </c>
      <c r="F9" s="199" t="s">
        <v>226</v>
      </c>
      <c r="G9" s="200" t="s">
        <v>920</v>
      </c>
    </row>
    <row r="10" spans="1:7" ht="24" customHeight="1" x14ac:dyDescent="0.2">
      <c r="A10" s="266" t="s">
        <v>885</v>
      </c>
      <c r="B10" s="207" t="s">
        <v>227</v>
      </c>
      <c r="C10" s="176"/>
      <c r="D10" s="176"/>
      <c r="E10" s="176"/>
      <c r="F10" s="176"/>
      <c r="G10" s="267">
        <f>SUM(C10:F10)</f>
        <v>0</v>
      </c>
    </row>
    <row r="11" spans="1:7" ht="24" customHeight="1" x14ac:dyDescent="0.2">
      <c r="A11" s="268" t="s">
        <v>886</v>
      </c>
      <c r="B11" s="208" t="s">
        <v>228</v>
      </c>
      <c r="C11" s="177"/>
      <c r="D11" s="177"/>
      <c r="E11" s="177"/>
      <c r="F11" s="177"/>
      <c r="G11" s="269">
        <f t="shared" ref="G11:G16" si="0">SUM(C11:F11)</f>
        <v>0</v>
      </c>
    </row>
    <row r="12" spans="1:7" ht="24" customHeight="1" x14ac:dyDescent="0.2">
      <c r="A12" s="268" t="s">
        <v>887</v>
      </c>
      <c r="B12" s="208" t="s">
        <v>229</v>
      </c>
      <c r="C12" s="177"/>
      <c r="D12" s="177"/>
      <c r="E12" s="177"/>
      <c r="F12" s="177"/>
      <c r="G12" s="269">
        <f t="shared" si="0"/>
        <v>0</v>
      </c>
    </row>
    <row r="13" spans="1:7" ht="24" customHeight="1" x14ac:dyDescent="0.2">
      <c r="A13" s="268" t="s">
        <v>888</v>
      </c>
      <c r="B13" s="208" t="s">
        <v>230</v>
      </c>
      <c r="C13" s="177"/>
      <c r="D13" s="177"/>
      <c r="E13" s="177"/>
      <c r="F13" s="177"/>
      <c r="G13" s="269">
        <f t="shared" si="0"/>
        <v>0</v>
      </c>
    </row>
    <row r="14" spans="1:7" ht="24" customHeight="1" x14ac:dyDescent="0.2">
      <c r="A14" s="268" t="s">
        <v>889</v>
      </c>
      <c r="B14" s="208" t="s">
        <v>231</v>
      </c>
      <c r="C14" s="177"/>
      <c r="D14" s="177"/>
      <c r="E14" s="177"/>
      <c r="F14" s="177"/>
      <c r="G14" s="269">
        <f t="shared" si="0"/>
        <v>0</v>
      </c>
    </row>
    <row r="15" spans="1:7" ht="24" customHeight="1" thickBot="1" x14ac:dyDescent="0.25">
      <c r="A15" s="270" t="s">
        <v>890</v>
      </c>
      <c r="B15" s="271" t="s">
        <v>232</v>
      </c>
      <c r="C15" s="178"/>
      <c r="D15" s="178"/>
      <c r="E15" s="178"/>
      <c r="F15" s="178"/>
      <c r="G15" s="272">
        <f t="shared" si="0"/>
        <v>0</v>
      </c>
    </row>
    <row r="16" spans="1:7" s="179" customFormat="1" ht="24" customHeight="1" thickBot="1" x14ac:dyDescent="0.25">
      <c r="A16" s="273" t="s">
        <v>891</v>
      </c>
      <c r="B16" s="274" t="s">
        <v>920</v>
      </c>
      <c r="C16" s="275">
        <f>SUM(C10:C15)</f>
        <v>0</v>
      </c>
      <c r="D16" s="275">
        <f>SUM(D10:D15)</f>
        <v>0</v>
      </c>
      <c r="E16" s="275">
        <f>SUM(E10:E15)</f>
        <v>0</v>
      </c>
      <c r="F16" s="275">
        <f>SUM(F10:F15)</f>
        <v>0</v>
      </c>
      <c r="G16" s="276">
        <f t="shared" si="0"/>
        <v>0</v>
      </c>
    </row>
    <row r="17" spans="1:7" s="174" customFormat="1" x14ac:dyDescent="0.2">
      <c r="A17" s="213"/>
      <c r="B17" s="213"/>
      <c r="C17" s="213"/>
      <c r="D17" s="213"/>
      <c r="E17" s="213"/>
      <c r="F17" s="213"/>
      <c r="G17" s="213"/>
    </row>
    <row r="18" spans="1:7" s="174" customFormat="1" x14ac:dyDescent="0.2">
      <c r="A18" s="213"/>
      <c r="B18" s="213"/>
      <c r="C18" s="213"/>
      <c r="D18" s="213"/>
      <c r="E18" s="213"/>
      <c r="F18" s="213"/>
      <c r="G18" s="213"/>
    </row>
    <row r="19" spans="1:7" s="174" customFormat="1" x14ac:dyDescent="0.2">
      <c r="A19" s="213"/>
      <c r="B19" s="213"/>
      <c r="C19" s="213"/>
      <c r="D19" s="213"/>
      <c r="E19" s="213"/>
      <c r="F19" s="213"/>
      <c r="G19" s="213"/>
    </row>
    <row r="20" spans="1:7" s="174" customFormat="1" ht="15.75" x14ac:dyDescent="0.25">
      <c r="A20" s="173" t="s">
        <v>401</v>
      </c>
      <c r="B20" s="213"/>
      <c r="C20" s="213"/>
      <c r="D20" s="213"/>
      <c r="E20" s="213"/>
      <c r="F20" s="213"/>
      <c r="G20" s="213"/>
    </row>
    <row r="21" spans="1:7" s="174" customFormat="1" x14ac:dyDescent="0.2">
      <c r="A21" s="213"/>
      <c r="B21" s="213"/>
      <c r="C21" s="213"/>
      <c r="D21" s="213"/>
      <c r="E21" s="213"/>
      <c r="F21" s="213"/>
      <c r="G21" s="213"/>
    </row>
    <row r="22" spans="1:7" x14ac:dyDescent="0.2">
      <c r="A22" s="213"/>
      <c r="B22" s="213"/>
      <c r="C22" s="213"/>
      <c r="D22" s="213"/>
      <c r="E22" s="213"/>
      <c r="F22" s="213"/>
      <c r="G22" s="213"/>
    </row>
    <row r="23" spans="1:7" x14ac:dyDescent="0.2">
      <c r="A23" s="213"/>
      <c r="B23" s="213"/>
      <c r="C23" s="174"/>
      <c r="D23" s="174"/>
      <c r="E23" s="174"/>
      <c r="F23" s="174"/>
      <c r="G23" s="213"/>
    </row>
    <row r="24" spans="1:7" ht="13.5" x14ac:dyDescent="0.25">
      <c r="A24" s="213"/>
      <c r="B24" s="213"/>
      <c r="C24" s="277"/>
      <c r="D24" s="278" t="s">
        <v>233</v>
      </c>
      <c r="E24" s="278"/>
      <c r="F24" s="277"/>
      <c r="G24" s="213"/>
    </row>
    <row r="25" spans="1:7" ht="13.5" x14ac:dyDescent="0.25">
      <c r="C25" s="180"/>
      <c r="D25" s="181"/>
      <c r="E25" s="181"/>
      <c r="F25" s="180"/>
    </row>
    <row r="26" spans="1:7" ht="13.5" x14ac:dyDescent="0.25">
      <c r="C26" s="180"/>
      <c r="D26" s="181"/>
      <c r="E26" s="181"/>
      <c r="F26" s="180"/>
    </row>
  </sheetData>
  <sheetProtection sheet="1"/>
  <mergeCells count="3">
    <mergeCell ref="C3:G3"/>
    <mergeCell ref="C5:F5"/>
    <mergeCell ref="A1:G1"/>
  </mergeCells>
  <phoneticPr fontId="32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304" t="s">
        <v>868</v>
      </c>
      <c r="B1" s="1304"/>
      <c r="C1" s="1304"/>
      <c r="D1" s="1304"/>
      <c r="E1" s="1304"/>
      <c r="F1" s="1304"/>
      <c r="G1" s="1304"/>
      <c r="H1" s="1304"/>
      <c r="I1" s="1304"/>
    </row>
    <row r="2" spans="1:10" ht="20.25" customHeight="1" thickBot="1" x14ac:dyDescent="0.3">
      <c r="I2" s="54" t="s">
        <v>11</v>
      </c>
    </row>
    <row r="3" spans="1:10" s="55" customFormat="1" ht="26.25" customHeight="1" x14ac:dyDescent="0.2">
      <c r="A3" s="1341" t="s">
        <v>17</v>
      </c>
      <c r="B3" s="1336" t="s">
        <v>34</v>
      </c>
      <c r="C3" s="1341" t="s">
        <v>35</v>
      </c>
      <c r="D3" s="1341" t="s">
        <v>866</v>
      </c>
      <c r="E3" s="1338" t="s">
        <v>16</v>
      </c>
      <c r="F3" s="1339"/>
      <c r="G3" s="1339"/>
      <c r="H3" s="1340"/>
      <c r="I3" s="1336" t="s">
        <v>918</v>
      </c>
    </row>
    <row r="4" spans="1:10" s="56" customFormat="1" ht="32.25" customHeight="1" thickBot="1" x14ac:dyDescent="0.25">
      <c r="A4" s="1342"/>
      <c r="B4" s="1337"/>
      <c r="C4" s="1337"/>
      <c r="D4" s="1342"/>
      <c r="E4" s="281" t="s">
        <v>124</v>
      </c>
      <c r="F4" s="281" t="s">
        <v>199</v>
      </c>
      <c r="G4" s="281" t="s">
        <v>369</v>
      </c>
      <c r="H4" s="282" t="s">
        <v>867</v>
      </c>
      <c r="I4" s="1337"/>
    </row>
    <row r="5" spans="1:10" s="57" customFormat="1" ht="12.95" customHeight="1" thickBot="1" x14ac:dyDescent="0.25">
      <c r="A5" s="283">
        <v>1</v>
      </c>
      <c r="B5" s="284">
        <v>2</v>
      </c>
      <c r="C5" s="285">
        <v>3</v>
      </c>
      <c r="D5" s="284">
        <v>4</v>
      </c>
      <c r="E5" s="283">
        <v>5</v>
      </c>
      <c r="F5" s="285">
        <v>6</v>
      </c>
      <c r="G5" s="285">
        <v>7</v>
      </c>
      <c r="H5" s="286">
        <v>8</v>
      </c>
      <c r="I5" s="287" t="s">
        <v>36</v>
      </c>
    </row>
    <row r="6" spans="1:10" ht="24.75" customHeight="1" thickBot="1" x14ac:dyDescent="0.25">
      <c r="A6" s="288" t="s">
        <v>885</v>
      </c>
      <c r="B6" s="289" t="s">
        <v>869</v>
      </c>
      <c r="C6" s="297"/>
      <c r="D6" s="71"/>
      <c r="E6" s="72"/>
      <c r="F6" s="73"/>
      <c r="G6" s="73"/>
      <c r="H6" s="74"/>
      <c r="I6" s="58">
        <f t="shared" ref="I6:I17" si="0">SUM(D6:H6)</f>
        <v>0</v>
      </c>
    </row>
    <row r="7" spans="1:10" ht="20.100000000000001" customHeight="1" x14ac:dyDescent="0.2">
      <c r="A7" s="290" t="s">
        <v>886</v>
      </c>
      <c r="B7" s="62" t="s">
        <v>18</v>
      </c>
      <c r="C7" s="63"/>
      <c r="D7" s="64"/>
      <c r="E7" s="65"/>
      <c r="F7" s="33"/>
      <c r="G7" s="33"/>
      <c r="H7" s="30"/>
      <c r="I7" s="291">
        <f t="shared" si="0"/>
        <v>0</v>
      </c>
    </row>
    <row r="8" spans="1:10" ht="20.100000000000001" customHeight="1" thickBot="1" x14ac:dyDescent="0.25">
      <c r="A8" s="290" t="s">
        <v>887</v>
      </c>
      <c r="B8" s="62" t="s">
        <v>18</v>
      </c>
      <c r="C8" s="63"/>
      <c r="D8" s="64"/>
      <c r="E8" s="65"/>
      <c r="F8" s="33"/>
      <c r="G8" s="33"/>
      <c r="H8" s="30"/>
      <c r="I8" s="291">
        <f t="shared" si="0"/>
        <v>0</v>
      </c>
    </row>
    <row r="9" spans="1:10" ht="26.1" customHeight="1" thickBot="1" x14ac:dyDescent="0.25">
      <c r="A9" s="288" t="s">
        <v>888</v>
      </c>
      <c r="B9" s="289" t="s">
        <v>870</v>
      </c>
      <c r="C9" s="298"/>
      <c r="D9" s="71"/>
      <c r="E9" s="72"/>
      <c r="F9" s="73"/>
      <c r="G9" s="73"/>
      <c r="H9" s="74"/>
      <c r="I9" s="58">
        <f t="shared" si="0"/>
        <v>0</v>
      </c>
    </row>
    <row r="10" spans="1:10" ht="20.100000000000001" customHeight="1" x14ac:dyDescent="0.2">
      <c r="A10" s="290" t="s">
        <v>889</v>
      </c>
      <c r="B10" s="62" t="s">
        <v>18</v>
      </c>
      <c r="C10" s="63"/>
      <c r="D10" s="64"/>
      <c r="E10" s="65"/>
      <c r="F10" s="33"/>
      <c r="G10" s="33"/>
      <c r="H10" s="30"/>
      <c r="I10" s="291">
        <f t="shared" si="0"/>
        <v>0</v>
      </c>
    </row>
    <row r="11" spans="1:10" ht="20.100000000000001" customHeight="1" thickBot="1" x14ac:dyDescent="0.25">
      <c r="A11" s="290" t="s">
        <v>890</v>
      </c>
      <c r="B11" s="62" t="s">
        <v>18</v>
      </c>
      <c r="C11" s="63"/>
      <c r="D11" s="64"/>
      <c r="E11" s="65"/>
      <c r="F11" s="33"/>
      <c r="G11" s="33"/>
      <c r="H11" s="30"/>
      <c r="I11" s="291">
        <f t="shared" si="0"/>
        <v>0</v>
      </c>
    </row>
    <row r="12" spans="1:10" ht="20.100000000000001" customHeight="1" thickBot="1" x14ac:dyDescent="0.25">
      <c r="A12" s="288" t="s">
        <v>891</v>
      </c>
      <c r="B12" s="289" t="s">
        <v>214</v>
      </c>
      <c r="C12" s="298"/>
      <c r="D12" s="71"/>
      <c r="E12" s="72"/>
      <c r="F12" s="73"/>
      <c r="G12" s="73"/>
      <c r="H12" s="74"/>
      <c r="I12" s="58">
        <f t="shared" si="0"/>
        <v>0</v>
      </c>
    </row>
    <row r="13" spans="1:10" ht="20.100000000000001" customHeight="1" thickBot="1" x14ac:dyDescent="0.25">
      <c r="A13" s="290" t="s">
        <v>892</v>
      </c>
      <c r="B13" s="62" t="s">
        <v>18</v>
      </c>
      <c r="C13" s="63"/>
      <c r="D13" s="64"/>
      <c r="E13" s="65"/>
      <c r="F13" s="33"/>
      <c r="G13" s="33"/>
      <c r="H13" s="30"/>
      <c r="I13" s="291">
        <f t="shared" si="0"/>
        <v>0</v>
      </c>
    </row>
    <row r="14" spans="1:10" ht="20.100000000000001" customHeight="1" thickBot="1" x14ac:dyDescent="0.25">
      <c r="A14" s="288" t="s">
        <v>893</v>
      </c>
      <c r="B14" s="289" t="s">
        <v>215</v>
      </c>
      <c r="C14" s="298"/>
      <c r="D14" s="71"/>
      <c r="E14" s="72"/>
      <c r="F14" s="73"/>
      <c r="G14" s="73"/>
      <c r="H14" s="74"/>
      <c r="I14" s="58">
        <f t="shared" si="0"/>
        <v>0</v>
      </c>
      <c r="J14" s="66"/>
    </row>
    <row r="15" spans="1:10" ht="20.100000000000001" customHeight="1" thickBot="1" x14ac:dyDescent="0.25">
      <c r="A15" s="292" t="s">
        <v>894</v>
      </c>
      <c r="B15" s="67" t="s">
        <v>18</v>
      </c>
      <c r="C15" s="68"/>
      <c r="D15" s="69"/>
      <c r="E15" s="70"/>
      <c r="F15" s="34"/>
      <c r="G15" s="34"/>
      <c r="H15" s="32"/>
      <c r="I15" s="293">
        <f t="shared" si="0"/>
        <v>0</v>
      </c>
    </row>
    <row r="16" spans="1:10" ht="20.100000000000001" customHeight="1" thickBot="1" x14ac:dyDescent="0.25">
      <c r="A16" s="288" t="s">
        <v>895</v>
      </c>
      <c r="B16" s="294" t="s">
        <v>216</v>
      </c>
      <c r="C16" s="298"/>
      <c r="D16" s="71"/>
      <c r="E16" s="72"/>
      <c r="F16" s="73"/>
      <c r="G16" s="73"/>
      <c r="H16" s="74"/>
      <c r="I16" s="58">
        <f t="shared" si="0"/>
        <v>0</v>
      </c>
    </row>
    <row r="17" spans="1:9" ht="20.100000000000001" customHeight="1" thickBot="1" x14ac:dyDescent="0.25">
      <c r="A17" s="295" t="s">
        <v>896</v>
      </c>
      <c r="B17" s="75" t="s">
        <v>18</v>
      </c>
      <c r="C17" s="76"/>
      <c r="D17" s="77"/>
      <c r="E17" s="78"/>
      <c r="F17" s="79"/>
      <c r="G17" s="79"/>
      <c r="H17" s="31"/>
      <c r="I17" s="296">
        <f t="shared" si="0"/>
        <v>0</v>
      </c>
    </row>
    <row r="18" spans="1:9" ht="20.100000000000001" customHeight="1" thickBot="1" x14ac:dyDescent="0.25">
      <c r="A18" s="1334" t="s">
        <v>90</v>
      </c>
      <c r="B18" s="1335"/>
      <c r="C18" s="123"/>
      <c r="D18" s="58">
        <f>D6+D9+D12+D14+D16</f>
        <v>0</v>
      </c>
      <c r="E18" s="59">
        <f>E6+E9+E12+E14+E16</f>
        <v>0</v>
      </c>
      <c r="F18" s="60">
        <f>F6+F9+F12+F14+F16</f>
        <v>0</v>
      </c>
      <c r="G18" s="60">
        <f>G6+G9+G12+G14+G16</f>
        <v>0</v>
      </c>
      <c r="H18" s="61">
        <f>H6+H9+H12+H14+H16</f>
        <v>0</v>
      </c>
      <c r="I18" s="58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801" bestFit="1" customWidth="1"/>
    <col min="2" max="2" width="23" style="801" customWidth="1"/>
    <col min="3" max="3" width="21.1640625" style="801" customWidth="1"/>
    <col min="4" max="4" width="17" style="801" hidden="1" customWidth="1"/>
    <col min="5" max="8" width="17" style="801" customWidth="1"/>
    <col min="9" max="9" width="12.83203125" style="804" customWidth="1"/>
    <col min="10" max="16384" width="9.33203125" style="801"/>
  </cols>
  <sheetData>
    <row r="1" spans="1:9" ht="13.5" x14ac:dyDescent="0.25">
      <c r="A1" s="1267" t="s">
        <v>1493</v>
      </c>
      <c r="B1" s="1267"/>
      <c r="C1" s="1267"/>
      <c r="D1" s="806"/>
      <c r="E1" s="806"/>
      <c r="F1" s="806"/>
      <c r="G1" s="806"/>
      <c r="H1" s="806"/>
      <c r="I1" s="806"/>
    </row>
    <row r="4" spans="1:9" ht="12.75" customHeight="1" x14ac:dyDescent="0.2">
      <c r="A4" s="1265" t="s">
        <v>812</v>
      </c>
      <c r="B4" s="1265"/>
      <c r="C4" s="1265"/>
      <c r="D4" s="765"/>
      <c r="E4" s="765"/>
      <c r="F4" s="765"/>
      <c r="G4" s="765"/>
      <c r="H4" s="765"/>
      <c r="I4" s="765"/>
    </row>
    <row r="5" spans="1:9" x14ac:dyDescent="0.2">
      <c r="A5" s="1266" t="s">
        <v>1099</v>
      </c>
      <c r="B5" s="1266"/>
      <c r="C5" s="1266"/>
      <c r="D5" s="805"/>
      <c r="E5" s="805"/>
      <c r="F5" s="805"/>
      <c r="G5" s="805"/>
      <c r="H5" s="805"/>
      <c r="I5" s="805"/>
    </row>
    <row r="6" spans="1:9" ht="13.5" thickBot="1" x14ac:dyDescent="0.25">
      <c r="A6" s="802"/>
      <c r="B6" s="803"/>
    </row>
    <row r="7" spans="1:9" ht="13.5" thickBot="1" x14ac:dyDescent="0.25">
      <c r="A7" s="1270" t="s">
        <v>998</v>
      </c>
      <c r="B7" s="1271"/>
      <c r="C7" s="1272"/>
    </row>
    <row r="8" spans="1:9" ht="14.25" thickTop="1" thickBot="1" x14ac:dyDescent="0.25">
      <c r="A8" s="862" t="s">
        <v>999</v>
      </c>
      <c r="B8" s="862" t="s">
        <v>1000</v>
      </c>
      <c r="C8" s="862" t="s">
        <v>1001</v>
      </c>
    </row>
    <row r="9" spans="1:9" ht="15" customHeight="1" thickBot="1" x14ac:dyDescent="0.25">
      <c r="A9" s="1269" t="s">
        <v>1002</v>
      </c>
      <c r="B9" s="863" t="s">
        <v>1003</v>
      </c>
      <c r="C9" s="864" t="s">
        <v>1004</v>
      </c>
    </row>
    <row r="10" spans="1:9" ht="15" customHeight="1" thickBot="1" x14ac:dyDescent="0.25">
      <c r="A10" s="1269"/>
      <c r="B10" s="863" t="s">
        <v>1005</v>
      </c>
      <c r="C10" s="864" t="s">
        <v>1004</v>
      </c>
    </row>
    <row r="11" spans="1:9" ht="15" customHeight="1" thickBot="1" x14ac:dyDescent="0.25">
      <c r="A11" s="866" t="s">
        <v>1006</v>
      </c>
      <c r="B11" s="863" t="s">
        <v>1008</v>
      </c>
      <c r="C11" s="1218" t="s">
        <v>1101</v>
      </c>
    </row>
    <row r="12" spans="1:9" ht="15" customHeight="1" thickBot="1" x14ac:dyDescent="0.25">
      <c r="A12" s="871" t="s">
        <v>1007</v>
      </c>
      <c r="B12" s="863" t="s">
        <v>1010</v>
      </c>
      <c r="C12" s="864" t="s">
        <v>1011</v>
      </c>
    </row>
    <row r="13" spans="1:9" ht="15" customHeight="1" thickBot="1" x14ac:dyDescent="0.25">
      <c r="A13" s="1268" t="s">
        <v>1102</v>
      </c>
      <c r="B13" s="1269" t="s">
        <v>1014</v>
      </c>
      <c r="C13" s="1268" t="s">
        <v>1004</v>
      </c>
    </row>
    <row r="14" spans="1:9" ht="15" customHeight="1" thickBot="1" x14ac:dyDescent="0.25">
      <c r="A14" s="1268"/>
      <c r="B14" s="1269"/>
      <c r="C14" s="1268"/>
    </row>
    <row r="15" spans="1:9" ht="15" customHeight="1" thickBot="1" x14ac:dyDescent="0.25">
      <c r="A15" s="1268"/>
      <c r="B15" s="863" t="s">
        <v>1100</v>
      </c>
      <c r="C15" s="864" t="s">
        <v>1011</v>
      </c>
    </row>
    <row r="16" spans="1:9" ht="15" customHeight="1" thickBot="1" x14ac:dyDescent="0.25">
      <c r="A16" s="866" t="s">
        <v>814</v>
      </c>
      <c r="B16" s="1268" t="s">
        <v>1015</v>
      </c>
      <c r="C16" s="1268" t="s">
        <v>1004</v>
      </c>
    </row>
    <row r="17" spans="1:3" ht="15" customHeight="1" thickBot="1" x14ac:dyDescent="0.25">
      <c r="A17" s="871" t="s">
        <v>1012</v>
      </c>
      <c r="B17" s="1268"/>
      <c r="C17" s="1268"/>
    </row>
    <row r="18" spans="1:3" ht="15" customHeight="1" thickBot="1" x14ac:dyDescent="0.25">
      <c r="A18" s="866" t="s">
        <v>942</v>
      </c>
      <c r="B18" s="1269" t="s">
        <v>1103</v>
      </c>
      <c r="C18" s="1268" t="s">
        <v>1009</v>
      </c>
    </row>
    <row r="19" spans="1:3" ht="15" customHeight="1" thickBot="1" x14ac:dyDescent="0.25">
      <c r="A19" s="871" t="s">
        <v>1012</v>
      </c>
      <c r="B19" s="1269"/>
      <c r="C19" s="1268"/>
    </row>
    <row r="20" spans="1:3" ht="15" customHeight="1" thickBot="1" x14ac:dyDescent="0.25">
      <c r="A20" s="866" t="s">
        <v>1104</v>
      </c>
      <c r="B20" s="1269" t="s">
        <v>1105</v>
      </c>
      <c r="C20" s="1268" t="s">
        <v>1004</v>
      </c>
    </row>
    <row r="21" spans="1:3" ht="15" customHeight="1" thickBot="1" x14ac:dyDescent="0.25">
      <c r="A21" s="871" t="s">
        <v>1012</v>
      </c>
      <c r="B21" s="1269"/>
      <c r="C21" s="1268"/>
    </row>
    <row r="22" spans="1:3" ht="13.5" thickBot="1" x14ac:dyDescent="0.25"/>
    <row r="23" spans="1:3" ht="13.5" thickBot="1" x14ac:dyDescent="0.25">
      <c r="A23" s="1264" t="s">
        <v>813</v>
      </c>
      <c r="B23" s="1264"/>
      <c r="C23" s="1264"/>
    </row>
    <row r="24" spans="1:3" ht="13.5" thickBot="1" x14ac:dyDescent="0.25">
      <c r="A24" s="865" t="s">
        <v>999</v>
      </c>
      <c r="B24" s="865" t="s">
        <v>1000</v>
      </c>
      <c r="C24" s="865" t="s">
        <v>1001</v>
      </c>
    </row>
    <row r="25" spans="1:3" ht="15" customHeight="1" thickBot="1" x14ac:dyDescent="0.25">
      <c r="A25" s="866" t="s">
        <v>1016</v>
      </c>
      <c r="B25" s="863" t="s">
        <v>1018</v>
      </c>
      <c r="C25" s="863" t="s">
        <v>1004</v>
      </c>
    </row>
    <row r="26" spans="1:3" ht="15" customHeight="1" thickBot="1" x14ac:dyDescent="0.25">
      <c r="A26" s="871" t="s">
        <v>1017</v>
      </c>
      <c r="B26" s="863" t="s">
        <v>1016</v>
      </c>
      <c r="C26" s="863" t="s">
        <v>1019</v>
      </c>
    </row>
    <row r="27" spans="1:3" ht="13.5" thickBot="1" x14ac:dyDescent="0.25"/>
    <row r="28" spans="1:3" ht="13.5" thickBot="1" x14ac:dyDescent="0.25">
      <c r="A28" s="1264" t="s">
        <v>476</v>
      </c>
      <c r="B28" s="1264"/>
      <c r="C28" s="1264"/>
    </row>
    <row r="29" spans="1:3" ht="13.5" thickBot="1" x14ac:dyDescent="0.25">
      <c r="A29" s="865" t="s">
        <v>999</v>
      </c>
      <c r="B29" s="865" t="s">
        <v>1000</v>
      </c>
      <c r="C29" s="865" t="s">
        <v>1001</v>
      </c>
    </row>
    <row r="30" spans="1:3" ht="15" customHeight="1" thickBot="1" x14ac:dyDescent="0.25">
      <c r="A30" s="866" t="s">
        <v>1020</v>
      </c>
      <c r="B30" s="863" t="s">
        <v>1022</v>
      </c>
      <c r="C30" s="864" t="s">
        <v>1004</v>
      </c>
    </row>
    <row r="31" spans="1:3" ht="15" customHeight="1" thickBot="1" x14ac:dyDescent="0.25">
      <c r="A31" s="867" t="s">
        <v>1021</v>
      </c>
      <c r="B31" s="863" t="s">
        <v>1023</v>
      </c>
      <c r="C31" s="864" t="s">
        <v>1024</v>
      </c>
    </row>
    <row r="32" spans="1:3" ht="15" customHeight="1" thickBot="1" x14ac:dyDescent="0.25">
      <c r="A32" s="868"/>
      <c r="B32" s="863" t="s">
        <v>1025</v>
      </c>
      <c r="C32" s="864" t="s">
        <v>1004</v>
      </c>
    </row>
    <row r="33" spans="1:3" ht="15" customHeight="1" thickBot="1" x14ac:dyDescent="0.25">
      <c r="A33" s="869"/>
      <c r="B33" s="863" t="s">
        <v>1026</v>
      </c>
      <c r="C33" s="864" t="s">
        <v>1027</v>
      </c>
    </row>
    <row r="34" spans="1:3" ht="15" customHeight="1" thickBot="1" x14ac:dyDescent="0.25">
      <c r="A34" s="869"/>
      <c r="B34" s="863" t="s">
        <v>1028</v>
      </c>
      <c r="C34" s="864" t="s">
        <v>1004</v>
      </c>
    </row>
    <row r="35" spans="1:3" ht="15" customHeight="1" thickBot="1" x14ac:dyDescent="0.25">
      <c r="A35" s="870"/>
      <c r="B35" s="863" t="s">
        <v>1013</v>
      </c>
      <c r="C35" s="864" t="s">
        <v>1009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2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4" bestFit="1" customWidth="1"/>
    <col min="2" max="2" width="63" style="424" customWidth="1"/>
    <col min="3" max="3" width="6.33203125" style="423" hidden="1" customWidth="1"/>
    <col min="4" max="4" width="9.83203125" style="482" bestFit="1" customWidth="1"/>
    <col min="5" max="5" width="18.1640625" style="482" customWidth="1"/>
    <col min="6" max="6" width="15.1640625" style="482" customWidth="1"/>
    <col min="7" max="7" width="15.5" style="482" customWidth="1"/>
    <col min="8" max="8" width="11.33203125" style="482" bestFit="1" customWidth="1"/>
    <col min="9" max="9" width="9.83203125" style="482" bestFit="1" customWidth="1"/>
    <col min="10" max="10" width="13.1640625" style="483" bestFit="1" customWidth="1"/>
    <col min="11" max="11" width="17.33203125" style="423" customWidth="1"/>
    <col min="12" max="12" width="9.1640625" style="423" hidden="1" customWidth="1"/>
    <col min="13" max="13" width="16.83203125" style="423" customWidth="1"/>
    <col min="14" max="14" width="0" style="423" hidden="1" customWidth="1"/>
    <col min="15" max="15" width="18.5" style="423" customWidth="1"/>
    <col min="16" max="16" width="9.83203125" style="423" customWidth="1"/>
    <col min="17" max="17" width="16.1640625" style="467" customWidth="1"/>
    <col min="18" max="18" width="9.33203125" style="424"/>
    <col min="19" max="19" width="9.33203125" style="425"/>
    <col min="20" max="16384" width="9.33203125" style="424"/>
  </cols>
  <sheetData>
    <row r="1" spans="1:19" x14ac:dyDescent="0.25">
      <c r="A1" s="1343" t="s">
        <v>679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  <c r="O1" s="1343"/>
      <c r="P1" s="1343"/>
      <c r="Q1" s="1343"/>
    </row>
    <row r="2" spans="1:19" x14ac:dyDescent="0.25">
      <c r="A2" s="1344" t="s">
        <v>472</v>
      </c>
      <c r="B2" s="1344"/>
      <c r="C2" s="1344"/>
      <c r="D2" s="1344"/>
      <c r="E2" s="1344"/>
      <c r="F2" s="1344"/>
      <c r="G2" s="1344"/>
      <c r="H2" s="1344"/>
      <c r="I2" s="1344"/>
      <c r="J2" s="1344"/>
      <c r="K2" s="1344"/>
      <c r="L2" s="1344"/>
      <c r="M2" s="1344"/>
      <c r="N2" s="1344"/>
      <c r="O2" s="1344"/>
      <c r="P2" s="1344"/>
      <c r="Q2" s="1344"/>
    </row>
    <row r="3" spans="1:19" x14ac:dyDescent="0.25">
      <c r="A3" s="426"/>
      <c r="B3" s="426"/>
      <c r="C3" s="426"/>
      <c r="D3" s="426"/>
      <c r="E3" s="426"/>
      <c r="F3" s="426"/>
      <c r="G3" s="426"/>
      <c r="H3" s="426"/>
      <c r="I3" s="426"/>
      <c r="J3" s="426"/>
      <c r="Q3" s="423"/>
    </row>
    <row r="4" spans="1:19" s="430" customFormat="1" x14ac:dyDescent="0.2">
      <c r="A4" s="427"/>
      <c r="B4" s="428" t="s">
        <v>12</v>
      </c>
      <c r="C4" s="429">
        <v>2011</v>
      </c>
      <c r="D4" s="1345" t="s">
        <v>473</v>
      </c>
      <c r="E4" s="1346"/>
      <c r="F4" s="1346"/>
      <c r="G4" s="1346"/>
      <c r="H4" s="1346"/>
      <c r="I4" s="1346"/>
      <c r="J4" s="1347"/>
      <c r="K4" s="1345" t="s">
        <v>474</v>
      </c>
      <c r="L4" s="1346"/>
      <c r="M4" s="1346"/>
      <c r="N4" s="1346"/>
      <c r="O4" s="1346"/>
      <c r="P4" s="1346"/>
      <c r="Q4" s="1347"/>
      <c r="S4" s="431"/>
    </row>
    <row r="5" spans="1:19" s="430" customFormat="1" ht="75" x14ac:dyDescent="0.2">
      <c r="A5" s="432"/>
      <c r="B5" s="433"/>
      <c r="C5" s="434" t="s">
        <v>475</v>
      </c>
      <c r="D5" s="435" t="s">
        <v>451</v>
      </c>
      <c r="E5" s="435" t="s">
        <v>476</v>
      </c>
      <c r="F5" s="435" t="s">
        <v>477</v>
      </c>
      <c r="G5" s="435" t="s">
        <v>478</v>
      </c>
      <c r="H5" s="435" t="s">
        <v>449</v>
      </c>
      <c r="I5" s="435" t="s">
        <v>450</v>
      </c>
      <c r="J5" s="436" t="s">
        <v>918</v>
      </c>
      <c r="K5" s="435" t="s">
        <v>476</v>
      </c>
      <c r="L5" s="435" t="s">
        <v>477</v>
      </c>
      <c r="M5" s="435" t="s">
        <v>478</v>
      </c>
      <c r="N5" s="435" t="s">
        <v>449</v>
      </c>
      <c r="O5" s="435" t="s">
        <v>680</v>
      </c>
      <c r="P5" s="435" t="s">
        <v>450</v>
      </c>
      <c r="Q5" s="436" t="s">
        <v>918</v>
      </c>
      <c r="S5" s="431"/>
    </row>
    <row r="6" spans="1:19" x14ac:dyDescent="0.25">
      <c r="A6" s="438">
        <v>1</v>
      </c>
      <c r="B6" s="439" t="s">
        <v>479</v>
      </c>
      <c r="C6" s="440"/>
      <c r="D6" s="441">
        <v>27.562999999999999</v>
      </c>
      <c r="E6" s="441">
        <v>0</v>
      </c>
      <c r="F6" s="441">
        <v>0</v>
      </c>
      <c r="G6" s="441">
        <v>0</v>
      </c>
      <c r="H6" s="441">
        <v>392.04300000000001</v>
      </c>
      <c r="I6" s="441">
        <v>0</v>
      </c>
      <c r="J6" s="442">
        <v>419.60599999999999</v>
      </c>
      <c r="K6" s="443">
        <v>0</v>
      </c>
      <c r="L6" s="443">
        <v>0</v>
      </c>
      <c r="M6" s="443">
        <v>0</v>
      </c>
      <c r="N6" s="443">
        <v>0</v>
      </c>
      <c r="O6" s="443">
        <v>0</v>
      </c>
      <c r="P6" s="443">
        <v>0</v>
      </c>
      <c r="Q6" s="444">
        <v>0</v>
      </c>
    </row>
    <row r="7" spans="1:19" x14ac:dyDescent="0.25">
      <c r="A7" s="438">
        <v>2</v>
      </c>
      <c r="B7" s="439" t="s">
        <v>480</v>
      </c>
      <c r="C7" s="440"/>
      <c r="D7" s="441">
        <v>0</v>
      </c>
      <c r="E7" s="441">
        <v>0</v>
      </c>
      <c r="F7" s="441">
        <v>0</v>
      </c>
      <c r="G7" s="441">
        <v>0</v>
      </c>
      <c r="H7" s="441">
        <v>20548.030999999999</v>
      </c>
      <c r="I7" s="441">
        <v>0</v>
      </c>
      <c r="J7" s="442">
        <v>20548.030999999999</v>
      </c>
      <c r="K7" s="443">
        <v>0</v>
      </c>
      <c r="L7" s="443">
        <v>0</v>
      </c>
      <c r="M7" s="443">
        <v>0</v>
      </c>
      <c r="N7" s="443">
        <v>9998.68</v>
      </c>
      <c r="O7" s="443">
        <v>9998.68</v>
      </c>
      <c r="P7" s="443">
        <v>0</v>
      </c>
      <c r="Q7" s="444">
        <v>9998.68</v>
      </c>
    </row>
    <row r="8" spans="1:19" x14ac:dyDescent="0.25">
      <c r="A8" s="438">
        <v>3</v>
      </c>
      <c r="B8" s="439" t="s">
        <v>481</v>
      </c>
      <c r="C8" s="440">
        <v>0</v>
      </c>
      <c r="D8" s="441">
        <v>0</v>
      </c>
      <c r="E8" s="441">
        <v>0</v>
      </c>
      <c r="F8" s="441">
        <v>0</v>
      </c>
      <c r="G8" s="441">
        <v>0</v>
      </c>
      <c r="H8" s="441">
        <v>81690.829999999987</v>
      </c>
      <c r="I8" s="441">
        <v>0</v>
      </c>
      <c r="J8" s="442">
        <v>81690.829999999987</v>
      </c>
      <c r="K8" s="443">
        <v>0</v>
      </c>
      <c r="L8" s="443">
        <v>0</v>
      </c>
      <c r="M8" s="443">
        <v>0</v>
      </c>
      <c r="N8" s="443">
        <v>100697.92</v>
      </c>
      <c r="O8" s="443">
        <v>100697.92</v>
      </c>
      <c r="P8" s="443">
        <v>0</v>
      </c>
      <c r="Q8" s="444">
        <v>100697.92</v>
      </c>
    </row>
    <row r="9" spans="1:19" x14ac:dyDescent="0.25">
      <c r="A9" s="438">
        <v>4</v>
      </c>
      <c r="B9" s="439" t="s">
        <v>482</v>
      </c>
      <c r="C9" s="440"/>
      <c r="D9" s="441">
        <v>0</v>
      </c>
      <c r="E9" s="441">
        <v>0</v>
      </c>
      <c r="F9" s="441">
        <v>0</v>
      </c>
      <c r="G9" s="441">
        <v>0</v>
      </c>
      <c r="H9" s="441">
        <v>33829.214999999997</v>
      </c>
      <c r="I9" s="441">
        <v>0</v>
      </c>
      <c r="J9" s="442">
        <v>33829.214999999997</v>
      </c>
      <c r="K9" s="443">
        <v>0</v>
      </c>
      <c r="L9" s="443">
        <v>0</v>
      </c>
      <c r="M9" s="443">
        <v>0</v>
      </c>
      <c r="N9" s="443">
        <v>42924.409999999996</v>
      </c>
      <c r="O9" s="443">
        <v>42924.409999999996</v>
      </c>
      <c r="P9" s="443">
        <v>0</v>
      </c>
      <c r="Q9" s="444">
        <v>42924.409999999996</v>
      </c>
    </row>
    <row r="10" spans="1:19" x14ac:dyDescent="0.25">
      <c r="A10" s="438">
        <v>5</v>
      </c>
      <c r="B10" s="439" t="s">
        <v>483</v>
      </c>
      <c r="C10" s="440"/>
      <c r="D10" s="441">
        <v>0</v>
      </c>
      <c r="E10" s="441">
        <v>0</v>
      </c>
      <c r="F10" s="441">
        <v>0</v>
      </c>
      <c r="G10" s="441">
        <v>0</v>
      </c>
      <c r="H10" s="441">
        <v>18379.445</v>
      </c>
      <c r="I10" s="441">
        <v>0</v>
      </c>
      <c r="J10" s="442">
        <v>18379.445</v>
      </c>
      <c r="K10" s="443">
        <v>0</v>
      </c>
      <c r="L10" s="443">
        <v>0</v>
      </c>
      <c r="M10" s="443">
        <v>0</v>
      </c>
      <c r="N10" s="443">
        <v>21189.848000000002</v>
      </c>
      <c r="O10" s="443">
        <v>21189.848000000002</v>
      </c>
      <c r="P10" s="443">
        <v>0</v>
      </c>
      <c r="Q10" s="444">
        <v>21189.848000000002</v>
      </c>
    </row>
    <row r="11" spans="1:19" x14ac:dyDescent="0.25">
      <c r="A11" s="438">
        <v>6</v>
      </c>
      <c r="B11" s="439" t="s">
        <v>116</v>
      </c>
      <c r="C11" s="440"/>
      <c r="D11" s="441">
        <v>0</v>
      </c>
      <c r="E11" s="441">
        <v>0</v>
      </c>
      <c r="F11" s="441">
        <v>0</v>
      </c>
      <c r="G11" s="441">
        <v>0</v>
      </c>
      <c r="H11" s="441">
        <v>0</v>
      </c>
      <c r="I11" s="441">
        <v>0</v>
      </c>
      <c r="J11" s="442">
        <v>0</v>
      </c>
      <c r="K11" s="443">
        <v>0</v>
      </c>
      <c r="L11" s="443">
        <v>0</v>
      </c>
      <c r="M11" s="443">
        <v>0</v>
      </c>
      <c r="N11" s="443">
        <v>0</v>
      </c>
      <c r="O11" s="443">
        <v>0</v>
      </c>
      <c r="P11" s="443">
        <v>0</v>
      </c>
      <c r="Q11" s="444">
        <v>0</v>
      </c>
    </row>
    <row r="12" spans="1:19" x14ac:dyDescent="0.25">
      <c r="A12" s="438">
        <v>7</v>
      </c>
      <c r="B12" s="439" t="s">
        <v>484</v>
      </c>
      <c r="C12" s="440"/>
      <c r="D12" s="441">
        <v>0</v>
      </c>
      <c r="E12" s="441">
        <v>0</v>
      </c>
      <c r="F12" s="441">
        <v>0</v>
      </c>
      <c r="G12" s="441">
        <v>0</v>
      </c>
      <c r="H12" s="441">
        <v>29482.17</v>
      </c>
      <c r="I12" s="441">
        <v>0</v>
      </c>
      <c r="J12" s="442">
        <v>29482.17</v>
      </c>
      <c r="K12" s="443">
        <v>0</v>
      </c>
      <c r="L12" s="443">
        <v>0</v>
      </c>
      <c r="M12" s="443">
        <v>0</v>
      </c>
      <c r="N12" s="443">
        <v>36583.661999999997</v>
      </c>
      <c r="O12" s="443">
        <v>36583.661999999997</v>
      </c>
      <c r="P12" s="443">
        <v>0</v>
      </c>
      <c r="Q12" s="444">
        <v>36583.661999999997</v>
      </c>
    </row>
    <row r="13" spans="1:19" x14ac:dyDescent="0.25">
      <c r="A13" s="438">
        <v>8</v>
      </c>
      <c r="B13" s="439" t="s">
        <v>485</v>
      </c>
      <c r="C13" s="440"/>
      <c r="D13" s="441">
        <v>0</v>
      </c>
      <c r="E13" s="441">
        <v>0</v>
      </c>
      <c r="F13" s="441">
        <v>0</v>
      </c>
      <c r="G13" s="441">
        <v>0</v>
      </c>
      <c r="H13" s="441">
        <v>0</v>
      </c>
      <c r="I13" s="441">
        <v>0</v>
      </c>
      <c r="J13" s="442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443">
        <v>0</v>
      </c>
      <c r="Q13" s="444">
        <v>0</v>
      </c>
    </row>
    <row r="14" spans="1:19" x14ac:dyDescent="0.25">
      <c r="A14" s="438">
        <v>9</v>
      </c>
      <c r="B14" s="439" t="s">
        <v>486</v>
      </c>
      <c r="C14" s="440">
        <v>0</v>
      </c>
      <c r="D14" s="441">
        <v>0</v>
      </c>
      <c r="E14" s="441">
        <v>0</v>
      </c>
      <c r="F14" s="441">
        <v>0</v>
      </c>
      <c r="G14" s="441">
        <v>0</v>
      </c>
      <c r="H14" s="441">
        <v>91588.676000000007</v>
      </c>
      <c r="I14" s="441">
        <v>0</v>
      </c>
      <c r="J14" s="442">
        <v>91588.676000000007</v>
      </c>
      <c r="K14" s="443">
        <v>0</v>
      </c>
      <c r="L14" s="443">
        <v>0</v>
      </c>
      <c r="M14" s="443">
        <v>0</v>
      </c>
      <c r="N14" s="443">
        <v>0</v>
      </c>
      <c r="O14" s="443">
        <v>0</v>
      </c>
      <c r="P14" s="443">
        <v>0</v>
      </c>
      <c r="Q14" s="444">
        <v>0</v>
      </c>
    </row>
    <row r="15" spans="1:19" x14ac:dyDescent="0.25">
      <c r="A15" s="438"/>
      <c r="B15" s="439" t="s">
        <v>487</v>
      </c>
      <c r="C15" s="440"/>
      <c r="D15" s="441">
        <v>0</v>
      </c>
      <c r="E15" s="441">
        <v>0</v>
      </c>
      <c r="F15" s="441">
        <v>0</v>
      </c>
      <c r="G15" s="441">
        <v>0</v>
      </c>
      <c r="H15" s="441">
        <v>0</v>
      </c>
      <c r="I15" s="441">
        <v>0</v>
      </c>
      <c r="J15" s="442">
        <v>0</v>
      </c>
      <c r="K15" s="443">
        <v>0</v>
      </c>
      <c r="L15" s="443">
        <v>0</v>
      </c>
      <c r="M15" s="443">
        <v>0</v>
      </c>
      <c r="N15" s="443">
        <v>0</v>
      </c>
      <c r="O15" s="443">
        <v>0</v>
      </c>
      <c r="P15" s="443">
        <v>0</v>
      </c>
      <c r="Q15" s="444">
        <v>0</v>
      </c>
    </row>
    <row r="16" spans="1:19" ht="30" x14ac:dyDescent="0.25">
      <c r="A16" s="438">
        <v>10</v>
      </c>
      <c r="B16" s="439" t="s">
        <v>488</v>
      </c>
      <c r="C16" s="440"/>
      <c r="D16" s="441">
        <v>0</v>
      </c>
      <c r="E16" s="441">
        <v>0</v>
      </c>
      <c r="F16" s="441">
        <v>0</v>
      </c>
      <c r="G16" s="441">
        <v>0</v>
      </c>
      <c r="H16" s="441">
        <v>63892.480000000003</v>
      </c>
      <c r="I16" s="441">
        <v>0</v>
      </c>
      <c r="J16" s="442">
        <v>63892.480000000003</v>
      </c>
      <c r="K16" s="443">
        <v>0</v>
      </c>
      <c r="L16" s="443">
        <v>0</v>
      </c>
      <c r="M16" s="443">
        <v>0</v>
      </c>
      <c r="N16" s="443">
        <v>0</v>
      </c>
      <c r="O16" s="443">
        <v>0</v>
      </c>
      <c r="P16" s="443">
        <v>0</v>
      </c>
      <c r="Q16" s="444">
        <v>0</v>
      </c>
    </row>
    <row r="17" spans="1:19" x14ac:dyDescent="0.25">
      <c r="A17" s="438">
        <v>11</v>
      </c>
      <c r="B17" s="439" t="s">
        <v>489</v>
      </c>
      <c r="C17" s="440"/>
      <c r="D17" s="441">
        <v>0</v>
      </c>
      <c r="E17" s="441">
        <v>0</v>
      </c>
      <c r="F17" s="441">
        <v>0</v>
      </c>
      <c r="G17" s="441">
        <v>0</v>
      </c>
      <c r="H17" s="441">
        <v>27696.196</v>
      </c>
      <c r="I17" s="441">
        <v>0</v>
      </c>
      <c r="J17" s="442">
        <v>27696.196</v>
      </c>
      <c r="K17" s="443">
        <v>0</v>
      </c>
      <c r="L17" s="443">
        <v>0</v>
      </c>
      <c r="M17" s="443">
        <v>0</v>
      </c>
      <c r="N17" s="443">
        <v>0</v>
      </c>
      <c r="O17" s="443">
        <v>0</v>
      </c>
      <c r="P17" s="443">
        <v>0</v>
      </c>
      <c r="Q17" s="444">
        <v>0</v>
      </c>
    </row>
    <row r="18" spans="1:19" x14ac:dyDescent="0.25">
      <c r="A18" s="438">
        <v>12</v>
      </c>
      <c r="B18" s="439" t="s">
        <v>490</v>
      </c>
      <c r="C18" s="440"/>
      <c r="D18" s="441">
        <v>0</v>
      </c>
      <c r="E18" s="441">
        <v>0</v>
      </c>
      <c r="F18" s="441">
        <v>0</v>
      </c>
      <c r="G18" s="441">
        <v>0</v>
      </c>
      <c r="H18" s="441">
        <v>0</v>
      </c>
      <c r="I18" s="441">
        <v>0</v>
      </c>
      <c r="J18" s="442">
        <v>0</v>
      </c>
      <c r="K18" s="443">
        <v>0</v>
      </c>
      <c r="L18" s="443">
        <v>0</v>
      </c>
      <c r="M18" s="443">
        <v>0</v>
      </c>
      <c r="N18" s="443">
        <v>0</v>
      </c>
      <c r="O18" s="443">
        <v>0</v>
      </c>
      <c r="P18" s="443">
        <v>0</v>
      </c>
      <c r="Q18" s="444">
        <v>0</v>
      </c>
    </row>
    <row r="19" spans="1:19" x14ac:dyDescent="0.25">
      <c r="A19" s="438">
        <v>13</v>
      </c>
      <c r="B19" s="439" t="s">
        <v>491</v>
      </c>
      <c r="C19" s="440"/>
      <c r="D19" s="441">
        <v>0</v>
      </c>
      <c r="E19" s="441">
        <v>0</v>
      </c>
      <c r="F19" s="441">
        <v>0</v>
      </c>
      <c r="G19" s="441">
        <v>0</v>
      </c>
      <c r="H19" s="441">
        <v>0</v>
      </c>
      <c r="I19" s="441">
        <v>0</v>
      </c>
      <c r="J19" s="442">
        <v>0</v>
      </c>
      <c r="K19" s="443">
        <v>0</v>
      </c>
      <c r="L19" s="443">
        <v>0</v>
      </c>
      <c r="M19" s="443">
        <v>0</v>
      </c>
      <c r="N19" s="443">
        <v>0</v>
      </c>
      <c r="O19" s="443">
        <v>0</v>
      </c>
      <c r="P19" s="443">
        <v>0</v>
      </c>
      <c r="Q19" s="444">
        <v>0</v>
      </c>
    </row>
    <row r="20" spans="1:19" x14ac:dyDescent="0.25">
      <c r="A20" s="438">
        <v>14</v>
      </c>
      <c r="B20" s="439" t="s">
        <v>492</v>
      </c>
      <c r="C20" s="440"/>
      <c r="D20" s="441">
        <v>0</v>
      </c>
      <c r="E20" s="441">
        <v>0</v>
      </c>
      <c r="F20" s="441">
        <v>0</v>
      </c>
      <c r="G20" s="441">
        <v>0</v>
      </c>
      <c r="H20" s="441">
        <v>177.84299999999999</v>
      </c>
      <c r="I20" s="441">
        <v>0</v>
      </c>
      <c r="J20" s="442">
        <v>177.84299999999999</v>
      </c>
      <c r="K20" s="443">
        <v>0</v>
      </c>
      <c r="L20" s="443">
        <v>0</v>
      </c>
      <c r="M20" s="443">
        <v>0</v>
      </c>
      <c r="N20" s="443">
        <v>234.5</v>
      </c>
      <c r="O20" s="443">
        <v>234.5</v>
      </c>
      <c r="P20" s="443">
        <v>0</v>
      </c>
      <c r="Q20" s="444">
        <v>234.5</v>
      </c>
    </row>
    <row r="21" spans="1:19" ht="45" x14ac:dyDescent="0.25">
      <c r="A21" s="438">
        <v>15</v>
      </c>
      <c r="B21" s="439" t="s">
        <v>493</v>
      </c>
      <c r="C21" s="440"/>
      <c r="D21" s="441">
        <v>0</v>
      </c>
      <c r="E21" s="441">
        <v>0</v>
      </c>
      <c r="F21" s="441">
        <v>0</v>
      </c>
      <c r="G21" s="441">
        <v>0</v>
      </c>
      <c r="H21" s="441">
        <v>2732.6729999999998</v>
      </c>
      <c r="I21" s="441">
        <v>0</v>
      </c>
      <c r="J21" s="442">
        <v>2732.6729999999998</v>
      </c>
      <c r="K21" s="443">
        <v>0</v>
      </c>
      <c r="L21" s="443">
        <v>0</v>
      </c>
      <c r="M21" s="443">
        <v>0</v>
      </c>
      <c r="N21" s="443">
        <v>3411.7649999999999</v>
      </c>
      <c r="O21" s="443">
        <v>3411.7649999999999</v>
      </c>
      <c r="P21" s="443">
        <v>0</v>
      </c>
      <c r="Q21" s="444">
        <v>3411.7649999999999</v>
      </c>
    </row>
    <row r="22" spans="1:19" s="452" customFormat="1" ht="30" x14ac:dyDescent="0.25">
      <c r="A22" s="455">
        <v>16</v>
      </c>
      <c r="B22" s="456" t="s">
        <v>494</v>
      </c>
      <c r="C22" s="457">
        <v>0</v>
      </c>
      <c r="D22" s="457">
        <v>27.562999999999999</v>
      </c>
      <c r="E22" s="457">
        <v>0</v>
      </c>
      <c r="F22" s="457">
        <v>0</v>
      </c>
      <c r="G22" s="457">
        <v>0</v>
      </c>
      <c r="H22" s="457">
        <v>197130.09599999999</v>
      </c>
      <c r="I22" s="457">
        <v>0</v>
      </c>
      <c r="J22" s="457">
        <v>197157.65899999999</v>
      </c>
      <c r="K22" s="457">
        <v>0</v>
      </c>
      <c r="L22" s="457">
        <v>0</v>
      </c>
      <c r="M22" s="457">
        <v>0</v>
      </c>
      <c r="N22" s="457">
        <v>114342.86500000001</v>
      </c>
      <c r="O22" s="457">
        <v>114342.86500000001</v>
      </c>
      <c r="P22" s="457">
        <v>0</v>
      </c>
      <c r="Q22" s="457">
        <v>114342.86500000001</v>
      </c>
    </row>
    <row r="23" spans="1:19" s="458" customFormat="1" x14ac:dyDescent="0.25">
      <c r="A23" s="445">
        <v>17</v>
      </c>
      <c r="B23" s="446" t="s">
        <v>495</v>
      </c>
      <c r="C23" s="447">
        <v>0</v>
      </c>
      <c r="D23" s="447">
        <v>4243.21</v>
      </c>
      <c r="E23" s="447">
        <v>1897.9190000000001</v>
      </c>
      <c r="F23" s="447">
        <v>97.016999999999996</v>
      </c>
      <c r="G23" s="447">
        <v>68.47</v>
      </c>
      <c r="H23" s="447">
        <v>10089.620000000001</v>
      </c>
      <c r="I23" s="447">
        <v>0</v>
      </c>
      <c r="J23" s="447">
        <v>16396.236000000001</v>
      </c>
      <c r="K23" s="447">
        <v>5104.866</v>
      </c>
      <c r="L23" s="447">
        <v>546.55100000000004</v>
      </c>
      <c r="M23" s="447">
        <v>250</v>
      </c>
      <c r="N23" s="447">
        <v>6559.9620000000014</v>
      </c>
      <c r="O23" s="447">
        <v>7106.5130000000017</v>
      </c>
      <c r="P23" s="447">
        <v>0</v>
      </c>
      <c r="Q23" s="499">
        <v>12461.379000000001</v>
      </c>
      <c r="S23" s="459"/>
    </row>
    <row r="24" spans="1:19" s="460" customFormat="1" x14ac:dyDescent="0.25">
      <c r="A24" s="438"/>
      <c r="B24" s="450" t="s">
        <v>496</v>
      </c>
      <c r="C24" s="451"/>
      <c r="D24" s="441">
        <v>0</v>
      </c>
      <c r="E24" s="441">
        <v>0</v>
      </c>
      <c r="F24" s="441">
        <v>0</v>
      </c>
      <c r="G24" s="441">
        <v>0</v>
      </c>
      <c r="H24" s="441">
        <v>0</v>
      </c>
      <c r="I24" s="441">
        <v>0</v>
      </c>
      <c r="J24" s="442">
        <v>0</v>
      </c>
      <c r="K24" s="443">
        <v>0</v>
      </c>
      <c r="L24" s="443">
        <v>0</v>
      </c>
      <c r="M24" s="443">
        <v>0</v>
      </c>
      <c r="N24" s="443">
        <v>0</v>
      </c>
      <c r="O24" s="443">
        <v>0</v>
      </c>
      <c r="P24" s="443">
        <v>0</v>
      </c>
      <c r="Q24" s="444">
        <v>0</v>
      </c>
      <c r="S24" s="452"/>
    </row>
    <row r="25" spans="1:19" s="460" customFormat="1" x14ac:dyDescent="0.25">
      <c r="A25" s="449">
        <v>18</v>
      </c>
      <c r="B25" s="453" t="s">
        <v>497</v>
      </c>
      <c r="C25" s="451"/>
      <c r="D25" s="441">
        <v>0</v>
      </c>
      <c r="E25" s="441">
        <v>0</v>
      </c>
      <c r="F25" s="441">
        <v>0</v>
      </c>
      <c r="G25" s="441">
        <v>0</v>
      </c>
      <c r="H25" s="441">
        <v>0</v>
      </c>
      <c r="I25" s="441">
        <v>0</v>
      </c>
      <c r="J25" s="442">
        <v>0</v>
      </c>
      <c r="K25" s="443">
        <v>0</v>
      </c>
      <c r="L25" s="443">
        <v>0</v>
      </c>
      <c r="M25" s="443">
        <v>0</v>
      </c>
      <c r="N25" s="443">
        <v>0</v>
      </c>
      <c r="O25" s="443">
        <v>0</v>
      </c>
      <c r="P25" s="443">
        <v>0</v>
      </c>
      <c r="Q25" s="444">
        <v>0</v>
      </c>
      <c r="S25" s="452"/>
    </row>
    <row r="26" spans="1:19" s="460" customFormat="1" x14ac:dyDescent="0.25">
      <c r="A26" s="449">
        <v>19</v>
      </c>
      <c r="B26" s="453" t="s">
        <v>498</v>
      </c>
      <c r="C26" s="451"/>
      <c r="D26" s="441">
        <v>0</v>
      </c>
      <c r="E26" s="441">
        <v>0</v>
      </c>
      <c r="F26" s="441">
        <v>0</v>
      </c>
      <c r="G26" s="441">
        <v>0</v>
      </c>
      <c r="H26" s="441">
        <v>-379.15300000000002</v>
      </c>
      <c r="I26" s="441">
        <v>0</v>
      </c>
      <c r="J26" s="442">
        <v>-379.15300000000002</v>
      </c>
      <c r="K26" s="443">
        <v>0</v>
      </c>
      <c r="L26" s="443">
        <v>0</v>
      </c>
      <c r="M26" s="443">
        <v>0</v>
      </c>
      <c r="N26" s="443">
        <v>0</v>
      </c>
      <c r="O26" s="443">
        <v>0</v>
      </c>
      <c r="P26" s="443">
        <v>0</v>
      </c>
      <c r="Q26" s="444">
        <v>0</v>
      </c>
      <c r="S26" s="452"/>
    </row>
    <row r="27" spans="1:19" s="462" customFormat="1" x14ac:dyDescent="0.25">
      <c r="A27" s="449">
        <v>20</v>
      </c>
      <c r="B27" s="453" t="s">
        <v>499</v>
      </c>
      <c r="C27" s="461"/>
      <c r="D27" s="441">
        <v>60.6</v>
      </c>
      <c r="E27" s="441">
        <v>0</v>
      </c>
      <c r="F27" s="441">
        <v>50.9</v>
      </c>
      <c r="G27" s="441">
        <v>0</v>
      </c>
      <c r="H27" s="441">
        <v>0</v>
      </c>
      <c r="I27" s="441">
        <v>0</v>
      </c>
      <c r="J27" s="442">
        <v>111.5</v>
      </c>
      <c r="K27" s="443">
        <v>0</v>
      </c>
      <c r="L27" s="443">
        <v>0</v>
      </c>
      <c r="M27" s="443">
        <v>0</v>
      </c>
      <c r="N27" s="443">
        <v>0</v>
      </c>
      <c r="O27" s="443">
        <v>0</v>
      </c>
      <c r="P27" s="443">
        <v>0</v>
      </c>
      <c r="Q27" s="444">
        <v>0</v>
      </c>
      <c r="S27" s="452"/>
    </row>
    <row r="28" spans="1:19" s="460" customFormat="1" x14ac:dyDescent="0.25">
      <c r="A28" s="449">
        <v>21</v>
      </c>
      <c r="B28" s="453" t="s">
        <v>500</v>
      </c>
      <c r="C28" s="451"/>
      <c r="D28" s="441">
        <v>0</v>
      </c>
      <c r="E28" s="441">
        <v>0</v>
      </c>
      <c r="F28" s="441">
        <v>0</v>
      </c>
      <c r="G28" s="441">
        <v>0</v>
      </c>
      <c r="H28" s="441">
        <v>1749.952</v>
      </c>
      <c r="I28" s="441">
        <v>0</v>
      </c>
      <c r="J28" s="442">
        <v>1749.952</v>
      </c>
      <c r="K28" s="443">
        <v>0</v>
      </c>
      <c r="L28" s="443">
        <v>0</v>
      </c>
      <c r="M28" s="443">
        <v>0</v>
      </c>
      <c r="N28" s="443">
        <v>0</v>
      </c>
      <c r="O28" s="443">
        <v>0</v>
      </c>
      <c r="P28" s="443">
        <v>0</v>
      </c>
      <c r="Q28" s="444">
        <v>0</v>
      </c>
      <c r="S28" s="452"/>
    </row>
    <row r="29" spans="1:19" s="460" customFormat="1" ht="30" x14ac:dyDescent="0.25">
      <c r="A29" s="449">
        <v>22</v>
      </c>
      <c r="B29" s="453" t="s">
        <v>501</v>
      </c>
      <c r="C29" s="451"/>
      <c r="D29" s="441">
        <v>0</v>
      </c>
      <c r="E29" s="441">
        <v>0</v>
      </c>
      <c r="F29" s="441">
        <v>0</v>
      </c>
      <c r="G29" s="441">
        <v>0</v>
      </c>
      <c r="H29" s="441">
        <v>940.2</v>
      </c>
      <c r="I29" s="441">
        <v>0</v>
      </c>
      <c r="J29" s="442">
        <v>940.2</v>
      </c>
      <c r="K29" s="443">
        <v>0</v>
      </c>
      <c r="L29" s="443">
        <v>0</v>
      </c>
      <c r="M29" s="443">
        <v>0</v>
      </c>
      <c r="N29" s="443">
        <v>0</v>
      </c>
      <c r="O29" s="443">
        <v>0</v>
      </c>
      <c r="P29" s="443">
        <v>0</v>
      </c>
      <c r="Q29" s="444">
        <v>0</v>
      </c>
      <c r="S29" s="452"/>
    </row>
    <row r="30" spans="1:19" s="460" customFormat="1" x14ac:dyDescent="0.25">
      <c r="A30" s="449">
        <v>23</v>
      </c>
      <c r="B30" s="453" t="s">
        <v>502</v>
      </c>
      <c r="C30" s="451">
        <v>0</v>
      </c>
      <c r="D30" s="441">
        <v>29.12</v>
      </c>
      <c r="E30" s="441">
        <v>0</v>
      </c>
      <c r="F30" s="441">
        <v>0</v>
      </c>
      <c r="G30" s="441">
        <v>68.47</v>
      </c>
      <c r="H30" s="441">
        <v>7778.621000000001</v>
      </c>
      <c r="I30" s="441">
        <v>0</v>
      </c>
      <c r="J30" s="442">
        <v>7876.2110000000002</v>
      </c>
      <c r="K30" s="443">
        <v>0</v>
      </c>
      <c r="L30" s="443">
        <v>0</v>
      </c>
      <c r="M30" s="443">
        <v>250</v>
      </c>
      <c r="N30" s="443">
        <v>6559.9620000000014</v>
      </c>
      <c r="O30" s="443">
        <v>6559.9620000000014</v>
      </c>
      <c r="P30" s="443">
        <v>0</v>
      </c>
      <c r="Q30" s="444">
        <v>6809.9620000000014</v>
      </c>
      <c r="S30" s="452"/>
    </row>
    <row r="31" spans="1:19" s="460" customFormat="1" x14ac:dyDescent="0.25">
      <c r="A31" s="449">
        <v>24</v>
      </c>
      <c r="B31" s="463" t="s">
        <v>503</v>
      </c>
      <c r="C31" s="451"/>
      <c r="D31" s="441">
        <v>0</v>
      </c>
      <c r="E31" s="441">
        <v>0</v>
      </c>
      <c r="F31" s="441">
        <v>0</v>
      </c>
      <c r="G31" s="441">
        <v>0</v>
      </c>
      <c r="H31" s="441">
        <v>2307.4070000000002</v>
      </c>
      <c r="I31" s="441">
        <v>0</v>
      </c>
      <c r="J31" s="442">
        <v>2307.4070000000002</v>
      </c>
      <c r="K31" s="443">
        <v>0</v>
      </c>
      <c r="L31" s="443">
        <v>0</v>
      </c>
      <c r="M31" s="443">
        <v>0</v>
      </c>
      <c r="N31" s="443">
        <v>2307.4070000000002</v>
      </c>
      <c r="O31" s="443">
        <v>2307.4070000000002</v>
      </c>
      <c r="P31" s="443">
        <v>0</v>
      </c>
      <c r="Q31" s="444">
        <v>2307.4070000000002</v>
      </c>
      <c r="S31" s="452"/>
    </row>
    <row r="32" spans="1:19" s="460" customFormat="1" x14ac:dyDescent="0.25">
      <c r="A32" s="449">
        <v>25</v>
      </c>
      <c r="B32" s="463" t="s">
        <v>504</v>
      </c>
      <c r="C32" s="451"/>
      <c r="D32" s="441">
        <v>0</v>
      </c>
      <c r="E32" s="441">
        <v>0</v>
      </c>
      <c r="F32" s="441">
        <v>0</v>
      </c>
      <c r="G32" s="441">
        <v>0</v>
      </c>
      <c r="H32" s="441">
        <v>289.65800000000002</v>
      </c>
      <c r="I32" s="441">
        <v>0</v>
      </c>
      <c r="J32" s="442">
        <v>289.65800000000002</v>
      </c>
      <c r="K32" s="443">
        <v>0</v>
      </c>
      <c r="L32" s="443">
        <v>0</v>
      </c>
      <c r="M32" s="443">
        <v>0</v>
      </c>
      <c r="N32" s="443">
        <v>700.48800000000006</v>
      </c>
      <c r="O32" s="443">
        <v>700.48800000000006</v>
      </c>
      <c r="P32" s="443">
        <v>0</v>
      </c>
      <c r="Q32" s="444">
        <v>700.48800000000006</v>
      </c>
      <c r="S32" s="452"/>
    </row>
    <row r="33" spans="1:20" s="460" customFormat="1" x14ac:dyDescent="0.25">
      <c r="A33" s="449">
        <v>26</v>
      </c>
      <c r="B33" s="463" t="s">
        <v>505</v>
      </c>
      <c r="C33" s="451"/>
      <c r="D33" s="441">
        <v>29.12</v>
      </c>
      <c r="E33" s="441">
        <v>0</v>
      </c>
      <c r="F33" s="441">
        <v>0</v>
      </c>
      <c r="G33" s="441">
        <v>68.47</v>
      </c>
      <c r="H33" s="441">
        <v>1668.768</v>
      </c>
      <c r="I33" s="441">
        <v>0</v>
      </c>
      <c r="J33" s="442">
        <v>1766.3579999999999</v>
      </c>
      <c r="K33" s="443">
        <v>0</v>
      </c>
      <c r="L33" s="443">
        <v>0</v>
      </c>
      <c r="M33" s="443">
        <v>250</v>
      </c>
      <c r="N33" s="443">
        <v>1536.19</v>
      </c>
      <c r="O33" s="443">
        <v>1536.19</v>
      </c>
      <c r="P33" s="443">
        <v>0</v>
      </c>
      <c r="Q33" s="444">
        <v>1786.19</v>
      </c>
      <c r="S33" s="452"/>
    </row>
    <row r="34" spans="1:20" s="460" customFormat="1" x14ac:dyDescent="0.25">
      <c r="A34" s="449">
        <v>27</v>
      </c>
      <c r="B34" s="463" t="s">
        <v>506</v>
      </c>
      <c r="C34" s="451"/>
      <c r="D34" s="441">
        <v>0</v>
      </c>
      <c r="E34" s="441">
        <v>0</v>
      </c>
      <c r="F34" s="441">
        <v>0</v>
      </c>
      <c r="G34" s="441">
        <v>0</v>
      </c>
      <c r="H34" s="441">
        <v>38.97</v>
      </c>
      <c r="I34" s="441">
        <v>0</v>
      </c>
      <c r="J34" s="442">
        <v>38.97</v>
      </c>
      <c r="K34" s="443">
        <v>0</v>
      </c>
      <c r="L34" s="443">
        <v>0</v>
      </c>
      <c r="M34" s="443">
        <v>0</v>
      </c>
      <c r="N34" s="443">
        <v>40</v>
      </c>
      <c r="O34" s="443">
        <v>40</v>
      </c>
      <c r="P34" s="443">
        <v>0</v>
      </c>
      <c r="Q34" s="444">
        <v>40</v>
      </c>
      <c r="S34" s="452"/>
    </row>
    <row r="35" spans="1:20" s="460" customFormat="1" x14ac:dyDescent="0.25">
      <c r="A35" s="449">
        <v>28</v>
      </c>
      <c r="B35" s="463" t="s">
        <v>507</v>
      </c>
      <c r="C35" s="451"/>
      <c r="D35" s="441">
        <v>0</v>
      </c>
      <c r="E35" s="441">
        <v>0</v>
      </c>
      <c r="F35" s="441">
        <v>0</v>
      </c>
      <c r="G35" s="441">
        <v>0</v>
      </c>
      <c r="H35" s="441">
        <v>3168.8980000000001</v>
      </c>
      <c r="I35" s="441">
        <v>0</v>
      </c>
      <c r="J35" s="442">
        <v>3168.8980000000001</v>
      </c>
      <c r="K35" s="500">
        <v>0</v>
      </c>
      <c r="L35" s="500">
        <v>0</v>
      </c>
      <c r="M35" s="500">
        <v>0</v>
      </c>
      <c r="N35" s="500">
        <v>0</v>
      </c>
      <c r="O35" s="500">
        <v>0</v>
      </c>
      <c r="P35" s="500">
        <v>0</v>
      </c>
      <c r="Q35" s="501">
        <v>0</v>
      </c>
      <c r="S35" s="462"/>
    </row>
    <row r="36" spans="1:20" s="460" customFormat="1" x14ac:dyDescent="0.25">
      <c r="A36" s="449">
        <v>29</v>
      </c>
      <c r="B36" s="463" t="s">
        <v>508</v>
      </c>
      <c r="C36" s="451"/>
      <c r="D36" s="441">
        <v>0</v>
      </c>
      <c r="E36" s="441">
        <v>0</v>
      </c>
      <c r="F36" s="441">
        <v>0</v>
      </c>
      <c r="G36" s="441">
        <v>0</v>
      </c>
      <c r="H36" s="441">
        <v>304.92</v>
      </c>
      <c r="I36" s="441">
        <v>0</v>
      </c>
      <c r="J36" s="442">
        <v>304.92</v>
      </c>
      <c r="K36" s="443">
        <v>0</v>
      </c>
      <c r="L36" s="443">
        <v>0</v>
      </c>
      <c r="M36" s="443">
        <v>0</v>
      </c>
      <c r="N36" s="443">
        <v>1975.877</v>
      </c>
      <c r="O36" s="443">
        <v>1975.877</v>
      </c>
      <c r="P36" s="443">
        <v>0</v>
      </c>
      <c r="Q36" s="444">
        <v>1975.877</v>
      </c>
      <c r="S36" s="452"/>
    </row>
    <row r="37" spans="1:20" s="460" customFormat="1" x14ac:dyDescent="0.25">
      <c r="A37" s="449">
        <v>30</v>
      </c>
      <c r="B37" s="453" t="s">
        <v>509</v>
      </c>
      <c r="C37" s="451"/>
      <c r="D37" s="441">
        <v>4153.027</v>
      </c>
      <c r="E37" s="441">
        <v>1049.8510000000001</v>
      </c>
      <c r="F37" s="441">
        <v>37.506999999999998</v>
      </c>
      <c r="G37" s="441">
        <v>0</v>
      </c>
      <c r="H37" s="441">
        <v>0</v>
      </c>
      <c r="I37" s="441">
        <v>0</v>
      </c>
      <c r="J37" s="442">
        <v>5240.3850000000002</v>
      </c>
      <c r="K37" s="443">
        <v>5104.866</v>
      </c>
      <c r="L37" s="443">
        <v>546.55100000000004</v>
      </c>
      <c r="M37" s="443">
        <v>0</v>
      </c>
      <c r="N37" s="443">
        <v>0</v>
      </c>
      <c r="O37" s="443">
        <v>546.55100000000004</v>
      </c>
      <c r="P37" s="443">
        <v>0</v>
      </c>
      <c r="Q37" s="444">
        <v>5651.4170000000004</v>
      </c>
      <c r="S37" s="452"/>
    </row>
    <row r="38" spans="1:20" s="460" customFormat="1" x14ac:dyDescent="0.25">
      <c r="A38" s="449">
        <v>31</v>
      </c>
      <c r="B38" s="453" t="s">
        <v>510</v>
      </c>
      <c r="C38" s="451"/>
      <c r="D38" s="441">
        <v>0</v>
      </c>
      <c r="E38" s="441">
        <v>848.06799999999998</v>
      </c>
      <c r="F38" s="441">
        <v>0</v>
      </c>
      <c r="G38" s="441">
        <v>0</v>
      </c>
      <c r="H38" s="441">
        <v>0</v>
      </c>
      <c r="I38" s="441">
        <v>0</v>
      </c>
      <c r="J38" s="442">
        <v>848.06799999999998</v>
      </c>
      <c r="K38" s="443">
        <v>0</v>
      </c>
      <c r="L38" s="443">
        <v>0</v>
      </c>
      <c r="M38" s="443">
        <v>0</v>
      </c>
      <c r="N38" s="443">
        <v>0</v>
      </c>
      <c r="O38" s="443">
        <v>0</v>
      </c>
      <c r="P38" s="443">
        <v>0</v>
      </c>
      <c r="Q38" s="444">
        <v>0</v>
      </c>
      <c r="S38" s="452"/>
    </row>
    <row r="39" spans="1:20" s="460" customFormat="1" x14ac:dyDescent="0.25">
      <c r="A39" s="449">
        <v>32</v>
      </c>
      <c r="B39" s="453" t="s">
        <v>511</v>
      </c>
      <c r="C39" s="451"/>
      <c r="D39" s="441">
        <v>0</v>
      </c>
      <c r="E39" s="441">
        <v>0</v>
      </c>
      <c r="F39" s="441">
        <v>0</v>
      </c>
      <c r="G39" s="441">
        <v>0</v>
      </c>
      <c r="H39" s="441">
        <v>0</v>
      </c>
      <c r="I39" s="441">
        <v>0</v>
      </c>
      <c r="J39" s="442">
        <v>0</v>
      </c>
      <c r="K39" s="443">
        <v>0</v>
      </c>
      <c r="L39" s="443">
        <v>0</v>
      </c>
      <c r="M39" s="443">
        <v>0</v>
      </c>
      <c r="N39" s="443">
        <v>0</v>
      </c>
      <c r="O39" s="443">
        <v>0</v>
      </c>
      <c r="P39" s="443">
        <v>0</v>
      </c>
      <c r="Q39" s="444">
        <v>0</v>
      </c>
      <c r="S39" s="452"/>
    </row>
    <row r="40" spans="1:20" s="460" customFormat="1" ht="30" x14ac:dyDescent="0.25">
      <c r="A40" s="449">
        <v>33</v>
      </c>
      <c r="B40" s="453" t="s">
        <v>512</v>
      </c>
      <c r="C40" s="451"/>
      <c r="D40" s="441">
        <v>0.46300000000000002</v>
      </c>
      <c r="E40" s="441">
        <v>0</v>
      </c>
      <c r="F40" s="441">
        <v>8.61</v>
      </c>
      <c r="G40" s="441">
        <v>0</v>
      </c>
      <c r="H40" s="441">
        <v>0</v>
      </c>
      <c r="I40" s="441">
        <v>0</v>
      </c>
      <c r="J40" s="442">
        <v>9.0729999999999986</v>
      </c>
      <c r="K40" s="443">
        <v>0</v>
      </c>
      <c r="L40" s="443">
        <v>0</v>
      </c>
      <c r="M40" s="443">
        <v>0</v>
      </c>
      <c r="N40" s="443">
        <v>0</v>
      </c>
      <c r="O40" s="443">
        <v>0</v>
      </c>
      <c r="P40" s="443">
        <v>0</v>
      </c>
      <c r="Q40" s="444">
        <v>0</v>
      </c>
      <c r="S40" s="452"/>
    </row>
    <row r="41" spans="1:20" x14ac:dyDescent="0.25">
      <c r="A41" s="438">
        <v>34</v>
      </c>
      <c r="B41" s="439" t="s">
        <v>513</v>
      </c>
      <c r="C41" s="440"/>
      <c r="D41" s="441">
        <v>0</v>
      </c>
      <c r="E41" s="441">
        <v>512.44100000000003</v>
      </c>
      <c r="F41" s="441">
        <v>7.4980000000000002</v>
      </c>
      <c r="G41" s="441">
        <v>0</v>
      </c>
      <c r="H41" s="441">
        <v>25938.665000000001</v>
      </c>
      <c r="I41" s="441">
        <v>0</v>
      </c>
      <c r="J41" s="442">
        <v>26458.603999999999</v>
      </c>
      <c r="K41" s="443">
        <v>1378.3138200000001</v>
      </c>
      <c r="L41" s="443">
        <v>147.56877000000003</v>
      </c>
      <c r="M41" s="443">
        <v>0</v>
      </c>
      <c r="N41" s="443">
        <v>0</v>
      </c>
      <c r="O41" s="443">
        <v>147.56877000000003</v>
      </c>
      <c r="P41" s="443">
        <v>0</v>
      </c>
      <c r="Q41" s="444">
        <v>1525.8825900000002</v>
      </c>
    </row>
    <row r="42" spans="1:20" x14ac:dyDescent="0.25">
      <c r="A42" s="438">
        <v>35</v>
      </c>
      <c r="B42" s="439" t="s">
        <v>514</v>
      </c>
      <c r="C42" s="440"/>
      <c r="D42" s="441">
        <v>0</v>
      </c>
      <c r="E42" s="441">
        <v>1.218</v>
      </c>
      <c r="F42" s="441">
        <v>8.2000000000000003E-2</v>
      </c>
      <c r="G42" s="441">
        <v>1E-3</v>
      </c>
      <c r="H42" s="441">
        <v>227.964</v>
      </c>
      <c r="I42" s="441">
        <v>1.409</v>
      </c>
      <c r="J42" s="442">
        <v>230.67399999999998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4">
        <v>0</v>
      </c>
    </row>
    <row r="43" spans="1:20" s="468" customFormat="1" ht="30" x14ac:dyDescent="0.25">
      <c r="A43" s="455">
        <v>36</v>
      </c>
      <c r="B43" s="456" t="s">
        <v>515</v>
      </c>
      <c r="C43" s="457">
        <v>0</v>
      </c>
      <c r="D43" s="457">
        <v>4243.21</v>
      </c>
      <c r="E43" s="457">
        <v>2411.578</v>
      </c>
      <c r="F43" s="457">
        <v>104.59699999999999</v>
      </c>
      <c r="G43" s="457">
        <v>68.471000000000004</v>
      </c>
      <c r="H43" s="457">
        <v>36256.249000000003</v>
      </c>
      <c r="I43" s="457">
        <v>1.409</v>
      </c>
      <c r="J43" s="457">
        <v>43085.513999999996</v>
      </c>
      <c r="K43" s="457">
        <v>6483.1798200000003</v>
      </c>
      <c r="L43" s="457">
        <v>694.11977000000002</v>
      </c>
      <c r="M43" s="457">
        <v>250</v>
      </c>
      <c r="N43" s="457">
        <v>6559.9620000000014</v>
      </c>
      <c r="O43" s="457">
        <v>7254.0817700000016</v>
      </c>
      <c r="P43" s="457">
        <v>0</v>
      </c>
      <c r="Q43" s="457">
        <v>13987.261590000002</v>
      </c>
      <c r="R43" s="467"/>
      <c r="S43" s="425"/>
    </row>
    <row r="44" spans="1:20" x14ac:dyDescent="0.25">
      <c r="A44" s="469">
        <v>37</v>
      </c>
      <c r="B44" s="470" t="s">
        <v>516</v>
      </c>
      <c r="C44" s="440"/>
      <c r="D44" s="441">
        <v>0</v>
      </c>
      <c r="E44" s="441">
        <v>0</v>
      </c>
      <c r="F44" s="441">
        <v>0</v>
      </c>
      <c r="G44" s="441">
        <v>0</v>
      </c>
      <c r="H44" s="441">
        <v>0</v>
      </c>
      <c r="I44" s="441">
        <v>0</v>
      </c>
      <c r="J44" s="442">
        <v>0</v>
      </c>
      <c r="K44" s="443">
        <v>0</v>
      </c>
      <c r="L44" s="443">
        <v>0</v>
      </c>
      <c r="M44" s="443">
        <v>0</v>
      </c>
      <c r="N44" s="443">
        <v>0</v>
      </c>
      <c r="O44" s="443">
        <v>0</v>
      </c>
      <c r="P44" s="443">
        <v>0</v>
      </c>
      <c r="Q44" s="444">
        <v>0</v>
      </c>
      <c r="T44"/>
    </row>
    <row r="45" spans="1:20" ht="30" x14ac:dyDescent="0.25">
      <c r="A45" s="438">
        <v>38</v>
      </c>
      <c r="B45" s="439" t="s">
        <v>517</v>
      </c>
      <c r="C45" s="440"/>
      <c r="D45" s="441">
        <v>313</v>
      </c>
      <c r="E45" s="441">
        <v>0</v>
      </c>
      <c r="F45" s="441">
        <v>0</v>
      </c>
      <c r="G45" s="441">
        <v>0</v>
      </c>
      <c r="H45" s="441">
        <v>0</v>
      </c>
      <c r="I45" s="441">
        <v>0</v>
      </c>
      <c r="J45" s="442">
        <v>313</v>
      </c>
      <c r="K45" s="443">
        <v>0</v>
      </c>
      <c r="L45" s="443">
        <v>0</v>
      </c>
      <c r="M45" s="443">
        <v>0</v>
      </c>
      <c r="N45" s="443">
        <v>12500</v>
      </c>
      <c r="O45" s="443">
        <v>12500</v>
      </c>
      <c r="P45" s="443">
        <v>0</v>
      </c>
      <c r="Q45" s="444">
        <v>12500</v>
      </c>
    </row>
    <row r="46" spans="1:20" ht="30" x14ac:dyDescent="0.25">
      <c r="A46" s="438">
        <v>39</v>
      </c>
      <c r="B46" s="439" t="s">
        <v>518</v>
      </c>
      <c r="C46" s="440">
        <v>0</v>
      </c>
      <c r="D46" s="441">
        <v>0</v>
      </c>
      <c r="E46" s="441">
        <v>0</v>
      </c>
      <c r="F46" s="441">
        <v>0</v>
      </c>
      <c r="G46" s="441">
        <v>0</v>
      </c>
      <c r="H46" s="441">
        <v>11442.049000000001</v>
      </c>
      <c r="I46" s="441">
        <v>0</v>
      </c>
      <c r="J46" s="442">
        <v>11442.049000000001</v>
      </c>
      <c r="K46" s="443">
        <v>0</v>
      </c>
      <c r="L46" s="443">
        <v>0</v>
      </c>
      <c r="M46" s="443">
        <v>0</v>
      </c>
      <c r="N46" s="443">
        <v>11561.272000000001</v>
      </c>
      <c r="O46" s="443">
        <v>11561.272000000001</v>
      </c>
      <c r="P46" s="443">
        <v>0</v>
      </c>
      <c r="Q46" s="444">
        <v>11561.272000000001</v>
      </c>
    </row>
    <row r="47" spans="1:20" s="460" customFormat="1" x14ac:dyDescent="0.25">
      <c r="A47" s="449">
        <v>40</v>
      </c>
      <c r="B47" s="453" t="s">
        <v>519</v>
      </c>
      <c r="C47" s="451"/>
      <c r="D47" s="441">
        <v>0</v>
      </c>
      <c r="E47" s="441">
        <v>0</v>
      </c>
      <c r="F47" s="441">
        <v>0</v>
      </c>
      <c r="G47" s="441">
        <v>0</v>
      </c>
      <c r="H47" s="441">
        <v>3645.9</v>
      </c>
      <c r="I47" s="441">
        <v>0</v>
      </c>
      <c r="J47" s="442">
        <v>3645.9</v>
      </c>
      <c r="K47" s="443">
        <v>0</v>
      </c>
      <c r="L47" s="443">
        <v>0</v>
      </c>
      <c r="M47" s="443">
        <v>0</v>
      </c>
      <c r="N47" s="443">
        <v>4018.8</v>
      </c>
      <c r="O47" s="443">
        <v>4018.8</v>
      </c>
      <c r="P47" s="443">
        <v>0</v>
      </c>
      <c r="Q47" s="444">
        <v>4018.8</v>
      </c>
      <c r="S47" s="452"/>
    </row>
    <row r="48" spans="1:20" s="460" customFormat="1" x14ac:dyDescent="0.25">
      <c r="A48" s="449">
        <v>41</v>
      </c>
      <c r="B48" s="471" t="s">
        <v>520</v>
      </c>
      <c r="C48" s="451"/>
      <c r="D48" s="441">
        <v>0</v>
      </c>
      <c r="E48" s="441">
        <v>0</v>
      </c>
      <c r="F48" s="441">
        <v>0</v>
      </c>
      <c r="G48" s="441">
        <v>0</v>
      </c>
      <c r="H48" s="441">
        <v>7796.1490000000003</v>
      </c>
      <c r="I48" s="441">
        <v>0</v>
      </c>
      <c r="J48" s="442">
        <v>7796.1490000000003</v>
      </c>
      <c r="K48" s="443">
        <v>0</v>
      </c>
      <c r="L48" s="443">
        <v>0</v>
      </c>
      <c r="M48" s="443">
        <v>0</v>
      </c>
      <c r="N48" s="443">
        <v>7542.4719999999998</v>
      </c>
      <c r="O48" s="443">
        <f>7542.472-2668</f>
        <v>4874.4719999999998</v>
      </c>
      <c r="P48" s="443">
        <v>0</v>
      </c>
      <c r="Q48" s="444">
        <v>4874</v>
      </c>
      <c r="S48" s="452"/>
    </row>
    <row r="49" spans="1:19" s="460" customFormat="1" x14ac:dyDescent="0.25">
      <c r="A49" s="449">
        <v>42</v>
      </c>
      <c r="B49" s="471" t="s">
        <v>681</v>
      </c>
      <c r="C49" s="451"/>
      <c r="D49" s="441">
        <v>0</v>
      </c>
      <c r="E49" s="441">
        <v>0</v>
      </c>
      <c r="F49" s="441">
        <v>0</v>
      </c>
      <c r="G49" s="441">
        <v>0</v>
      </c>
      <c r="H49" s="441">
        <v>0</v>
      </c>
      <c r="I49" s="441">
        <v>0</v>
      </c>
      <c r="J49" s="442">
        <v>0</v>
      </c>
      <c r="K49" s="443">
        <v>0</v>
      </c>
      <c r="L49" s="443">
        <v>0</v>
      </c>
      <c r="M49" s="443">
        <v>0</v>
      </c>
      <c r="N49" s="443">
        <v>0</v>
      </c>
      <c r="O49" s="443">
        <v>2668</v>
      </c>
      <c r="P49" s="443">
        <v>0</v>
      </c>
      <c r="Q49" s="444">
        <v>2668</v>
      </c>
      <c r="S49" s="452"/>
    </row>
    <row r="50" spans="1:19" x14ac:dyDescent="0.25">
      <c r="A50" s="455">
        <v>43</v>
      </c>
      <c r="B50" s="456" t="s">
        <v>521</v>
      </c>
      <c r="C50" s="457">
        <v>0</v>
      </c>
      <c r="D50" s="457">
        <v>4583.7730000000001</v>
      </c>
      <c r="E50" s="457">
        <v>2411.578</v>
      </c>
      <c r="F50" s="457">
        <v>104.59699999999999</v>
      </c>
      <c r="G50" s="457">
        <v>68.471000000000004</v>
      </c>
      <c r="H50" s="457">
        <v>244828.394</v>
      </c>
      <c r="I50" s="457">
        <v>1.409</v>
      </c>
      <c r="J50" s="457">
        <v>251998.22199999998</v>
      </c>
      <c r="K50" s="457">
        <v>6483.1798200000003</v>
      </c>
      <c r="L50" s="457">
        <v>694.11977000000002</v>
      </c>
      <c r="M50" s="457">
        <v>250</v>
      </c>
      <c r="N50" s="457">
        <v>144964.09900000002</v>
      </c>
      <c r="O50" s="457">
        <v>145658.21877000001</v>
      </c>
      <c r="P50" s="457">
        <v>0</v>
      </c>
      <c r="Q50" s="457">
        <v>152391.39859000003</v>
      </c>
    </row>
    <row r="51" spans="1:19" x14ac:dyDescent="0.25">
      <c r="A51" s="438">
        <v>44</v>
      </c>
      <c r="B51" s="439" t="s">
        <v>522</v>
      </c>
      <c r="C51" s="440"/>
      <c r="D51" s="441">
        <v>0</v>
      </c>
      <c r="E51" s="441">
        <v>0</v>
      </c>
      <c r="F51" s="441">
        <v>0</v>
      </c>
      <c r="G51" s="441">
        <v>0</v>
      </c>
      <c r="H51" s="441">
        <v>0</v>
      </c>
      <c r="I51" s="441">
        <v>0</v>
      </c>
      <c r="J51" s="442">
        <v>0</v>
      </c>
      <c r="K51" s="443">
        <v>0</v>
      </c>
      <c r="L51" s="443">
        <v>0</v>
      </c>
      <c r="M51" s="443">
        <v>0</v>
      </c>
      <c r="N51" s="443">
        <v>0</v>
      </c>
      <c r="O51" s="443">
        <v>0</v>
      </c>
      <c r="P51" s="443">
        <v>0</v>
      </c>
      <c r="Q51" s="444">
        <v>0</v>
      </c>
    </row>
    <row r="52" spans="1:19" x14ac:dyDescent="0.25">
      <c r="A52" s="438">
        <v>45</v>
      </c>
      <c r="B52" s="439" t="s">
        <v>523</v>
      </c>
      <c r="C52" s="440"/>
      <c r="D52" s="441">
        <v>0</v>
      </c>
      <c r="E52" s="441">
        <v>0</v>
      </c>
      <c r="F52" s="441">
        <v>0</v>
      </c>
      <c r="G52" s="441">
        <v>0</v>
      </c>
      <c r="H52" s="441">
        <v>0</v>
      </c>
      <c r="I52" s="441">
        <v>0</v>
      </c>
      <c r="J52" s="442">
        <v>0</v>
      </c>
      <c r="K52" s="443">
        <v>0</v>
      </c>
      <c r="L52" s="443">
        <v>0</v>
      </c>
      <c r="M52" s="443">
        <v>0</v>
      </c>
      <c r="N52" s="443">
        <v>0</v>
      </c>
      <c r="O52" s="443">
        <v>0</v>
      </c>
      <c r="P52" s="443">
        <v>0</v>
      </c>
      <c r="Q52" s="444">
        <v>0</v>
      </c>
    </row>
    <row r="53" spans="1:19" x14ac:dyDescent="0.25">
      <c r="A53" s="438">
        <v>46</v>
      </c>
      <c r="B53" s="439" t="s">
        <v>524</v>
      </c>
      <c r="C53" s="440"/>
      <c r="D53" s="441">
        <v>0</v>
      </c>
      <c r="E53" s="441">
        <v>0</v>
      </c>
      <c r="F53" s="441">
        <v>0</v>
      </c>
      <c r="G53" s="441">
        <v>0</v>
      </c>
      <c r="H53" s="441">
        <v>0</v>
      </c>
      <c r="I53" s="441">
        <v>0</v>
      </c>
      <c r="J53" s="442">
        <v>0</v>
      </c>
      <c r="K53" s="443">
        <v>0</v>
      </c>
      <c r="L53" s="443">
        <v>0</v>
      </c>
      <c r="M53" s="443">
        <v>0</v>
      </c>
      <c r="N53" s="443">
        <v>0</v>
      </c>
      <c r="O53" s="443">
        <v>0</v>
      </c>
      <c r="P53" s="443">
        <v>0</v>
      </c>
      <c r="Q53" s="444">
        <v>0</v>
      </c>
    </row>
    <row r="54" spans="1:19" x14ac:dyDescent="0.25">
      <c r="A54" s="438">
        <v>47</v>
      </c>
      <c r="B54" s="439" t="s">
        <v>525</v>
      </c>
      <c r="C54" s="440"/>
      <c r="D54" s="441">
        <v>0</v>
      </c>
      <c r="E54" s="441">
        <v>0</v>
      </c>
      <c r="F54" s="441">
        <v>0</v>
      </c>
      <c r="G54" s="441">
        <v>0</v>
      </c>
      <c r="H54" s="441">
        <v>0</v>
      </c>
      <c r="I54" s="441">
        <v>0</v>
      </c>
      <c r="J54" s="442">
        <v>0</v>
      </c>
      <c r="K54" s="443">
        <v>0</v>
      </c>
      <c r="L54" s="443">
        <v>0</v>
      </c>
      <c r="M54" s="443">
        <v>0</v>
      </c>
      <c r="N54" s="443">
        <v>0</v>
      </c>
      <c r="O54" s="443">
        <v>0</v>
      </c>
      <c r="P54" s="443">
        <v>0</v>
      </c>
      <c r="Q54" s="444">
        <v>0</v>
      </c>
    </row>
    <row r="55" spans="1:19" x14ac:dyDescent="0.25">
      <c r="A55" s="438">
        <v>48</v>
      </c>
      <c r="B55" s="439" t="s">
        <v>526</v>
      </c>
      <c r="C55" s="440">
        <v>0</v>
      </c>
      <c r="D55" s="441">
        <v>0</v>
      </c>
      <c r="E55" s="441">
        <v>0</v>
      </c>
      <c r="F55" s="441">
        <v>0</v>
      </c>
      <c r="G55" s="441">
        <v>0</v>
      </c>
      <c r="H55" s="441">
        <v>332.12199999999996</v>
      </c>
      <c r="I55" s="441">
        <v>0</v>
      </c>
      <c r="J55" s="442">
        <v>332.12199999999996</v>
      </c>
      <c r="K55" s="443">
        <v>0</v>
      </c>
      <c r="L55" s="443">
        <v>0</v>
      </c>
      <c r="M55" s="443">
        <v>0</v>
      </c>
      <c r="N55" s="443">
        <v>400</v>
      </c>
      <c r="O55" s="443">
        <v>400</v>
      </c>
      <c r="P55" s="443">
        <v>0</v>
      </c>
      <c r="Q55" s="444">
        <v>400</v>
      </c>
    </row>
    <row r="56" spans="1:19" s="460" customFormat="1" x14ac:dyDescent="0.25">
      <c r="A56" s="449">
        <v>49</v>
      </c>
      <c r="B56" s="453" t="s">
        <v>527</v>
      </c>
      <c r="C56" s="451"/>
      <c r="D56" s="441">
        <v>0</v>
      </c>
      <c r="E56" s="441">
        <v>0</v>
      </c>
      <c r="F56" s="441">
        <v>0</v>
      </c>
      <c r="G56" s="441">
        <v>0</v>
      </c>
      <c r="H56" s="441">
        <v>128.249</v>
      </c>
      <c r="I56" s="441">
        <v>0</v>
      </c>
      <c r="J56" s="442">
        <v>128.249</v>
      </c>
      <c r="K56" s="443">
        <v>0</v>
      </c>
      <c r="L56" s="443">
        <v>0</v>
      </c>
      <c r="M56" s="443">
        <v>0</v>
      </c>
      <c r="N56" s="443">
        <v>150</v>
      </c>
      <c r="O56" s="443">
        <v>150</v>
      </c>
      <c r="P56" s="443">
        <v>0</v>
      </c>
      <c r="Q56" s="444">
        <v>150</v>
      </c>
      <c r="S56" s="452"/>
    </row>
    <row r="57" spans="1:19" s="460" customFormat="1" x14ac:dyDescent="0.25">
      <c r="A57" s="449">
        <v>50</v>
      </c>
      <c r="B57" s="453" t="s">
        <v>528</v>
      </c>
      <c r="C57" s="451"/>
      <c r="D57" s="441">
        <v>0</v>
      </c>
      <c r="E57" s="441">
        <v>0</v>
      </c>
      <c r="F57" s="441">
        <v>0</v>
      </c>
      <c r="G57" s="441">
        <v>0</v>
      </c>
      <c r="H57" s="441">
        <v>203.87299999999999</v>
      </c>
      <c r="I57" s="441">
        <v>0</v>
      </c>
      <c r="J57" s="442">
        <v>203.87299999999999</v>
      </c>
      <c r="K57" s="443">
        <v>0</v>
      </c>
      <c r="L57" s="443">
        <v>0</v>
      </c>
      <c r="M57" s="443">
        <v>0</v>
      </c>
      <c r="N57" s="443">
        <v>250</v>
      </c>
      <c r="O57" s="443">
        <v>250</v>
      </c>
      <c r="P57" s="443">
        <v>0</v>
      </c>
      <c r="Q57" s="444">
        <v>250</v>
      </c>
      <c r="S57" s="452"/>
    </row>
    <row r="58" spans="1:19" s="460" customFormat="1" x14ac:dyDescent="0.25">
      <c r="A58" s="449">
        <v>51</v>
      </c>
      <c r="B58" s="453" t="s">
        <v>529</v>
      </c>
      <c r="C58" s="472"/>
      <c r="D58" s="441">
        <v>0</v>
      </c>
      <c r="E58" s="441">
        <v>0</v>
      </c>
      <c r="F58" s="441">
        <v>0</v>
      </c>
      <c r="G58" s="441">
        <v>0</v>
      </c>
      <c r="H58" s="441">
        <v>0</v>
      </c>
      <c r="I58" s="441">
        <v>0</v>
      </c>
      <c r="J58" s="442">
        <v>0</v>
      </c>
      <c r="K58" s="443">
        <v>0</v>
      </c>
      <c r="L58" s="443">
        <v>0</v>
      </c>
      <c r="M58" s="443">
        <v>0</v>
      </c>
      <c r="N58" s="443">
        <v>0</v>
      </c>
      <c r="O58" s="443">
        <v>0</v>
      </c>
      <c r="P58" s="443">
        <v>0</v>
      </c>
      <c r="Q58" s="444">
        <v>0</v>
      </c>
      <c r="S58" s="452"/>
    </row>
    <row r="59" spans="1:19" ht="30" x14ac:dyDescent="0.25">
      <c r="A59" s="438">
        <v>52</v>
      </c>
      <c r="B59" s="439" t="s">
        <v>530</v>
      </c>
      <c r="C59" s="440"/>
      <c r="D59" s="441">
        <v>0</v>
      </c>
      <c r="E59" s="441">
        <v>0</v>
      </c>
      <c r="F59" s="441">
        <v>0</v>
      </c>
      <c r="G59" s="441">
        <v>0</v>
      </c>
      <c r="H59" s="441">
        <v>0</v>
      </c>
      <c r="I59" s="441">
        <v>0</v>
      </c>
      <c r="J59" s="442">
        <v>0</v>
      </c>
      <c r="K59" s="443">
        <v>0</v>
      </c>
      <c r="L59" s="443">
        <v>0</v>
      </c>
      <c r="M59" s="443">
        <v>0</v>
      </c>
      <c r="N59" s="443">
        <v>0</v>
      </c>
      <c r="O59" s="443">
        <v>0</v>
      </c>
      <c r="P59" s="443">
        <v>0</v>
      </c>
      <c r="Q59" s="444">
        <v>0</v>
      </c>
    </row>
    <row r="60" spans="1:19" s="468" customFormat="1" ht="30" x14ac:dyDescent="0.25">
      <c r="A60" s="455">
        <v>53</v>
      </c>
      <c r="B60" s="456" t="s">
        <v>531</v>
      </c>
      <c r="C60" s="457">
        <v>0</v>
      </c>
      <c r="D60" s="457">
        <v>0</v>
      </c>
      <c r="E60" s="457">
        <v>0</v>
      </c>
      <c r="F60" s="457">
        <v>0</v>
      </c>
      <c r="G60" s="457">
        <v>0</v>
      </c>
      <c r="H60" s="457">
        <v>332.12199999999996</v>
      </c>
      <c r="I60" s="457">
        <v>0</v>
      </c>
      <c r="J60" s="457">
        <v>332.12199999999996</v>
      </c>
      <c r="K60" s="457">
        <v>0</v>
      </c>
      <c r="L60" s="457">
        <v>0</v>
      </c>
      <c r="M60" s="457">
        <v>0</v>
      </c>
      <c r="N60" s="457">
        <v>400</v>
      </c>
      <c r="O60" s="457">
        <v>400</v>
      </c>
      <c r="P60" s="457">
        <v>0</v>
      </c>
      <c r="Q60" s="457">
        <v>400</v>
      </c>
      <c r="S60" s="425"/>
    </row>
    <row r="61" spans="1:19" s="468" customFormat="1" x14ac:dyDescent="0.25">
      <c r="A61" s="469">
        <v>54</v>
      </c>
      <c r="B61" s="470" t="s">
        <v>532</v>
      </c>
      <c r="C61" s="473"/>
      <c r="D61" s="441">
        <v>0</v>
      </c>
      <c r="E61" s="441">
        <v>0</v>
      </c>
      <c r="F61" s="441">
        <v>0</v>
      </c>
      <c r="G61" s="441">
        <v>0</v>
      </c>
      <c r="H61" s="441">
        <v>0</v>
      </c>
      <c r="I61" s="441">
        <v>0</v>
      </c>
      <c r="J61" s="442">
        <v>0</v>
      </c>
      <c r="K61" s="443">
        <v>0</v>
      </c>
      <c r="L61" s="443">
        <v>0</v>
      </c>
      <c r="M61" s="443">
        <v>0</v>
      </c>
      <c r="N61" s="443">
        <v>0</v>
      </c>
      <c r="O61" s="443">
        <v>0</v>
      </c>
      <c r="P61" s="443">
        <v>0</v>
      </c>
      <c r="Q61" s="444">
        <v>0</v>
      </c>
      <c r="S61" s="425"/>
    </row>
    <row r="62" spans="1:19" ht="30" x14ac:dyDescent="0.25">
      <c r="A62" s="438">
        <v>55</v>
      </c>
      <c r="B62" s="439" t="s">
        <v>533</v>
      </c>
      <c r="C62" s="440"/>
      <c r="D62" s="441">
        <v>280.10700000000003</v>
      </c>
      <c r="E62" s="441">
        <v>0</v>
      </c>
      <c r="F62" s="441">
        <v>0</v>
      </c>
      <c r="G62" s="441">
        <v>0</v>
      </c>
      <c r="H62" s="441">
        <v>2407.5880000000002</v>
      </c>
      <c r="I62" s="441">
        <v>0</v>
      </c>
      <c r="J62" s="442">
        <v>2687.6950000000002</v>
      </c>
      <c r="K62" s="443">
        <v>0</v>
      </c>
      <c r="L62" s="443">
        <v>0</v>
      </c>
      <c r="M62" s="443">
        <v>0</v>
      </c>
      <c r="N62" s="443">
        <v>0</v>
      </c>
      <c r="O62" s="443">
        <v>0</v>
      </c>
      <c r="P62" s="443">
        <v>0</v>
      </c>
      <c r="Q62" s="444">
        <v>0</v>
      </c>
    </row>
    <row r="63" spans="1:19" ht="30" x14ac:dyDescent="0.25">
      <c r="A63" s="438">
        <v>56</v>
      </c>
      <c r="B63" s="439" t="s">
        <v>534</v>
      </c>
      <c r="C63" s="440">
        <v>0</v>
      </c>
      <c r="D63" s="441">
        <v>0</v>
      </c>
      <c r="E63" s="441">
        <v>0</v>
      </c>
      <c r="F63" s="441">
        <v>0</v>
      </c>
      <c r="G63" s="441">
        <v>0</v>
      </c>
      <c r="H63" s="441">
        <v>185517.524</v>
      </c>
      <c r="I63" s="441">
        <v>0</v>
      </c>
      <c r="J63" s="442">
        <v>185517.524</v>
      </c>
      <c r="K63" s="443">
        <v>0</v>
      </c>
      <c r="L63" s="443">
        <v>0</v>
      </c>
      <c r="M63" s="443">
        <v>0</v>
      </c>
      <c r="N63" s="443">
        <v>1453.2360000000001</v>
      </c>
      <c r="O63" s="443">
        <v>1453.2360000000001</v>
      </c>
      <c r="P63" s="443">
        <v>0</v>
      </c>
      <c r="Q63" s="444">
        <v>1453.2360000000001</v>
      </c>
    </row>
    <row r="64" spans="1:19" s="460" customFormat="1" ht="30" x14ac:dyDescent="0.25">
      <c r="A64" s="449">
        <v>57</v>
      </c>
      <c r="B64" s="453" t="s">
        <v>535</v>
      </c>
      <c r="C64" s="451"/>
      <c r="D64" s="441">
        <v>0</v>
      </c>
      <c r="E64" s="441">
        <v>0</v>
      </c>
      <c r="F64" s="441">
        <v>0</v>
      </c>
      <c r="G64" s="441">
        <v>0</v>
      </c>
      <c r="H64" s="441">
        <v>8801.6620000000003</v>
      </c>
      <c r="I64" s="441">
        <v>0</v>
      </c>
      <c r="J64" s="442">
        <v>8801.6620000000003</v>
      </c>
      <c r="K64" s="443">
        <v>0</v>
      </c>
      <c r="L64" s="443">
        <v>0</v>
      </c>
      <c r="M64" s="443">
        <v>0</v>
      </c>
      <c r="N64" s="443">
        <v>0</v>
      </c>
      <c r="O64" s="443">
        <v>0</v>
      </c>
      <c r="P64" s="443">
        <v>0</v>
      </c>
      <c r="Q64" s="444">
        <v>0</v>
      </c>
      <c r="S64" s="452"/>
    </row>
    <row r="65" spans="1:19" s="458" customFormat="1" ht="30" x14ac:dyDescent="0.25">
      <c r="A65" s="464">
        <v>58</v>
      </c>
      <c r="B65" s="474" t="s">
        <v>536</v>
      </c>
      <c r="C65" s="465"/>
      <c r="D65" s="441">
        <v>0</v>
      </c>
      <c r="E65" s="441">
        <v>0</v>
      </c>
      <c r="F65" s="441">
        <v>0</v>
      </c>
      <c r="G65" s="441">
        <v>0</v>
      </c>
      <c r="H65" s="441">
        <v>176715.86199999999</v>
      </c>
      <c r="I65" s="441">
        <v>0</v>
      </c>
      <c r="J65" s="442">
        <v>176715.86199999999</v>
      </c>
      <c r="K65" s="443">
        <v>0</v>
      </c>
      <c r="L65" s="443">
        <v>0</v>
      </c>
      <c r="M65" s="443">
        <v>0</v>
      </c>
      <c r="N65" s="443">
        <v>1453.2360000000001</v>
      </c>
      <c r="O65" s="443">
        <v>1453.2360000000001</v>
      </c>
      <c r="P65" s="443">
        <v>0</v>
      </c>
      <c r="Q65" s="444">
        <v>1453.2360000000001</v>
      </c>
      <c r="S65" s="466"/>
    </row>
    <row r="66" spans="1:19" x14ac:dyDescent="0.25">
      <c r="A66" s="455">
        <v>59</v>
      </c>
      <c r="B66" s="475" t="s">
        <v>537</v>
      </c>
      <c r="C66" s="476">
        <v>0</v>
      </c>
      <c r="D66" s="476">
        <v>280.10700000000003</v>
      </c>
      <c r="E66" s="476">
        <v>0</v>
      </c>
      <c r="F66" s="476">
        <v>0</v>
      </c>
      <c r="G66" s="476">
        <v>0</v>
      </c>
      <c r="H66" s="476">
        <v>188257.234</v>
      </c>
      <c r="I66" s="476">
        <v>0</v>
      </c>
      <c r="J66" s="476">
        <v>188537.34100000001</v>
      </c>
      <c r="K66" s="476">
        <v>0</v>
      </c>
      <c r="L66" s="476">
        <v>0</v>
      </c>
      <c r="M66" s="476">
        <v>0</v>
      </c>
      <c r="N66" s="476">
        <v>1853.2360000000001</v>
      </c>
      <c r="O66" s="476">
        <v>1853.2360000000001</v>
      </c>
      <c r="P66" s="476">
        <v>0</v>
      </c>
      <c r="Q66" s="476">
        <v>1853.2360000000001</v>
      </c>
    </row>
    <row r="67" spans="1:19" s="468" customFormat="1" ht="30" x14ac:dyDescent="0.25">
      <c r="A67" s="455">
        <v>60</v>
      </c>
      <c r="B67" s="456" t="s">
        <v>538</v>
      </c>
      <c r="C67" s="476"/>
      <c r="D67" s="476">
        <v>0</v>
      </c>
      <c r="E67" s="476">
        <v>0</v>
      </c>
      <c r="F67" s="476">
        <v>0</v>
      </c>
      <c r="G67" s="476">
        <v>0</v>
      </c>
      <c r="H67" s="476">
        <v>0</v>
      </c>
      <c r="I67" s="476">
        <v>0</v>
      </c>
      <c r="J67" s="476"/>
      <c r="K67" s="476">
        <v>0</v>
      </c>
      <c r="L67" s="476">
        <v>0</v>
      </c>
      <c r="M67" s="476">
        <v>0</v>
      </c>
      <c r="N67" s="476">
        <v>0</v>
      </c>
      <c r="O67" s="476">
        <v>0</v>
      </c>
      <c r="P67" s="476">
        <v>0</v>
      </c>
      <c r="Q67" s="476">
        <v>0</v>
      </c>
      <c r="S67" s="425"/>
    </row>
    <row r="68" spans="1:19" x14ac:dyDescent="0.25">
      <c r="A68" s="455">
        <v>61</v>
      </c>
      <c r="B68" s="456" t="s">
        <v>539</v>
      </c>
      <c r="C68" s="476">
        <v>0</v>
      </c>
      <c r="D68" s="476">
        <v>4863.88</v>
      </c>
      <c r="E68" s="476">
        <v>2411.578</v>
      </c>
      <c r="F68" s="476">
        <v>104.59699999999999</v>
      </c>
      <c r="G68" s="476">
        <v>68.471000000000004</v>
      </c>
      <c r="H68" s="476">
        <v>433085.62800000003</v>
      </c>
      <c r="I68" s="476">
        <v>1.409</v>
      </c>
      <c r="J68" s="476">
        <v>440535.56299999997</v>
      </c>
      <c r="K68" s="476">
        <v>6483.1798200000003</v>
      </c>
      <c r="L68" s="476">
        <v>694.11977000000002</v>
      </c>
      <c r="M68" s="476">
        <v>250</v>
      </c>
      <c r="N68" s="476">
        <v>146817.33500000002</v>
      </c>
      <c r="O68" s="476">
        <v>147511.45477000001</v>
      </c>
      <c r="P68" s="476">
        <v>0</v>
      </c>
      <c r="Q68" s="476">
        <v>154244.63459000003</v>
      </c>
    </row>
    <row r="69" spans="1:19" x14ac:dyDescent="0.25">
      <c r="A69" s="438">
        <v>62</v>
      </c>
      <c r="B69" s="439" t="s">
        <v>540</v>
      </c>
      <c r="C69" s="440">
        <v>0</v>
      </c>
      <c r="D69" s="441">
        <v>0</v>
      </c>
      <c r="E69" s="441">
        <v>0</v>
      </c>
      <c r="F69" s="441">
        <v>0</v>
      </c>
      <c r="G69" s="441">
        <v>0</v>
      </c>
      <c r="H69" s="441">
        <v>251305.24900000001</v>
      </c>
      <c r="I69" s="441">
        <v>0</v>
      </c>
      <c r="J69" s="442">
        <v>251305.24900000001</v>
      </c>
      <c r="K69" s="443">
        <v>0</v>
      </c>
      <c r="L69" s="443">
        <v>0</v>
      </c>
      <c r="M69" s="443">
        <v>0</v>
      </c>
      <c r="N69" s="443">
        <v>118553.02799999999</v>
      </c>
      <c r="O69" s="443">
        <v>118553.02799999999</v>
      </c>
      <c r="P69" s="443">
        <v>0</v>
      </c>
      <c r="Q69" s="444">
        <v>118553.02799999999</v>
      </c>
    </row>
    <row r="70" spans="1:19" s="460" customFormat="1" x14ac:dyDescent="0.25">
      <c r="A70" s="449">
        <v>63</v>
      </c>
      <c r="B70" s="453" t="s">
        <v>541</v>
      </c>
      <c r="C70" s="451"/>
      <c r="D70" s="441">
        <v>0</v>
      </c>
      <c r="E70" s="441">
        <v>0</v>
      </c>
      <c r="F70" s="441">
        <v>0</v>
      </c>
      <c r="G70" s="441">
        <v>0</v>
      </c>
      <c r="H70" s="441">
        <v>0</v>
      </c>
      <c r="I70" s="441">
        <v>0</v>
      </c>
      <c r="J70" s="442">
        <v>0</v>
      </c>
      <c r="K70" s="443">
        <v>0</v>
      </c>
      <c r="L70" s="443">
        <v>0</v>
      </c>
      <c r="M70" s="443">
        <v>0</v>
      </c>
      <c r="N70" s="443">
        <v>0</v>
      </c>
      <c r="O70" s="443">
        <v>0</v>
      </c>
      <c r="P70" s="443">
        <v>0</v>
      </c>
      <c r="Q70" s="444">
        <v>0</v>
      </c>
      <c r="S70" s="452"/>
    </row>
    <row r="71" spans="1:19" s="460" customFormat="1" x14ac:dyDescent="0.25">
      <c r="A71" s="449">
        <v>64</v>
      </c>
      <c r="B71" s="477" t="s">
        <v>542</v>
      </c>
      <c r="C71" s="451"/>
      <c r="D71" s="441">
        <v>0</v>
      </c>
      <c r="E71" s="441">
        <v>0</v>
      </c>
      <c r="F71" s="441">
        <v>0</v>
      </c>
      <c r="G71" s="441">
        <v>0</v>
      </c>
      <c r="H71" s="441">
        <v>13012.044</v>
      </c>
      <c r="I71" s="441">
        <v>0</v>
      </c>
      <c r="J71" s="442">
        <v>13012.044</v>
      </c>
      <c r="K71" s="443">
        <v>0</v>
      </c>
      <c r="L71" s="443">
        <v>0</v>
      </c>
      <c r="M71" s="443">
        <v>0</v>
      </c>
      <c r="N71" s="443">
        <v>0</v>
      </c>
      <c r="O71" s="443">
        <v>0</v>
      </c>
      <c r="P71" s="443">
        <v>0</v>
      </c>
      <c r="Q71" s="444">
        <v>0</v>
      </c>
      <c r="S71" s="452"/>
    </row>
    <row r="72" spans="1:19" s="460" customFormat="1" x14ac:dyDescent="0.25">
      <c r="A72" s="449">
        <v>65</v>
      </c>
      <c r="B72" s="478" t="s">
        <v>543</v>
      </c>
      <c r="C72" s="451"/>
      <c r="D72" s="441">
        <v>0</v>
      </c>
      <c r="E72" s="441">
        <v>0</v>
      </c>
      <c r="F72" s="441">
        <v>0</v>
      </c>
      <c r="G72" s="441">
        <v>0</v>
      </c>
      <c r="H72" s="441">
        <v>41621.620999999999</v>
      </c>
      <c r="I72" s="441">
        <v>0</v>
      </c>
      <c r="J72" s="442">
        <v>41621.620999999999</v>
      </c>
      <c r="K72" s="443">
        <v>0</v>
      </c>
      <c r="L72" s="443">
        <v>0</v>
      </c>
      <c r="M72" s="443">
        <v>0</v>
      </c>
      <c r="N72" s="443">
        <v>0</v>
      </c>
      <c r="O72" s="443">
        <v>0</v>
      </c>
      <c r="P72" s="443">
        <v>0</v>
      </c>
      <c r="Q72" s="444">
        <v>0</v>
      </c>
      <c r="S72" s="452"/>
    </row>
    <row r="73" spans="1:19" s="460" customFormat="1" x14ac:dyDescent="0.25">
      <c r="A73" s="449">
        <v>66</v>
      </c>
      <c r="B73" s="453" t="s">
        <v>149</v>
      </c>
      <c r="C73" s="451"/>
      <c r="D73" s="441">
        <v>0</v>
      </c>
      <c r="E73" s="441">
        <v>0</v>
      </c>
      <c r="F73" s="441">
        <v>0</v>
      </c>
      <c r="G73" s="441">
        <v>0</v>
      </c>
      <c r="H73" s="441">
        <v>0</v>
      </c>
      <c r="I73" s="441">
        <v>0</v>
      </c>
      <c r="J73" s="442">
        <v>0</v>
      </c>
      <c r="K73" s="443">
        <v>0</v>
      </c>
      <c r="L73" s="443">
        <v>0</v>
      </c>
      <c r="M73" s="443">
        <v>0</v>
      </c>
      <c r="N73" s="443">
        <v>0</v>
      </c>
      <c r="O73" s="443">
        <v>0</v>
      </c>
      <c r="P73" s="443">
        <v>0</v>
      </c>
      <c r="Q73" s="444">
        <v>0</v>
      </c>
      <c r="S73" s="452"/>
    </row>
    <row r="74" spans="1:19" s="460" customFormat="1" x14ac:dyDescent="0.25">
      <c r="A74" s="449">
        <v>67</v>
      </c>
      <c r="B74" s="463" t="s">
        <v>544</v>
      </c>
      <c r="C74" s="451"/>
      <c r="D74" s="441">
        <v>0</v>
      </c>
      <c r="E74" s="441">
        <v>0</v>
      </c>
      <c r="F74" s="441">
        <v>0</v>
      </c>
      <c r="G74" s="441">
        <v>0</v>
      </c>
      <c r="H74" s="441">
        <v>0</v>
      </c>
      <c r="I74" s="441">
        <v>0</v>
      </c>
      <c r="J74" s="442">
        <v>0</v>
      </c>
      <c r="K74" s="443">
        <v>0</v>
      </c>
      <c r="L74" s="443">
        <v>0</v>
      </c>
      <c r="M74" s="443">
        <v>0</v>
      </c>
      <c r="N74" s="443">
        <v>0</v>
      </c>
      <c r="O74" s="443">
        <v>0</v>
      </c>
      <c r="P74" s="443">
        <v>0</v>
      </c>
      <c r="Q74" s="444">
        <v>0</v>
      </c>
      <c r="S74" s="452"/>
    </row>
    <row r="75" spans="1:19" s="460" customFormat="1" x14ac:dyDescent="0.25">
      <c r="A75" s="449">
        <v>68</v>
      </c>
      <c r="B75" s="463" t="s">
        <v>545</v>
      </c>
      <c r="C75" s="451"/>
      <c r="D75" s="441">
        <v>0</v>
      </c>
      <c r="E75" s="441">
        <v>0</v>
      </c>
      <c r="F75" s="441">
        <v>0</v>
      </c>
      <c r="G75" s="441">
        <v>0</v>
      </c>
      <c r="H75" s="441">
        <v>0</v>
      </c>
      <c r="I75" s="441">
        <v>0</v>
      </c>
      <c r="J75" s="442">
        <v>0</v>
      </c>
      <c r="K75" s="443">
        <v>0</v>
      </c>
      <c r="L75" s="443">
        <v>0</v>
      </c>
      <c r="M75" s="443">
        <v>0</v>
      </c>
      <c r="N75" s="443">
        <v>0</v>
      </c>
      <c r="O75" s="443">
        <v>0</v>
      </c>
      <c r="P75" s="443">
        <v>0</v>
      </c>
      <c r="Q75" s="444">
        <v>0</v>
      </c>
      <c r="S75" s="452"/>
    </row>
    <row r="76" spans="1:19" s="460" customFormat="1" ht="30" x14ac:dyDescent="0.25">
      <c r="A76" s="449">
        <v>69</v>
      </c>
      <c r="B76" s="453" t="s">
        <v>546</v>
      </c>
      <c r="C76" s="451"/>
      <c r="D76" s="441">
        <v>0</v>
      </c>
      <c r="E76" s="441">
        <v>0</v>
      </c>
      <c r="F76" s="441">
        <v>0</v>
      </c>
      <c r="G76" s="441">
        <v>0</v>
      </c>
      <c r="H76" s="441">
        <v>0</v>
      </c>
      <c r="I76" s="441">
        <v>0</v>
      </c>
      <c r="J76" s="442">
        <v>0</v>
      </c>
      <c r="K76" s="443">
        <v>0</v>
      </c>
      <c r="L76" s="443">
        <v>0</v>
      </c>
      <c r="M76" s="443">
        <v>0</v>
      </c>
      <c r="N76" s="443">
        <v>0</v>
      </c>
      <c r="O76" s="443">
        <v>0</v>
      </c>
      <c r="P76" s="443">
        <v>0</v>
      </c>
      <c r="Q76" s="444">
        <v>0</v>
      </c>
      <c r="S76" s="452"/>
    </row>
    <row r="77" spans="1:19" s="460" customFormat="1" ht="60" x14ac:dyDescent="0.25">
      <c r="A77" s="449">
        <v>70</v>
      </c>
      <c r="B77" s="453" t="s">
        <v>547</v>
      </c>
      <c r="C77" s="451"/>
      <c r="D77" s="441">
        <v>0</v>
      </c>
      <c r="E77" s="441">
        <v>0</v>
      </c>
      <c r="F77" s="441">
        <v>0</v>
      </c>
      <c r="G77" s="441">
        <v>0</v>
      </c>
      <c r="H77" s="441">
        <v>0</v>
      </c>
      <c r="I77" s="441">
        <v>0</v>
      </c>
      <c r="J77" s="442">
        <v>0</v>
      </c>
      <c r="K77" s="443">
        <v>0</v>
      </c>
      <c r="L77" s="443">
        <v>0</v>
      </c>
      <c r="M77" s="443">
        <v>0</v>
      </c>
      <c r="N77" s="443">
        <v>0</v>
      </c>
      <c r="O77" s="443">
        <v>0</v>
      </c>
      <c r="P77" s="443">
        <v>0</v>
      </c>
      <c r="Q77" s="444">
        <v>0</v>
      </c>
      <c r="S77" s="452"/>
    </row>
    <row r="78" spans="1:19" s="460" customFormat="1" ht="30" x14ac:dyDescent="0.25">
      <c r="A78" s="449">
        <v>71</v>
      </c>
      <c r="B78" s="453" t="s">
        <v>548</v>
      </c>
      <c r="C78" s="451"/>
      <c r="D78" s="441">
        <v>0</v>
      </c>
      <c r="E78" s="441">
        <v>0</v>
      </c>
      <c r="F78" s="441">
        <v>0</v>
      </c>
      <c r="G78" s="441">
        <v>0</v>
      </c>
      <c r="H78" s="441">
        <v>0</v>
      </c>
      <c r="I78" s="441">
        <v>0</v>
      </c>
      <c r="J78" s="442">
        <v>0</v>
      </c>
      <c r="K78" s="443">
        <v>0</v>
      </c>
      <c r="L78" s="443">
        <v>0</v>
      </c>
      <c r="M78" s="443">
        <v>0</v>
      </c>
      <c r="N78" s="443">
        <v>0</v>
      </c>
      <c r="O78" s="443">
        <v>0</v>
      </c>
      <c r="P78" s="443">
        <v>0</v>
      </c>
      <c r="Q78" s="444">
        <v>0</v>
      </c>
      <c r="S78" s="452"/>
    </row>
    <row r="79" spans="1:19" s="460" customFormat="1" x14ac:dyDescent="0.25">
      <c r="A79" s="449">
        <v>72</v>
      </c>
      <c r="B79" s="479" t="s">
        <v>549</v>
      </c>
      <c r="C79" s="451"/>
      <c r="D79" s="441">
        <v>0</v>
      </c>
      <c r="E79" s="441">
        <v>0</v>
      </c>
      <c r="F79" s="441">
        <v>0</v>
      </c>
      <c r="G79" s="441">
        <v>0</v>
      </c>
      <c r="H79" s="441">
        <v>14095.507</v>
      </c>
      <c r="I79" s="441">
        <v>0</v>
      </c>
      <c r="J79" s="442">
        <v>14095.507</v>
      </c>
      <c r="K79" s="443">
        <v>0</v>
      </c>
      <c r="L79" s="443">
        <v>0</v>
      </c>
      <c r="M79" s="443">
        <v>0</v>
      </c>
      <c r="N79" s="443">
        <v>16651.099000000002</v>
      </c>
      <c r="O79" s="443">
        <v>16651.099000000002</v>
      </c>
      <c r="P79" s="443">
        <v>0</v>
      </c>
      <c r="Q79" s="444">
        <v>16651.099000000002</v>
      </c>
      <c r="S79" s="452"/>
    </row>
    <row r="80" spans="1:19" s="460" customFormat="1" x14ac:dyDescent="0.25">
      <c r="A80" s="449">
        <v>73</v>
      </c>
      <c r="B80" s="453" t="s">
        <v>550</v>
      </c>
      <c r="C80" s="451"/>
      <c r="D80" s="441">
        <v>0</v>
      </c>
      <c r="E80" s="441">
        <v>0</v>
      </c>
      <c r="F80" s="441">
        <v>0</v>
      </c>
      <c r="G80" s="441">
        <v>0</v>
      </c>
      <c r="H80" s="441">
        <v>0</v>
      </c>
      <c r="I80" s="441">
        <v>0</v>
      </c>
      <c r="J80" s="442">
        <v>0</v>
      </c>
      <c r="K80" s="443">
        <v>0</v>
      </c>
      <c r="L80" s="443">
        <v>0</v>
      </c>
      <c r="M80" s="443">
        <v>0</v>
      </c>
      <c r="N80" s="443">
        <v>0</v>
      </c>
      <c r="O80" s="443">
        <v>0</v>
      </c>
      <c r="P80" s="443">
        <v>0</v>
      </c>
      <c r="Q80" s="444">
        <v>0</v>
      </c>
      <c r="S80" s="452"/>
    </row>
    <row r="81" spans="1:19" s="460" customFormat="1" x14ac:dyDescent="0.25">
      <c r="A81" s="449">
        <v>74</v>
      </c>
      <c r="B81" s="453" t="s">
        <v>551</v>
      </c>
      <c r="C81" s="451"/>
      <c r="D81" s="441">
        <v>0</v>
      </c>
      <c r="E81" s="441">
        <v>0</v>
      </c>
      <c r="F81" s="441">
        <v>0</v>
      </c>
      <c r="G81" s="441">
        <v>0</v>
      </c>
      <c r="H81" s="441">
        <v>0</v>
      </c>
      <c r="I81" s="441">
        <v>0</v>
      </c>
      <c r="J81" s="442">
        <v>0</v>
      </c>
      <c r="K81" s="443">
        <v>0</v>
      </c>
      <c r="L81" s="443">
        <v>0</v>
      </c>
      <c r="M81" s="443">
        <v>0</v>
      </c>
      <c r="N81" s="443">
        <v>0</v>
      </c>
      <c r="O81" s="443">
        <v>0</v>
      </c>
      <c r="P81" s="443">
        <v>0</v>
      </c>
      <c r="Q81" s="444">
        <v>0</v>
      </c>
      <c r="S81" s="452"/>
    </row>
    <row r="82" spans="1:19" s="460" customFormat="1" x14ac:dyDescent="0.25">
      <c r="A82" s="449">
        <v>75</v>
      </c>
      <c r="B82" s="453" t="s">
        <v>241</v>
      </c>
      <c r="C82" s="451"/>
      <c r="D82" s="441">
        <v>0</v>
      </c>
      <c r="E82" s="441">
        <v>0</v>
      </c>
      <c r="F82" s="441">
        <v>0</v>
      </c>
      <c r="G82" s="441">
        <v>0</v>
      </c>
      <c r="H82" s="441">
        <v>0</v>
      </c>
      <c r="I82" s="441">
        <v>0</v>
      </c>
      <c r="J82" s="442">
        <v>0</v>
      </c>
      <c r="K82" s="443">
        <v>0</v>
      </c>
      <c r="L82" s="443">
        <v>0</v>
      </c>
      <c r="M82" s="443">
        <v>0</v>
      </c>
      <c r="N82" s="443">
        <v>0</v>
      </c>
      <c r="O82" s="443">
        <v>0</v>
      </c>
      <c r="P82" s="443">
        <v>0</v>
      </c>
      <c r="Q82" s="444">
        <v>0</v>
      </c>
      <c r="S82" s="452"/>
    </row>
    <row r="83" spans="1:19" s="460" customFormat="1" ht="30" x14ac:dyDescent="0.25">
      <c r="A83" s="449">
        <v>76</v>
      </c>
      <c r="B83" s="453" t="s">
        <v>552</v>
      </c>
      <c r="C83" s="451"/>
      <c r="D83" s="441">
        <v>0</v>
      </c>
      <c r="E83" s="441">
        <v>0</v>
      </c>
      <c r="F83" s="441">
        <v>0</v>
      </c>
      <c r="G83" s="441">
        <v>0</v>
      </c>
      <c r="H83" s="441">
        <v>175850.42499999999</v>
      </c>
      <c r="I83" s="441">
        <v>0</v>
      </c>
      <c r="J83" s="442">
        <v>175850.42499999999</v>
      </c>
      <c r="K83" s="443">
        <v>0</v>
      </c>
      <c r="L83" s="443">
        <v>0</v>
      </c>
      <c r="M83" s="443">
        <v>0</v>
      </c>
      <c r="N83" s="443">
        <v>7.7649999999999997</v>
      </c>
      <c r="O83" s="443">
        <v>7.7649999999999997</v>
      </c>
      <c r="P83" s="443">
        <v>0</v>
      </c>
      <c r="Q83" s="444">
        <v>7.7649999999999997</v>
      </c>
      <c r="S83" s="452"/>
    </row>
    <row r="84" spans="1:19" s="460" customFormat="1" ht="30" x14ac:dyDescent="0.25">
      <c r="A84" s="449">
        <v>77</v>
      </c>
      <c r="B84" s="453" t="s">
        <v>462</v>
      </c>
      <c r="C84" s="451"/>
      <c r="D84" s="441">
        <v>0</v>
      </c>
      <c r="E84" s="441">
        <v>0</v>
      </c>
      <c r="F84" s="441">
        <v>0</v>
      </c>
      <c r="G84" s="441">
        <v>0</v>
      </c>
      <c r="H84" s="441">
        <v>150.25200000000001</v>
      </c>
      <c r="I84" s="441">
        <v>0</v>
      </c>
      <c r="J84" s="442">
        <v>150.25200000000001</v>
      </c>
      <c r="K84" s="443">
        <v>0</v>
      </c>
      <c r="L84" s="443">
        <v>0</v>
      </c>
      <c r="M84" s="443">
        <v>0</v>
      </c>
      <c r="N84" s="443">
        <v>51035.883999999998</v>
      </c>
      <c r="O84" s="443">
        <v>51035.883999999998</v>
      </c>
      <c r="P84" s="443">
        <v>0</v>
      </c>
      <c r="Q84" s="444">
        <v>51035.883999999998</v>
      </c>
      <c r="S84" s="452"/>
    </row>
    <row r="85" spans="1:19" s="460" customFormat="1" x14ac:dyDescent="0.25">
      <c r="A85" s="449">
        <v>78</v>
      </c>
      <c r="B85" s="453" t="s">
        <v>463</v>
      </c>
      <c r="C85" s="451"/>
      <c r="D85" s="441">
        <v>0</v>
      </c>
      <c r="E85" s="441">
        <v>0</v>
      </c>
      <c r="F85" s="441">
        <v>0</v>
      </c>
      <c r="G85" s="441">
        <v>0</v>
      </c>
      <c r="H85" s="441">
        <v>0</v>
      </c>
      <c r="I85" s="441">
        <v>0</v>
      </c>
      <c r="J85" s="442">
        <v>0</v>
      </c>
      <c r="K85" s="443">
        <v>0</v>
      </c>
      <c r="L85" s="443">
        <v>0</v>
      </c>
      <c r="M85" s="443">
        <v>0</v>
      </c>
      <c r="N85" s="443">
        <v>33648</v>
      </c>
      <c r="O85" s="443">
        <v>33648</v>
      </c>
      <c r="P85" s="443">
        <v>0</v>
      </c>
      <c r="Q85" s="444">
        <v>33648</v>
      </c>
      <c r="S85" s="452"/>
    </row>
    <row r="86" spans="1:19" s="460" customFormat="1" x14ac:dyDescent="0.25">
      <c r="A86" s="449">
        <v>79</v>
      </c>
      <c r="B86" s="453" t="s">
        <v>464</v>
      </c>
      <c r="C86" s="451"/>
      <c r="D86" s="441">
        <v>0</v>
      </c>
      <c r="E86" s="441">
        <v>0</v>
      </c>
      <c r="F86" s="441">
        <v>0</v>
      </c>
      <c r="G86" s="441">
        <v>0</v>
      </c>
      <c r="H86" s="441">
        <v>0</v>
      </c>
      <c r="I86" s="441">
        <v>0</v>
      </c>
      <c r="J86" s="442">
        <v>0</v>
      </c>
      <c r="K86" s="443">
        <v>0</v>
      </c>
      <c r="L86" s="443">
        <v>0</v>
      </c>
      <c r="M86" s="443">
        <v>0</v>
      </c>
      <c r="N86" s="443">
        <v>5400</v>
      </c>
      <c r="O86" s="443">
        <v>5400</v>
      </c>
      <c r="P86" s="443">
        <v>0</v>
      </c>
      <c r="Q86" s="444">
        <v>5400</v>
      </c>
      <c r="S86" s="452"/>
    </row>
    <row r="87" spans="1:19" s="460" customFormat="1" x14ac:dyDescent="0.25">
      <c r="A87" s="449">
        <v>80</v>
      </c>
      <c r="B87" s="453" t="s">
        <v>465</v>
      </c>
      <c r="C87" s="451"/>
      <c r="D87" s="441">
        <v>0</v>
      </c>
      <c r="E87" s="441">
        <v>0</v>
      </c>
      <c r="F87" s="441">
        <v>0</v>
      </c>
      <c r="G87" s="441">
        <v>0</v>
      </c>
      <c r="H87" s="441">
        <v>0</v>
      </c>
      <c r="I87" s="441">
        <v>0</v>
      </c>
      <c r="J87" s="442">
        <v>0</v>
      </c>
      <c r="K87" s="443">
        <v>0</v>
      </c>
      <c r="L87" s="443">
        <v>0</v>
      </c>
      <c r="M87" s="443">
        <v>0</v>
      </c>
      <c r="N87" s="443">
        <v>8160</v>
      </c>
      <c r="O87" s="443">
        <v>8160</v>
      </c>
      <c r="P87" s="443">
        <v>0</v>
      </c>
      <c r="Q87" s="444">
        <v>8160</v>
      </c>
      <c r="S87" s="452"/>
    </row>
    <row r="88" spans="1:19" s="460" customFormat="1" x14ac:dyDescent="0.25">
      <c r="A88" s="449">
        <v>81</v>
      </c>
      <c r="B88" s="453" t="s">
        <v>467</v>
      </c>
      <c r="C88" s="451"/>
      <c r="D88" s="441">
        <v>0</v>
      </c>
      <c r="E88" s="441">
        <v>0</v>
      </c>
      <c r="F88" s="441">
        <v>0</v>
      </c>
      <c r="G88" s="441">
        <v>0</v>
      </c>
      <c r="H88" s="441">
        <v>123.9</v>
      </c>
      <c r="I88" s="441">
        <v>0</v>
      </c>
      <c r="J88" s="442">
        <v>123.9</v>
      </c>
      <c r="K88" s="443">
        <v>0</v>
      </c>
      <c r="L88" s="443">
        <v>0</v>
      </c>
      <c r="M88" s="443">
        <v>0</v>
      </c>
      <c r="N88" s="443">
        <v>0</v>
      </c>
      <c r="O88" s="443">
        <v>0</v>
      </c>
      <c r="P88" s="443">
        <v>0</v>
      </c>
      <c r="Q88" s="444">
        <v>0</v>
      </c>
      <c r="S88" s="452"/>
    </row>
    <row r="89" spans="1:19" s="460" customFormat="1" x14ac:dyDescent="0.25">
      <c r="A89" s="449">
        <v>82</v>
      </c>
      <c r="B89" s="453" t="s">
        <v>468</v>
      </c>
      <c r="C89" s="451"/>
      <c r="D89" s="441">
        <v>0</v>
      </c>
      <c r="E89" s="441">
        <v>0</v>
      </c>
      <c r="F89" s="441">
        <v>0</v>
      </c>
      <c r="G89" s="441">
        <v>0</v>
      </c>
      <c r="H89" s="441">
        <v>104</v>
      </c>
      <c r="I89" s="441">
        <v>0</v>
      </c>
      <c r="J89" s="442">
        <v>104</v>
      </c>
      <c r="K89" s="443">
        <v>0</v>
      </c>
      <c r="L89" s="443">
        <v>0</v>
      </c>
      <c r="M89" s="443">
        <v>0</v>
      </c>
      <c r="N89" s="443">
        <v>0</v>
      </c>
      <c r="O89" s="443">
        <v>0</v>
      </c>
      <c r="P89" s="443">
        <v>0</v>
      </c>
      <c r="Q89" s="444">
        <v>0</v>
      </c>
      <c r="S89" s="452"/>
    </row>
    <row r="90" spans="1:19" s="460" customFormat="1" x14ac:dyDescent="0.25">
      <c r="A90" s="449">
        <v>83</v>
      </c>
      <c r="B90" s="453" t="s">
        <v>469</v>
      </c>
      <c r="C90" s="451"/>
      <c r="D90" s="441">
        <v>0</v>
      </c>
      <c r="E90" s="441">
        <v>0</v>
      </c>
      <c r="F90" s="441">
        <v>0</v>
      </c>
      <c r="G90" s="441">
        <v>0</v>
      </c>
      <c r="H90" s="441">
        <v>6260</v>
      </c>
      <c r="I90" s="441">
        <v>0</v>
      </c>
      <c r="J90" s="442">
        <v>6260</v>
      </c>
      <c r="K90" s="443">
        <v>0</v>
      </c>
      <c r="L90" s="443">
        <v>0</v>
      </c>
      <c r="M90" s="443">
        <v>0</v>
      </c>
      <c r="N90" s="443">
        <v>0</v>
      </c>
      <c r="O90" s="443">
        <v>0</v>
      </c>
      <c r="P90" s="443">
        <v>0</v>
      </c>
      <c r="Q90" s="444">
        <v>0</v>
      </c>
      <c r="S90" s="452"/>
    </row>
    <row r="91" spans="1:19" s="460" customFormat="1" x14ac:dyDescent="0.25">
      <c r="A91" s="449">
        <v>84</v>
      </c>
      <c r="B91" s="453" t="s">
        <v>470</v>
      </c>
      <c r="C91" s="451"/>
      <c r="D91" s="441">
        <v>0</v>
      </c>
      <c r="E91" s="441">
        <v>0</v>
      </c>
      <c r="F91" s="441">
        <v>0</v>
      </c>
      <c r="G91" s="441">
        <v>0</v>
      </c>
      <c r="H91" s="441">
        <v>87.5</v>
      </c>
      <c r="I91" s="441">
        <v>0</v>
      </c>
      <c r="J91" s="442">
        <v>87.5</v>
      </c>
      <c r="K91" s="443">
        <v>0</v>
      </c>
      <c r="L91" s="443">
        <v>0</v>
      </c>
      <c r="M91" s="443">
        <v>0</v>
      </c>
      <c r="N91" s="443">
        <v>0</v>
      </c>
      <c r="O91" s="443">
        <v>0</v>
      </c>
      <c r="P91" s="443">
        <v>0</v>
      </c>
      <c r="Q91" s="444">
        <v>0</v>
      </c>
      <c r="S91" s="452"/>
    </row>
    <row r="92" spans="1:19" s="460" customFormat="1" x14ac:dyDescent="0.25">
      <c r="A92" s="449">
        <v>85</v>
      </c>
      <c r="B92" s="453" t="s">
        <v>471</v>
      </c>
      <c r="C92" s="451"/>
      <c r="D92" s="441">
        <v>0</v>
      </c>
      <c r="E92" s="441">
        <v>0</v>
      </c>
      <c r="F92" s="441">
        <v>0</v>
      </c>
      <c r="G92" s="441">
        <v>0</v>
      </c>
      <c r="H92" s="441">
        <v>0</v>
      </c>
      <c r="I92" s="441">
        <v>0</v>
      </c>
      <c r="J92" s="442">
        <v>0</v>
      </c>
      <c r="K92" s="443">
        <v>0</v>
      </c>
      <c r="L92" s="443">
        <v>0</v>
      </c>
      <c r="M92" s="443">
        <v>0</v>
      </c>
      <c r="N92" s="443">
        <v>3650.28</v>
      </c>
      <c r="O92" s="443">
        <v>3650.28</v>
      </c>
      <c r="P92" s="443">
        <v>0</v>
      </c>
      <c r="Q92" s="444">
        <v>3650.28</v>
      </c>
      <c r="S92" s="452"/>
    </row>
    <row r="93" spans="1:19" ht="30" x14ac:dyDescent="0.25">
      <c r="A93" s="438">
        <v>86</v>
      </c>
      <c r="B93" s="439" t="s">
        <v>553</v>
      </c>
      <c r="C93" s="440"/>
      <c r="D93" s="441">
        <v>79112.615000000005</v>
      </c>
      <c r="E93" s="441">
        <v>20759.187000000002</v>
      </c>
      <c r="F93" s="441">
        <v>16606.030999999999</v>
      </c>
      <c r="G93" s="441">
        <v>4741.4070000000002</v>
      </c>
      <c r="H93" s="441">
        <v>0</v>
      </c>
      <c r="I93" s="441">
        <v>66163.808000000005</v>
      </c>
      <c r="J93" s="442">
        <v>187383.04800000001</v>
      </c>
      <c r="K93" s="443">
        <v>0</v>
      </c>
      <c r="L93" s="443">
        <v>0</v>
      </c>
      <c r="M93" s="443">
        <v>0</v>
      </c>
      <c r="N93" s="443">
        <v>0</v>
      </c>
      <c r="O93" s="443">
        <v>0</v>
      </c>
      <c r="P93" s="443">
        <v>0</v>
      </c>
      <c r="Q93" s="444">
        <v>0</v>
      </c>
    </row>
    <row r="94" spans="1:19" ht="30" x14ac:dyDescent="0.25">
      <c r="A94" s="438">
        <v>87</v>
      </c>
      <c r="B94" s="439" t="s">
        <v>554</v>
      </c>
      <c r="C94" s="440"/>
      <c r="D94" s="441">
        <v>0</v>
      </c>
      <c r="E94" s="441">
        <v>0</v>
      </c>
      <c r="F94" s="441">
        <v>0</v>
      </c>
      <c r="G94" s="441">
        <v>0</v>
      </c>
      <c r="H94" s="441">
        <v>0</v>
      </c>
      <c r="I94" s="441">
        <v>0</v>
      </c>
      <c r="J94" s="442">
        <v>0</v>
      </c>
      <c r="K94" s="443">
        <v>0</v>
      </c>
      <c r="L94" s="443">
        <v>0</v>
      </c>
      <c r="M94" s="443">
        <v>0</v>
      </c>
      <c r="N94" s="443">
        <v>0</v>
      </c>
      <c r="O94" s="443">
        <v>0</v>
      </c>
      <c r="P94" s="443">
        <v>0</v>
      </c>
      <c r="Q94" s="444">
        <v>0</v>
      </c>
    </row>
    <row r="95" spans="1:19" s="468" customFormat="1" x14ac:dyDescent="0.25">
      <c r="A95" s="455">
        <v>88</v>
      </c>
      <c r="B95" s="456" t="s">
        <v>555</v>
      </c>
      <c r="C95" s="476">
        <v>0</v>
      </c>
      <c r="D95" s="476">
        <v>79112.615000000005</v>
      </c>
      <c r="E95" s="476">
        <v>20759.187000000002</v>
      </c>
      <c r="F95" s="476">
        <v>16606.030999999999</v>
      </c>
      <c r="G95" s="476">
        <v>4741.4070000000002</v>
      </c>
      <c r="H95" s="476">
        <v>251305.24900000001</v>
      </c>
      <c r="I95" s="476">
        <v>66163.808000000005</v>
      </c>
      <c r="J95" s="476">
        <v>438688.29700000002</v>
      </c>
      <c r="K95" s="476">
        <v>0</v>
      </c>
      <c r="L95" s="476">
        <v>0</v>
      </c>
      <c r="M95" s="476">
        <v>0</v>
      </c>
      <c r="N95" s="476">
        <v>118553.02799999999</v>
      </c>
      <c r="O95" s="476">
        <v>118553.02799999999</v>
      </c>
      <c r="P95" s="476">
        <v>0</v>
      </c>
      <c r="Q95" s="476">
        <v>118553.02799999999</v>
      </c>
      <c r="S95" s="425"/>
    </row>
    <row r="96" spans="1:19" s="468" customFormat="1" x14ac:dyDescent="0.25">
      <c r="A96" s="455">
        <v>89</v>
      </c>
      <c r="B96" s="456" t="s">
        <v>556</v>
      </c>
      <c r="C96" s="476">
        <v>0</v>
      </c>
      <c r="D96" s="476">
        <v>83976.49500000001</v>
      </c>
      <c r="E96" s="476">
        <v>23170.765000000003</v>
      </c>
      <c r="F96" s="476">
        <v>16710.628000000001</v>
      </c>
      <c r="G96" s="476">
        <v>4809.8780000000006</v>
      </c>
      <c r="H96" s="476">
        <v>684390.87700000009</v>
      </c>
      <c r="I96" s="476">
        <v>66165.217000000004</v>
      </c>
      <c r="J96" s="476">
        <v>879223.86</v>
      </c>
      <c r="K96" s="476">
        <v>6483.1798200000003</v>
      </c>
      <c r="L96" s="476">
        <v>694.11977000000002</v>
      </c>
      <c r="M96" s="476">
        <v>250</v>
      </c>
      <c r="N96" s="476">
        <v>265370.36300000001</v>
      </c>
      <c r="O96" s="476">
        <v>266064.48277</v>
      </c>
      <c r="P96" s="476">
        <v>0</v>
      </c>
      <c r="Q96" s="476">
        <v>272797.66258999996</v>
      </c>
      <c r="S96" s="425"/>
    </row>
    <row r="97" spans="1:19" s="468" customFormat="1" x14ac:dyDescent="0.25">
      <c r="A97" s="455">
        <v>90</v>
      </c>
      <c r="B97" s="456" t="s">
        <v>557</v>
      </c>
      <c r="C97" s="476"/>
      <c r="D97" s="476">
        <v>0</v>
      </c>
      <c r="E97" s="476">
        <v>0</v>
      </c>
      <c r="F97" s="476">
        <v>0</v>
      </c>
      <c r="G97" s="476">
        <v>0</v>
      </c>
      <c r="H97" s="476">
        <v>0</v>
      </c>
      <c r="I97" s="476">
        <v>0</v>
      </c>
      <c r="J97" s="476"/>
      <c r="K97" s="476">
        <v>0</v>
      </c>
      <c r="L97" s="476">
        <v>0</v>
      </c>
      <c r="M97" s="476">
        <v>0</v>
      </c>
      <c r="N97" s="476">
        <v>0</v>
      </c>
      <c r="O97" s="476">
        <v>0</v>
      </c>
      <c r="P97" s="476">
        <v>0</v>
      </c>
      <c r="Q97" s="476">
        <v>0</v>
      </c>
      <c r="S97" s="425"/>
    </row>
    <row r="98" spans="1:19" x14ac:dyDescent="0.25">
      <c r="A98" s="438">
        <v>91</v>
      </c>
      <c r="B98" s="439" t="s">
        <v>558</v>
      </c>
      <c r="C98" s="440"/>
      <c r="D98" s="441">
        <v>0</v>
      </c>
      <c r="E98" s="441">
        <v>0</v>
      </c>
      <c r="F98" s="441">
        <v>0</v>
      </c>
      <c r="G98" s="441">
        <v>0</v>
      </c>
      <c r="H98" s="441">
        <v>77127.762000000002</v>
      </c>
      <c r="I98" s="441">
        <v>0</v>
      </c>
      <c r="J98" s="442">
        <v>77127.762000000002</v>
      </c>
      <c r="K98" s="443">
        <v>0</v>
      </c>
      <c r="L98" s="443">
        <v>0</v>
      </c>
      <c r="M98" s="443">
        <v>0</v>
      </c>
      <c r="N98" s="443">
        <v>0</v>
      </c>
      <c r="O98" s="443">
        <v>0</v>
      </c>
      <c r="P98" s="443">
        <v>0</v>
      </c>
      <c r="Q98" s="444">
        <v>0</v>
      </c>
    </row>
    <row r="99" spans="1:19" x14ac:dyDescent="0.25">
      <c r="A99" s="438">
        <v>92</v>
      </c>
      <c r="B99" s="439" t="s">
        <v>559</v>
      </c>
      <c r="C99" s="440"/>
      <c r="D99" s="441">
        <v>0</v>
      </c>
      <c r="E99" s="441">
        <v>0</v>
      </c>
      <c r="F99" s="441">
        <v>0</v>
      </c>
      <c r="G99" s="441">
        <v>0</v>
      </c>
      <c r="H99" s="441">
        <v>0</v>
      </c>
      <c r="I99" s="441">
        <v>0</v>
      </c>
      <c r="J99" s="442">
        <v>0</v>
      </c>
      <c r="K99" s="443">
        <v>0</v>
      </c>
      <c r="L99" s="443">
        <v>0</v>
      </c>
      <c r="M99" s="443">
        <v>0</v>
      </c>
      <c r="N99" s="443">
        <v>0</v>
      </c>
      <c r="O99" s="443">
        <v>0</v>
      </c>
      <c r="P99" s="443">
        <v>0</v>
      </c>
      <c r="Q99" s="444">
        <v>0</v>
      </c>
    </row>
    <row r="100" spans="1:19" x14ac:dyDescent="0.25">
      <c r="A100" s="438">
        <v>93</v>
      </c>
      <c r="B100" s="480" t="s">
        <v>560</v>
      </c>
      <c r="C100" s="440"/>
      <c r="D100" s="441">
        <v>0</v>
      </c>
      <c r="E100" s="441">
        <v>0</v>
      </c>
      <c r="F100" s="441">
        <v>0</v>
      </c>
      <c r="G100" s="441">
        <v>0</v>
      </c>
      <c r="H100" s="441">
        <v>58201.942000000003</v>
      </c>
      <c r="I100" s="441">
        <v>0</v>
      </c>
      <c r="J100" s="442">
        <v>58201.942000000003</v>
      </c>
      <c r="K100" s="443">
        <v>0</v>
      </c>
      <c r="L100" s="443">
        <v>0</v>
      </c>
      <c r="M100" s="443">
        <v>0</v>
      </c>
      <c r="N100" s="443">
        <v>0</v>
      </c>
      <c r="O100" s="443">
        <v>0</v>
      </c>
      <c r="P100" s="443">
        <v>0</v>
      </c>
      <c r="Q100" s="444">
        <v>0</v>
      </c>
    </row>
    <row r="101" spans="1:19" x14ac:dyDescent="0.25">
      <c r="A101" s="438">
        <v>94</v>
      </c>
      <c r="B101" s="439" t="s">
        <v>561</v>
      </c>
      <c r="C101" s="440"/>
      <c r="D101" s="441">
        <v>0</v>
      </c>
      <c r="E101" s="441">
        <v>0</v>
      </c>
      <c r="F101" s="441">
        <v>0</v>
      </c>
      <c r="G101" s="441">
        <v>0</v>
      </c>
      <c r="H101" s="441">
        <v>0</v>
      </c>
      <c r="I101" s="441">
        <v>0</v>
      </c>
      <c r="J101" s="442">
        <v>0</v>
      </c>
      <c r="K101" s="443">
        <v>0</v>
      </c>
      <c r="L101" s="443">
        <v>0</v>
      </c>
      <c r="M101" s="443">
        <v>0</v>
      </c>
      <c r="N101" s="443">
        <v>0</v>
      </c>
      <c r="O101" s="443">
        <v>0</v>
      </c>
      <c r="P101" s="443">
        <v>0</v>
      </c>
      <c r="Q101" s="444">
        <v>0</v>
      </c>
    </row>
    <row r="102" spans="1:19" x14ac:dyDescent="0.25">
      <c r="A102" s="438">
        <v>95</v>
      </c>
      <c r="B102" s="439" t="s">
        <v>562</v>
      </c>
      <c r="C102" s="440"/>
      <c r="D102" s="441">
        <v>0</v>
      </c>
      <c r="E102" s="441">
        <v>0</v>
      </c>
      <c r="F102" s="441">
        <v>0</v>
      </c>
      <c r="G102" s="441">
        <v>0</v>
      </c>
      <c r="H102" s="441">
        <v>0</v>
      </c>
      <c r="I102" s="441">
        <v>0</v>
      </c>
      <c r="J102" s="442">
        <v>0</v>
      </c>
      <c r="K102" s="443">
        <v>0</v>
      </c>
      <c r="L102" s="443">
        <v>0</v>
      </c>
      <c r="M102" s="443">
        <v>0</v>
      </c>
      <c r="N102" s="443">
        <v>0</v>
      </c>
      <c r="O102" s="443">
        <v>0</v>
      </c>
      <c r="P102" s="443">
        <v>0</v>
      </c>
      <c r="Q102" s="444">
        <v>0</v>
      </c>
    </row>
    <row r="103" spans="1:19" x14ac:dyDescent="0.25">
      <c r="A103" s="438">
        <v>96</v>
      </c>
      <c r="B103" s="439" t="s">
        <v>563</v>
      </c>
      <c r="C103" s="440"/>
      <c r="D103" s="441">
        <v>0</v>
      </c>
      <c r="E103" s="441">
        <v>0</v>
      </c>
      <c r="F103" s="441">
        <v>0</v>
      </c>
      <c r="G103" s="441">
        <v>0</v>
      </c>
      <c r="H103" s="441">
        <v>0</v>
      </c>
      <c r="I103" s="441">
        <v>0</v>
      </c>
      <c r="J103" s="442">
        <v>0</v>
      </c>
      <c r="K103" s="443">
        <v>0</v>
      </c>
      <c r="L103" s="443">
        <v>0</v>
      </c>
      <c r="M103" s="443">
        <v>0</v>
      </c>
      <c r="N103" s="443">
        <v>0</v>
      </c>
      <c r="O103" s="443">
        <v>0</v>
      </c>
      <c r="P103" s="443">
        <v>0</v>
      </c>
      <c r="Q103" s="444">
        <v>0</v>
      </c>
    </row>
    <row r="104" spans="1:19" x14ac:dyDescent="0.25">
      <c r="A104" s="438">
        <v>97</v>
      </c>
      <c r="B104" s="439" t="s">
        <v>564</v>
      </c>
      <c r="C104" s="440"/>
      <c r="D104" s="441">
        <v>0</v>
      </c>
      <c r="E104" s="441">
        <v>0</v>
      </c>
      <c r="F104" s="441">
        <v>0</v>
      </c>
      <c r="G104" s="441">
        <v>0</v>
      </c>
      <c r="H104" s="441">
        <v>0</v>
      </c>
      <c r="I104" s="441">
        <v>0</v>
      </c>
      <c r="J104" s="442">
        <v>0</v>
      </c>
      <c r="K104" s="443">
        <v>0</v>
      </c>
      <c r="L104" s="443">
        <v>0</v>
      </c>
      <c r="M104" s="443">
        <v>0</v>
      </c>
      <c r="N104" s="443">
        <v>0</v>
      </c>
      <c r="O104" s="443">
        <v>0</v>
      </c>
      <c r="P104" s="443">
        <v>0</v>
      </c>
      <c r="Q104" s="444">
        <v>0</v>
      </c>
    </row>
    <row r="105" spans="1:19" x14ac:dyDescent="0.25">
      <c r="A105" s="438">
        <v>98</v>
      </c>
      <c r="B105" s="439" t="s">
        <v>565</v>
      </c>
      <c r="C105" s="440"/>
      <c r="D105" s="441">
        <v>0</v>
      </c>
      <c r="E105" s="441">
        <v>0</v>
      </c>
      <c r="F105" s="441">
        <v>0</v>
      </c>
      <c r="G105" s="441">
        <v>0</v>
      </c>
      <c r="H105" s="441">
        <v>0</v>
      </c>
      <c r="I105" s="441">
        <v>0</v>
      </c>
      <c r="J105" s="442">
        <v>0</v>
      </c>
      <c r="K105" s="443">
        <v>0</v>
      </c>
      <c r="L105" s="443">
        <v>0</v>
      </c>
      <c r="M105" s="443">
        <v>0</v>
      </c>
      <c r="N105" s="443">
        <v>0</v>
      </c>
      <c r="O105" s="443">
        <v>0</v>
      </c>
      <c r="P105" s="443">
        <v>0</v>
      </c>
      <c r="Q105" s="444">
        <v>0</v>
      </c>
    </row>
    <row r="106" spans="1:19" x14ac:dyDescent="0.25">
      <c r="A106" s="438">
        <v>99</v>
      </c>
      <c r="B106" s="439" t="s">
        <v>566</v>
      </c>
      <c r="C106" s="440"/>
      <c r="D106" s="441">
        <v>0</v>
      </c>
      <c r="E106" s="441">
        <v>0</v>
      </c>
      <c r="F106" s="441">
        <v>0</v>
      </c>
      <c r="G106" s="441">
        <v>0</v>
      </c>
      <c r="H106" s="441">
        <v>0</v>
      </c>
      <c r="I106" s="441">
        <v>0</v>
      </c>
      <c r="J106" s="442">
        <v>0</v>
      </c>
      <c r="K106" s="443">
        <v>0</v>
      </c>
      <c r="L106" s="443">
        <v>0</v>
      </c>
      <c r="M106" s="443">
        <v>0</v>
      </c>
      <c r="N106" s="443">
        <v>0</v>
      </c>
      <c r="O106" s="443">
        <v>0</v>
      </c>
      <c r="P106" s="443">
        <v>0</v>
      </c>
      <c r="Q106" s="444">
        <v>0</v>
      </c>
    </row>
    <row r="107" spans="1:19" x14ac:dyDescent="0.25">
      <c r="A107" s="438">
        <v>100</v>
      </c>
      <c r="B107" s="439" t="s">
        <v>567</v>
      </c>
      <c r="C107" s="440"/>
      <c r="D107" s="441">
        <v>0</v>
      </c>
      <c r="E107" s="441">
        <v>0</v>
      </c>
      <c r="F107" s="441">
        <v>0</v>
      </c>
      <c r="G107" s="441">
        <v>0</v>
      </c>
      <c r="H107" s="441">
        <v>633.00199999999984</v>
      </c>
      <c r="I107" s="441">
        <v>0</v>
      </c>
      <c r="J107" s="442">
        <v>633.00199999999984</v>
      </c>
      <c r="K107" s="443">
        <v>0</v>
      </c>
      <c r="L107" s="443">
        <v>0</v>
      </c>
      <c r="M107" s="443">
        <v>0</v>
      </c>
      <c r="N107" s="443">
        <v>0</v>
      </c>
      <c r="O107" s="443">
        <v>0</v>
      </c>
      <c r="P107" s="443">
        <v>0</v>
      </c>
      <c r="Q107" s="444">
        <v>0</v>
      </c>
    </row>
    <row r="108" spans="1:19" s="468" customFormat="1" x14ac:dyDescent="0.25">
      <c r="A108" s="455">
        <v>101</v>
      </c>
      <c r="B108" s="456" t="s">
        <v>568</v>
      </c>
      <c r="C108" s="476">
        <v>0</v>
      </c>
      <c r="D108" s="476">
        <v>0</v>
      </c>
      <c r="E108" s="476">
        <v>0</v>
      </c>
      <c r="F108" s="476">
        <v>0</v>
      </c>
      <c r="G108" s="476">
        <v>0</v>
      </c>
      <c r="H108" s="476">
        <v>135962.70600000001</v>
      </c>
      <c r="I108" s="476">
        <v>0</v>
      </c>
      <c r="J108" s="476">
        <v>135962.70600000001</v>
      </c>
      <c r="K108" s="476">
        <v>0</v>
      </c>
      <c r="L108" s="476">
        <v>0</v>
      </c>
      <c r="M108" s="476">
        <v>0</v>
      </c>
      <c r="N108" s="476">
        <v>0</v>
      </c>
      <c r="O108" s="476">
        <v>0</v>
      </c>
      <c r="P108" s="476">
        <v>0</v>
      </c>
      <c r="Q108" s="476">
        <v>0</v>
      </c>
      <c r="S108" s="425"/>
    </row>
    <row r="109" spans="1:19" s="468" customFormat="1" x14ac:dyDescent="0.25">
      <c r="A109" s="455">
        <v>102</v>
      </c>
      <c r="B109" s="456" t="s">
        <v>569</v>
      </c>
      <c r="C109" s="476">
        <v>0</v>
      </c>
      <c r="D109" s="476">
        <v>83976.49500000001</v>
      </c>
      <c r="E109" s="476">
        <v>23170.765000000003</v>
      </c>
      <c r="F109" s="476">
        <v>16710.628000000001</v>
      </c>
      <c r="G109" s="476">
        <v>4809.8780000000006</v>
      </c>
      <c r="H109" s="476">
        <v>820353.5830000001</v>
      </c>
      <c r="I109" s="476">
        <v>66165.217000000004</v>
      </c>
      <c r="J109" s="476">
        <v>1015186.566</v>
      </c>
      <c r="K109" s="476">
        <v>6483.1798200000003</v>
      </c>
      <c r="L109" s="476">
        <v>694.11977000000002</v>
      </c>
      <c r="M109" s="476">
        <v>250</v>
      </c>
      <c r="N109" s="476">
        <v>265370.36300000001</v>
      </c>
      <c r="O109" s="476">
        <v>266064.48277</v>
      </c>
      <c r="P109" s="476">
        <v>0</v>
      </c>
      <c r="Q109" s="476">
        <v>272797.66258999996</v>
      </c>
      <c r="R109" s="467"/>
      <c r="S109" s="425"/>
    </row>
    <row r="110" spans="1:19" x14ac:dyDescent="0.25">
      <c r="A110" s="481"/>
      <c r="S110" s="424"/>
    </row>
    <row r="111" spans="1:19" x14ac:dyDescent="0.25">
      <c r="B111"/>
      <c r="S111" s="424"/>
    </row>
    <row r="112" spans="1:19" x14ac:dyDescent="0.25">
      <c r="B112"/>
      <c r="D112" s="482">
        <v>83976.49500000001</v>
      </c>
      <c r="E112" s="482">
        <v>23170.765000000003</v>
      </c>
      <c r="F112" s="482">
        <v>16710.628000000001</v>
      </c>
      <c r="G112" s="482">
        <v>4809.8780000000006</v>
      </c>
      <c r="H112" s="482">
        <v>820353.58299999998</v>
      </c>
      <c r="I112" s="482">
        <v>66165.217000000004</v>
      </c>
      <c r="J112" s="483">
        <v>1015186.5659999999</v>
      </c>
      <c r="K112" s="423">
        <v>6483.1798200000003</v>
      </c>
      <c r="L112" s="484">
        <v>694.11977000000002</v>
      </c>
      <c r="M112" s="484">
        <v>250</v>
      </c>
      <c r="N112" s="484">
        <v>265370.36300000001</v>
      </c>
      <c r="O112" s="484"/>
      <c r="P112" s="423">
        <v>0</v>
      </c>
      <c r="Q112" s="467">
        <v>272797.66258999996</v>
      </c>
      <c r="S112" s="424"/>
    </row>
    <row r="113" spans="2:19" x14ac:dyDescent="0.25">
      <c r="B113" t="s">
        <v>570</v>
      </c>
      <c r="D113" s="482">
        <v>0</v>
      </c>
      <c r="E113" s="482">
        <v>0</v>
      </c>
      <c r="F113" s="482">
        <v>0</v>
      </c>
      <c r="G113" s="482">
        <v>0</v>
      </c>
      <c r="H113" s="482">
        <v>0</v>
      </c>
      <c r="I113" s="482">
        <v>0</v>
      </c>
      <c r="J113" s="482">
        <v>0</v>
      </c>
      <c r="K113" s="482">
        <v>0</v>
      </c>
      <c r="L113" s="482">
        <v>0</v>
      </c>
      <c r="M113" s="482">
        <v>0</v>
      </c>
      <c r="N113" s="482">
        <v>0</v>
      </c>
      <c r="O113" s="482"/>
      <c r="P113" s="482">
        <v>0</v>
      </c>
      <c r="Q113" s="482">
        <v>0</v>
      </c>
      <c r="S113" s="424"/>
    </row>
    <row r="114" spans="2:19" x14ac:dyDescent="0.25">
      <c r="S114" s="424"/>
    </row>
    <row r="115" spans="2:19" x14ac:dyDescent="0.25">
      <c r="S115" s="424"/>
    </row>
    <row r="116" spans="2:19" x14ac:dyDescent="0.25">
      <c r="S116" s="424"/>
    </row>
    <row r="117" spans="2:19" x14ac:dyDescent="0.25">
      <c r="S117" s="424"/>
    </row>
    <row r="118" spans="2:19" x14ac:dyDescent="0.25">
      <c r="S118" s="424"/>
    </row>
    <row r="119" spans="2:19" x14ac:dyDescent="0.25">
      <c r="S119" s="424"/>
    </row>
    <row r="120" spans="2:19" x14ac:dyDescent="0.25">
      <c r="S120" s="424"/>
    </row>
    <row r="121" spans="2:19" x14ac:dyDescent="0.25">
      <c r="S121" s="424"/>
    </row>
    <row r="122" spans="2:19" x14ac:dyDescent="0.25">
      <c r="S122" s="424"/>
    </row>
    <row r="123" spans="2:19" x14ac:dyDescent="0.25">
      <c r="S123" s="424"/>
    </row>
    <row r="124" spans="2:19" x14ac:dyDescent="0.25">
      <c r="S124" s="424"/>
    </row>
    <row r="125" spans="2:19" x14ac:dyDescent="0.25">
      <c r="S125" s="424"/>
    </row>
    <row r="126" spans="2:19" x14ac:dyDescent="0.25">
      <c r="S126" s="424"/>
    </row>
    <row r="127" spans="2:19" x14ac:dyDescent="0.25">
      <c r="S127" s="424"/>
    </row>
    <row r="128" spans="2:19" x14ac:dyDescent="0.25">
      <c r="S128" s="424"/>
    </row>
    <row r="129" spans="19:19" x14ac:dyDescent="0.25">
      <c r="S129" s="424"/>
    </row>
    <row r="130" spans="19:19" x14ac:dyDescent="0.25">
      <c r="S130" s="424"/>
    </row>
    <row r="131" spans="19:19" x14ac:dyDescent="0.25">
      <c r="S131" s="424"/>
    </row>
    <row r="132" spans="19:19" x14ac:dyDescent="0.25">
      <c r="S132" s="424"/>
    </row>
    <row r="133" spans="19:19" x14ac:dyDescent="0.25">
      <c r="S133" s="424"/>
    </row>
    <row r="134" spans="19:19" x14ac:dyDescent="0.25">
      <c r="S134" s="424"/>
    </row>
    <row r="135" spans="19:19" x14ac:dyDescent="0.25">
      <c r="S135" s="424"/>
    </row>
    <row r="136" spans="19:19" x14ac:dyDescent="0.25">
      <c r="S136" s="424"/>
    </row>
    <row r="137" spans="19:19" x14ac:dyDescent="0.25">
      <c r="S137" s="424"/>
    </row>
    <row r="138" spans="19:19" x14ac:dyDescent="0.25">
      <c r="S138" s="424"/>
    </row>
    <row r="139" spans="19:19" x14ac:dyDescent="0.25">
      <c r="S139" s="424"/>
    </row>
    <row r="140" spans="19:19" x14ac:dyDescent="0.25">
      <c r="S140" s="424"/>
    </row>
    <row r="141" spans="19:19" x14ac:dyDescent="0.25">
      <c r="S141" s="424"/>
    </row>
    <row r="142" spans="19:19" x14ac:dyDescent="0.25">
      <c r="S142" s="424"/>
    </row>
    <row r="143" spans="19:19" x14ac:dyDescent="0.25">
      <c r="S143" s="424"/>
    </row>
    <row r="144" spans="19:19" x14ac:dyDescent="0.25">
      <c r="S144" s="424"/>
    </row>
    <row r="145" spans="19:19" x14ac:dyDescent="0.25">
      <c r="S145" s="424"/>
    </row>
    <row r="146" spans="19:19" x14ac:dyDescent="0.25">
      <c r="S146" s="424"/>
    </row>
    <row r="147" spans="19:19" x14ac:dyDescent="0.25">
      <c r="S147" s="424"/>
    </row>
    <row r="148" spans="19:19" x14ac:dyDescent="0.25">
      <c r="S148" s="424"/>
    </row>
    <row r="149" spans="19:19" x14ac:dyDescent="0.25">
      <c r="S149" s="424"/>
    </row>
    <row r="150" spans="19:19" x14ac:dyDescent="0.25">
      <c r="S150" s="424"/>
    </row>
    <row r="151" spans="19:19" x14ac:dyDescent="0.25">
      <c r="S151" s="424"/>
    </row>
    <row r="152" spans="19:19" x14ac:dyDescent="0.25">
      <c r="S152" s="424"/>
    </row>
    <row r="153" spans="19:19" x14ac:dyDescent="0.25">
      <c r="S153" s="424"/>
    </row>
    <row r="154" spans="19:19" x14ac:dyDescent="0.25">
      <c r="S154" s="424"/>
    </row>
    <row r="155" spans="19:19" x14ac:dyDescent="0.25">
      <c r="S155" s="424"/>
    </row>
    <row r="156" spans="19:19" x14ac:dyDescent="0.25">
      <c r="S156" s="424"/>
    </row>
    <row r="157" spans="19:19" x14ac:dyDescent="0.25">
      <c r="S157" s="424"/>
    </row>
    <row r="158" spans="19:19" x14ac:dyDescent="0.25">
      <c r="S158" s="424"/>
    </row>
    <row r="159" spans="19:19" x14ac:dyDescent="0.25">
      <c r="S159" s="424"/>
    </row>
    <row r="160" spans="19:19" x14ac:dyDescent="0.25">
      <c r="S160" s="424"/>
    </row>
    <row r="161" spans="19:19" x14ac:dyDescent="0.25">
      <c r="S161" s="424"/>
    </row>
    <row r="162" spans="19:19" x14ac:dyDescent="0.25">
      <c r="S162" s="424"/>
    </row>
    <row r="163" spans="19:19" x14ac:dyDescent="0.25">
      <c r="S163" s="424"/>
    </row>
    <row r="164" spans="19:19" x14ac:dyDescent="0.25">
      <c r="S164" s="424"/>
    </row>
    <row r="165" spans="19:19" x14ac:dyDescent="0.25">
      <c r="S165" s="424"/>
    </row>
    <row r="166" spans="19:19" x14ac:dyDescent="0.25">
      <c r="S166" s="424"/>
    </row>
    <row r="167" spans="19:19" x14ac:dyDescent="0.25">
      <c r="S167" s="424"/>
    </row>
    <row r="168" spans="19:19" x14ac:dyDescent="0.25">
      <c r="S168" s="424"/>
    </row>
    <row r="169" spans="19:19" x14ac:dyDescent="0.25">
      <c r="S169" s="424"/>
    </row>
    <row r="170" spans="19:19" x14ac:dyDescent="0.25">
      <c r="S170" s="424"/>
    </row>
    <row r="171" spans="19:19" x14ac:dyDescent="0.25">
      <c r="S171" s="424"/>
    </row>
    <row r="172" spans="19:19" x14ac:dyDescent="0.25">
      <c r="S172" s="424"/>
    </row>
    <row r="173" spans="19:19" x14ac:dyDescent="0.25">
      <c r="S173" s="424"/>
    </row>
    <row r="174" spans="19:19" x14ac:dyDescent="0.25">
      <c r="S174" s="424"/>
    </row>
    <row r="175" spans="19:19" x14ac:dyDescent="0.25">
      <c r="S175" s="424"/>
    </row>
    <row r="176" spans="19:19" x14ac:dyDescent="0.25">
      <c r="S176" s="424"/>
    </row>
    <row r="177" spans="19:19" x14ac:dyDescent="0.25">
      <c r="S177" s="424"/>
    </row>
    <row r="178" spans="19:19" x14ac:dyDescent="0.25">
      <c r="S178" s="424"/>
    </row>
    <row r="179" spans="19:19" x14ac:dyDescent="0.25">
      <c r="S179" s="424"/>
    </row>
    <row r="180" spans="19:19" x14ac:dyDescent="0.25">
      <c r="S180" s="424"/>
    </row>
    <row r="181" spans="19:19" x14ac:dyDescent="0.25">
      <c r="S181" s="424"/>
    </row>
    <row r="182" spans="19:19" x14ac:dyDescent="0.25">
      <c r="S182" s="424"/>
    </row>
    <row r="183" spans="19:19" x14ac:dyDescent="0.25">
      <c r="S183" s="424"/>
    </row>
    <row r="184" spans="19:19" x14ac:dyDescent="0.25">
      <c r="S184" s="424"/>
    </row>
    <row r="185" spans="19:19" x14ac:dyDescent="0.25">
      <c r="S185" s="424"/>
    </row>
    <row r="186" spans="19:19" x14ac:dyDescent="0.25">
      <c r="S186" s="424"/>
    </row>
    <row r="187" spans="19:19" x14ac:dyDescent="0.25">
      <c r="S187" s="424"/>
    </row>
    <row r="188" spans="19:19" x14ac:dyDescent="0.25">
      <c r="S188" s="424"/>
    </row>
    <row r="189" spans="19:19" x14ac:dyDescent="0.25">
      <c r="S189" s="424"/>
    </row>
    <row r="190" spans="19:19" x14ac:dyDescent="0.25">
      <c r="S190" s="424"/>
    </row>
    <row r="191" spans="19:19" x14ac:dyDescent="0.25">
      <c r="S191" s="424"/>
    </row>
    <row r="192" spans="19:19" x14ac:dyDescent="0.25">
      <c r="S192" s="424"/>
    </row>
    <row r="193" spans="19:19" x14ac:dyDescent="0.25">
      <c r="S193" s="424"/>
    </row>
    <row r="194" spans="19:19" x14ac:dyDescent="0.25">
      <c r="S194" s="424"/>
    </row>
    <row r="195" spans="19:19" x14ac:dyDescent="0.25">
      <c r="S195" s="424"/>
    </row>
    <row r="196" spans="19:19" x14ac:dyDescent="0.25">
      <c r="S196" s="424"/>
    </row>
    <row r="197" spans="19:19" x14ac:dyDescent="0.25">
      <c r="S197" s="424"/>
    </row>
    <row r="198" spans="19:19" x14ac:dyDescent="0.25">
      <c r="S198" s="424"/>
    </row>
    <row r="199" spans="19:19" x14ac:dyDescent="0.25">
      <c r="S199" s="424"/>
    </row>
    <row r="200" spans="19:19" x14ac:dyDescent="0.25">
      <c r="S200" s="424"/>
    </row>
    <row r="201" spans="19:19" x14ac:dyDescent="0.25">
      <c r="S201" s="424"/>
    </row>
    <row r="202" spans="19:19" x14ac:dyDescent="0.25">
      <c r="S202" s="424"/>
    </row>
    <row r="203" spans="19:19" x14ac:dyDescent="0.25">
      <c r="S203" s="424"/>
    </row>
    <row r="204" spans="19:19" x14ac:dyDescent="0.25">
      <c r="S204" s="424"/>
    </row>
  </sheetData>
  <mergeCells count="4">
    <mergeCell ref="A1:Q1"/>
    <mergeCell ref="A2:Q2"/>
    <mergeCell ref="D4:J4"/>
    <mergeCell ref="K4:Q4"/>
  </mergeCells>
  <phoneticPr fontId="32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3" bestFit="1" customWidth="1"/>
    <col min="2" max="2" width="60.1640625" style="485" customWidth="1"/>
    <col min="3" max="3" width="0" style="495" hidden="1" customWidth="1"/>
    <col min="4" max="4" width="11.5" style="495" customWidth="1"/>
    <col min="5" max="5" width="17.5" style="495" customWidth="1"/>
    <col min="6" max="6" width="14.33203125" style="495" customWidth="1"/>
    <col min="7" max="7" width="17.5" style="495" customWidth="1"/>
    <col min="8" max="8" width="11.33203125" style="495" bestFit="1" customWidth="1"/>
    <col min="9" max="9" width="9.83203125" style="495" bestFit="1" customWidth="1"/>
    <col min="10" max="10" width="13.1640625" style="495" customWidth="1"/>
    <col min="11" max="11" width="18.6640625" style="495" customWidth="1"/>
    <col min="12" max="12" width="9.5" style="495" hidden="1" customWidth="1"/>
    <col min="13" max="13" width="18.83203125" style="495" customWidth="1"/>
    <col min="14" max="14" width="0" style="495" hidden="1" customWidth="1"/>
    <col min="15" max="15" width="16.83203125" style="495" customWidth="1"/>
    <col min="16" max="16" width="9.83203125" style="495" bestFit="1" customWidth="1"/>
    <col min="17" max="17" width="13.6640625" style="504" customWidth="1"/>
    <col min="18" max="16384" width="9.33203125" style="485"/>
  </cols>
  <sheetData>
    <row r="1" spans="1:17" x14ac:dyDescent="0.25">
      <c r="A1" s="1343" t="s">
        <v>682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  <c r="O1" s="1343"/>
      <c r="P1" s="1343"/>
      <c r="Q1" s="1343"/>
    </row>
    <row r="2" spans="1:17" x14ac:dyDescent="0.25">
      <c r="A2" s="1344" t="s">
        <v>683</v>
      </c>
      <c r="B2" s="1344"/>
      <c r="C2" s="1344"/>
      <c r="D2" s="1344"/>
      <c r="E2" s="1344"/>
      <c r="F2" s="1344"/>
      <c r="G2" s="1344"/>
      <c r="H2" s="1344"/>
      <c r="I2" s="1344"/>
      <c r="J2" s="1344"/>
      <c r="K2" s="502"/>
      <c r="L2" s="485"/>
      <c r="M2" s="485"/>
      <c r="N2" s="485"/>
      <c r="O2" s="485"/>
      <c r="P2" s="485"/>
      <c r="Q2" s="485"/>
    </row>
    <row r="4" spans="1:17" s="508" customFormat="1" x14ac:dyDescent="0.2">
      <c r="A4" s="505"/>
      <c r="B4" s="506" t="s">
        <v>12</v>
      </c>
      <c r="C4" s="507">
        <v>2011</v>
      </c>
      <c r="D4" s="1348" t="s">
        <v>473</v>
      </c>
      <c r="E4" s="1349"/>
      <c r="F4" s="1349"/>
      <c r="G4" s="1349"/>
      <c r="H4" s="1349"/>
      <c r="I4" s="1349"/>
      <c r="J4" s="1350"/>
      <c r="K4" s="1346" t="s">
        <v>474</v>
      </c>
      <c r="L4" s="1346"/>
      <c r="M4" s="1346"/>
      <c r="N4" s="1346"/>
      <c r="O4" s="1346"/>
      <c r="P4" s="1346"/>
      <c r="Q4" s="1347"/>
    </row>
    <row r="5" spans="1:17" s="508" customFormat="1" ht="75" x14ac:dyDescent="0.2">
      <c r="A5" s="509"/>
      <c r="B5" s="510"/>
      <c r="C5" s="507" t="s">
        <v>684</v>
      </c>
      <c r="D5" s="507" t="s">
        <v>451</v>
      </c>
      <c r="E5" s="435" t="s">
        <v>476</v>
      </c>
      <c r="F5" s="435" t="s">
        <v>477</v>
      </c>
      <c r="G5" s="435" t="s">
        <v>478</v>
      </c>
      <c r="H5" s="507" t="s">
        <v>449</v>
      </c>
      <c r="I5" s="507" t="s">
        <v>450</v>
      </c>
      <c r="J5" s="507" t="s">
        <v>918</v>
      </c>
      <c r="K5" s="435" t="s">
        <v>476</v>
      </c>
      <c r="L5" s="435" t="s">
        <v>477</v>
      </c>
      <c r="M5" s="435" t="s">
        <v>478</v>
      </c>
      <c r="N5" s="507" t="s">
        <v>449</v>
      </c>
      <c r="O5" s="435" t="s">
        <v>680</v>
      </c>
      <c r="P5" s="507" t="s">
        <v>450</v>
      </c>
      <c r="Q5" s="437" t="s">
        <v>918</v>
      </c>
    </row>
    <row r="6" spans="1:17" x14ac:dyDescent="0.25">
      <c r="A6" s="511">
        <v>1</v>
      </c>
      <c r="B6" s="512" t="s">
        <v>685</v>
      </c>
      <c r="C6" s="454"/>
      <c r="D6" s="441">
        <v>37307.510999999999</v>
      </c>
      <c r="E6" s="441">
        <v>9658.8590000000004</v>
      </c>
      <c r="F6" s="441">
        <v>6776.4070000000002</v>
      </c>
      <c r="G6" s="441">
        <v>580.88199999999995</v>
      </c>
      <c r="H6" s="441">
        <v>10415.591</v>
      </c>
      <c r="I6" s="441">
        <v>33870.446999999993</v>
      </c>
      <c r="J6" s="441">
        <v>98609.696999999986</v>
      </c>
      <c r="K6" s="443">
        <v>30313.200000000001</v>
      </c>
      <c r="L6" s="443">
        <v>0</v>
      </c>
      <c r="M6" s="443">
        <v>2307.6</v>
      </c>
      <c r="N6" s="443">
        <v>14015.82</v>
      </c>
      <c r="O6" s="443">
        <v>14015.82</v>
      </c>
      <c r="P6" s="443">
        <v>32068.795000000002</v>
      </c>
      <c r="Q6" s="444">
        <v>78705.415000000008</v>
      </c>
    </row>
    <row r="7" spans="1:17" x14ac:dyDescent="0.25">
      <c r="A7" s="513">
        <v>2</v>
      </c>
      <c r="B7" s="514" t="s">
        <v>686</v>
      </c>
      <c r="C7" s="454"/>
      <c r="D7" s="441">
        <v>10871.213</v>
      </c>
      <c r="E7" s="441">
        <v>1885.702</v>
      </c>
      <c r="F7" s="441">
        <v>2102.7359999999999</v>
      </c>
      <c r="G7" s="441">
        <v>310.26400000000001</v>
      </c>
      <c r="H7" s="441">
        <v>4687.991</v>
      </c>
      <c r="I7" s="441">
        <v>9168.5529999999999</v>
      </c>
      <c r="J7" s="441">
        <v>29026.458999999995</v>
      </c>
      <c r="K7" s="443">
        <v>4347</v>
      </c>
      <c r="L7" s="443">
        <v>0</v>
      </c>
      <c r="M7" s="443">
        <v>480</v>
      </c>
      <c r="N7" s="443">
        <v>6303.9009999999998</v>
      </c>
      <c r="O7" s="443">
        <v>6303.9009999999998</v>
      </c>
      <c r="P7" s="443">
        <v>5704.558</v>
      </c>
      <c r="Q7" s="444">
        <v>16835.459000000003</v>
      </c>
    </row>
    <row r="8" spans="1:17" s="496" customFormat="1" x14ac:dyDescent="0.25">
      <c r="A8" s="513">
        <v>3</v>
      </c>
      <c r="B8" s="514" t="s">
        <v>687</v>
      </c>
      <c r="C8" s="454"/>
      <c r="D8" s="441">
        <v>321.15600000000001</v>
      </c>
      <c r="E8" s="441">
        <v>92</v>
      </c>
      <c r="F8" s="441">
        <v>818.31099999999992</v>
      </c>
      <c r="G8" s="441">
        <v>523.02099999999996</v>
      </c>
      <c r="H8" s="441">
        <v>3153.4</v>
      </c>
      <c r="I8" s="441">
        <v>1370.0910000000001</v>
      </c>
      <c r="J8" s="441">
        <v>6277.9790000000003</v>
      </c>
      <c r="K8" s="443">
        <v>276</v>
      </c>
      <c r="L8" s="443">
        <v>0</v>
      </c>
      <c r="M8" s="443">
        <v>926.4</v>
      </c>
      <c r="N8" s="443">
        <v>2087.1</v>
      </c>
      <c r="O8" s="443">
        <v>2087.1</v>
      </c>
      <c r="P8" s="443">
        <v>0</v>
      </c>
      <c r="Q8" s="444">
        <v>3289.5000000000005</v>
      </c>
    </row>
    <row r="9" spans="1:17" s="496" customFormat="1" x14ac:dyDescent="0.25">
      <c r="A9" s="455">
        <v>4</v>
      </c>
      <c r="B9" s="456" t="s">
        <v>688</v>
      </c>
      <c r="C9" s="515">
        <v>0</v>
      </c>
      <c r="D9" s="515">
        <v>48499.880000000005</v>
      </c>
      <c r="E9" s="515">
        <v>11636.561</v>
      </c>
      <c r="F9" s="515">
        <v>9697.4539999999997</v>
      </c>
      <c r="G9" s="515">
        <v>1414.1669999999999</v>
      </c>
      <c r="H9" s="515">
        <v>18256.982</v>
      </c>
      <c r="I9" s="515">
        <v>44409.090999999993</v>
      </c>
      <c r="J9" s="515">
        <v>133914.13500000001</v>
      </c>
      <c r="K9" s="515">
        <v>34936.199999999997</v>
      </c>
      <c r="L9" s="515">
        <v>0</v>
      </c>
      <c r="M9" s="515">
        <v>3714</v>
      </c>
      <c r="N9" s="515">
        <v>22406.820999999996</v>
      </c>
      <c r="O9" s="515">
        <v>22406.820999999996</v>
      </c>
      <c r="P9" s="515">
        <v>37773.353000000003</v>
      </c>
      <c r="Q9" s="515">
        <v>98830.373999999996</v>
      </c>
    </row>
    <row r="10" spans="1:17" s="496" customFormat="1" x14ac:dyDescent="0.25">
      <c r="A10" s="455">
        <v>5</v>
      </c>
      <c r="B10" s="456" t="s">
        <v>689</v>
      </c>
      <c r="C10" s="515"/>
      <c r="D10" s="515">
        <v>13945.891</v>
      </c>
      <c r="E10" s="515">
        <v>3062.3130000000001</v>
      </c>
      <c r="F10" s="515">
        <v>2452.9369999999999</v>
      </c>
      <c r="G10" s="515">
        <v>376.512</v>
      </c>
      <c r="H10" s="515">
        <v>4427.0889999999999</v>
      </c>
      <c r="I10" s="515">
        <v>11635.154999999999</v>
      </c>
      <c r="J10" s="515">
        <v>35899.896999999997</v>
      </c>
      <c r="K10" s="515">
        <v>10275.744000000001</v>
      </c>
      <c r="L10" s="515">
        <v>0</v>
      </c>
      <c r="M10" s="515">
        <v>1002.7800000000001</v>
      </c>
      <c r="N10" s="515">
        <v>6030.1790000000001</v>
      </c>
      <c r="O10" s="515">
        <v>6030.1790000000001</v>
      </c>
      <c r="P10" s="515">
        <v>9264.7510000000002</v>
      </c>
      <c r="Q10" s="515">
        <v>26573.454000000002</v>
      </c>
    </row>
    <row r="11" spans="1:17" s="516" customFormat="1" x14ac:dyDescent="0.2">
      <c r="A11" s="455">
        <v>6</v>
      </c>
      <c r="B11" s="456" t="s">
        <v>690</v>
      </c>
      <c r="C11" s="515">
        <v>0</v>
      </c>
      <c r="D11" s="515">
        <v>15676.251</v>
      </c>
      <c r="E11" s="515">
        <v>6338.8120000000008</v>
      </c>
      <c r="F11" s="515">
        <v>3552.2360000000003</v>
      </c>
      <c r="G11" s="515">
        <v>2335.3100000000004</v>
      </c>
      <c r="H11" s="515">
        <v>35830.889000000003</v>
      </c>
      <c r="I11" s="515">
        <v>7111.4290000000001</v>
      </c>
      <c r="J11" s="515">
        <v>70844.927000000011</v>
      </c>
      <c r="K11" s="515">
        <v>19973.105209599998</v>
      </c>
      <c r="L11" s="515">
        <v>10197.028188976377</v>
      </c>
      <c r="M11" s="515">
        <v>2497.6275000000001</v>
      </c>
      <c r="N11" s="515">
        <v>27951.150711220471</v>
      </c>
      <c r="O11" s="515">
        <v>38148.17890019685</v>
      </c>
      <c r="P11" s="515">
        <v>11774.928659000001</v>
      </c>
      <c r="Q11" s="515">
        <v>72393.840268796834</v>
      </c>
    </row>
    <row r="12" spans="1:17" x14ac:dyDescent="0.25">
      <c r="A12" s="517">
        <v>7</v>
      </c>
      <c r="B12" s="518" t="s">
        <v>691</v>
      </c>
      <c r="C12" s="454">
        <v>0</v>
      </c>
      <c r="D12" s="441">
        <v>275.70100000000002</v>
      </c>
      <c r="E12" s="441">
        <v>638.84199999999998</v>
      </c>
      <c r="F12" s="441">
        <v>470.01000000000005</v>
      </c>
      <c r="G12" s="441">
        <v>77.579000000000008</v>
      </c>
      <c r="H12" s="441">
        <v>2146.5930000000003</v>
      </c>
      <c r="I12" s="441">
        <v>1341.011</v>
      </c>
      <c r="J12" s="441">
        <v>4949.7360000000008</v>
      </c>
      <c r="K12" s="443">
        <v>745</v>
      </c>
      <c r="L12" s="443">
        <v>660</v>
      </c>
      <c r="M12" s="443">
        <v>200</v>
      </c>
      <c r="N12" s="443">
        <v>2282</v>
      </c>
      <c r="O12" s="443">
        <v>2942</v>
      </c>
      <c r="P12" s="443">
        <v>1969</v>
      </c>
      <c r="Q12" s="444">
        <v>5856</v>
      </c>
    </row>
    <row r="13" spans="1:17" x14ac:dyDescent="0.25">
      <c r="A13" s="519">
        <v>8</v>
      </c>
      <c r="B13" s="520" t="s">
        <v>692</v>
      </c>
      <c r="C13" s="454"/>
      <c r="D13" s="441">
        <v>0</v>
      </c>
      <c r="E13" s="441">
        <v>0</v>
      </c>
      <c r="F13" s="441">
        <v>0</v>
      </c>
      <c r="G13" s="441">
        <v>0</v>
      </c>
      <c r="H13" s="441">
        <v>0</v>
      </c>
      <c r="I13" s="441">
        <v>0</v>
      </c>
      <c r="J13" s="441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443">
        <v>0</v>
      </c>
      <c r="Q13" s="444">
        <v>0</v>
      </c>
    </row>
    <row r="14" spans="1:17" x14ac:dyDescent="0.25">
      <c r="A14" s="519">
        <v>9</v>
      </c>
      <c r="B14" s="520" t="s">
        <v>452</v>
      </c>
      <c r="C14" s="454"/>
      <c r="D14" s="441">
        <v>3.9</v>
      </c>
      <c r="E14" s="441">
        <v>0</v>
      </c>
      <c r="F14" s="441">
        <v>0</v>
      </c>
      <c r="G14" s="441">
        <v>0</v>
      </c>
      <c r="H14" s="441">
        <v>57.414999999999999</v>
      </c>
      <c r="I14" s="441">
        <v>0</v>
      </c>
      <c r="J14" s="441">
        <v>61.314999999999998</v>
      </c>
      <c r="K14" s="443">
        <v>5</v>
      </c>
      <c r="L14" s="443">
        <v>10</v>
      </c>
      <c r="M14" s="443">
        <v>0</v>
      </c>
      <c r="N14" s="443">
        <v>150</v>
      </c>
      <c r="O14" s="443">
        <v>160</v>
      </c>
      <c r="P14" s="443">
        <v>0</v>
      </c>
      <c r="Q14" s="444">
        <v>165</v>
      </c>
    </row>
    <row r="15" spans="1:17" x14ac:dyDescent="0.25">
      <c r="A15" s="519">
        <v>10</v>
      </c>
      <c r="B15" s="520" t="s">
        <v>453</v>
      </c>
      <c r="C15" s="454"/>
      <c r="D15" s="441">
        <v>0</v>
      </c>
      <c r="E15" s="441">
        <v>0</v>
      </c>
      <c r="F15" s="441">
        <v>0</v>
      </c>
      <c r="G15" s="441">
        <v>17.811</v>
      </c>
      <c r="H15" s="441">
        <v>3.3050000000000002</v>
      </c>
      <c r="I15" s="441">
        <v>0</v>
      </c>
      <c r="J15" s="441">
        <v>21.116</v>
      </c>
      <c r="K15" s="443">
        <v>0</v>
      </c>
      <c r="L15" s="443">
        <v>0</v>
      </c>
      <c r="M15" s="443">
        <v>0</v>
      </c>
      <c r="N15" s="443">
        <v>0</v>
      </c>
      <c r="O15" s="443">
        <v>0</v>
      </c>
      <c r="P15" s="443">
        <v>0</v>
      </c>
      <c r="Q15" s="444">
        <v>0</v>
      </c>
    </row>
    <row r="16" spans="1:17" s="448" customFormat="1" x14ac:dyDescent="0.25">
      <c r="A16" s="521">
        <v>11</v>
      </c>
      <c r="B16" s="522" t="s">
        <v>693</v>
      </c>
      <c r="C16" s="447"/>
      <c r="D16" s="441">
        <v>96.269000000000005</v>
      </c>
      <c r="E16" s="441">
        <v>22.527999999999999</v>
      </c>
      <c r="F16" s="441">
        <v>15.244</v>
      </c>
      <c r="G16" s="441">
        <v>24.071000000000002</v>
      </c>
      <c r="H16" s="441">
        <v>249.023</v>
      </c>
      <c r="I16" s="441">
        <v>585.18299999999999</v>
      </c>
      <c r="J16" s="441">
        <v>992.31799999999998</v>
      </c>
      <c r="K16" s="443">
        <v>45</v>
      </c>
      <c r="L16" s="443">
        <v>100</v>
      </c>
      <c r="M16" s="443">
        <v>50</v>
      </c>
      <c r="N16" s="443">
        <v>50</v>
      </c>
      <c r="O16" s="443">
        <v>150</v>
      </c>
      <c r="P16" s="443">
        <v>849</v>
      </c>
      <c r="Q16" s="444">
        <v>1094</v>
      </c>
    </row>
    <row r="17" spans="1:17" x14ac:dyDescent="0.25">
      <c r="A17" s="519">
        <v>12</v>
      </c>
      <c r="B17" s="520" t="s">
        <v>694</v>
      </c>
      <c r="C17" s="454"/>
      <c r="D17" s="441">
        <v>0</v>
      </c>
      <c r="E17" s="441">
        <v>0</v>
      </c>
      <c r="F17" s="441">
        <v>381.88099999999997</v>
      </c>
      <c r="G17" s="441">
        <v>0</v>
      </c>
      <c r="H17" s="441">
        <v>3.343</v>
      </c>
      <c r="I17" s="441">
        <v>0</v>
      </c>
      <c r="J17" s="441">
        <v>385.22399999999999</v>
      </c>
      <c r="K17" s="443">
        <v>0</v>
      </c>
      <c r="L17" s="443">
        <v>0</v>
      </c>
      <c r="M17" s="443">
        <v>0</v>
      </c>
      <c r="N17" s="443">
        <v>12</v>
      </c>
      <c r="O17" s="443">
        <v>12</v>
      </c>
      <c r="P17" s="443">
        <v>100</v>
      </c>
      <c r="Q17" s="444">
        <v>112</v>
      </c>
    </row>
    <row r="18" spans="1:17" x14ac:dyDescent="0.25">
      <c r="A18" s="519">
        <v>13</v>
      </c>
      <c r="B18" s="520" t="s">
        <v>695</v>
      </c>
      <c r="C18" s="454"/>
      <c r="D18" s="441">
        <v>0</v>
      </c>
      <c r="E18" s="441">
        <v>0</v>
      </c>
      <c r="F18" s="441">
        <v>35.5</v>
      </c>
      <c r="G18" s="441">
        <v>0</v>
      </c>
      <c r="H18" s="441">
        <v>0</v>
      </c>
      <c r="I18" s="441">
        <v>0</v>
      </c>
      <c r="J18" s="441">
        <v>35.5</v>
      </c>
      <c r="K18" s="443">
        <v>60</v>
      </c>
      <c r="L18" s="443">
        <v>0</v>
      </c>
      <c r="M18" s="443">
        <v>0</v>
      </c>
      <c r="N18" s="443">
        <v>0</v>
      </c>
      <c r="O18" s="443">
        <v>0</v>
      </c>
      <c r="P18" s="443">
        <v>0</v>
      </c>
      <c r="Q18" s="444">
        <v>60</v>
      </c>
    </row>
    <row r="19" spans="1:17" x14ac:dyDescent="0.25">
      <c r="A19" s="519">
        <v>14</v>
      </c>
      <c r="B19" s="520" t="s">
        <v>696</v>
      </c>
      <c r="C19" s="454"/>
      <c r="D19" s="441">
        <v>0</v>
      </c>
      <c r="E19" s="441">
        <v>0</v>
      </c>
      <c r="F19" s="441">
        <v>0</v>
      </c>
      <c r="G19" s="441">
        <v>0</v>
      </c>
      <c r="H19" s="441">
        <v>0</v>
      </c>
      <c r="I19" s="441">
        <v>206.1</v>
      </c>
      <c r="J19" s="441">
        <v>206.1</v>
      </c>
      <c r="K19" s="443">
        <v>0</v>
      </c>
      <c r="L19" s="443">
        <v>0</v>
      </c>
      <c r="M19" s="443">
        <v>0</v>
      </c>
      <c r="N19" s="443">
        <v>0</v>
      </c>
      <c r="O19" s="443">
        <v>0</v>
      </c>
      <c r="P19" s="443">
        <v>170</v>
      </c>
      <c r="Q19" s="444">
        <v>170</v>
      </c>
    </row>
    <row r="20" spans="1:17" x14ac:dyDescent="0.25">
      <c r="A20" s="519">
        <v>15</v>
      </c>
      <c r="B20" s="520" t="s">
        <v>697</v>
      </c>
      <c r="C20" s="454"/>
      <c r="D20" s="441">
        <v>0</v>
      </c>
      <c r="E20" s="441">
        <v>0</v>
      </c>
      <c r="F20" s="441">
        <v>0</v>
      </c>
      <c r="G20" s="441">
        <v>0</v>
      </c>
      <c r="H20" s="441">
        <v>0</v>
      </c>
      <c r="I20" s="441">
        <v>0</v>
      </c>
      <c r="J20" s="441">
        <v>0</v>
      </c>
      <c r="K20" s="443">
        <v>0</v>
      </c>
      <c r="L20" s="443">
        <v>0</v>
      </c>
      <c r="M20" s="443">
        <v>0</v>
      </c>
      <c r="N20" s="443">
        <v>0</v>
      </c>
      <c r="O20" s="443">
        <v>0</v>
      </c>
      <c r="P20" s="443">
        <v>0</v>
      </c>
      <c r="Q20" s="444">
        <v>0</v>
      </c>
    </row>
    <row r="21" spans="1:17" x14ac:dyDescent="0.25">
      <c r="A21" s="519">
        <v>16</v>
      </c>
      <c r="B21" s="520" t="s">
        <v>698</v>
      </c>
      <c r="C21" s="454"/>
      <c r="D21" s="441">
        <v>0</v>
      </c>
      <c r="E21" s="441">
        <v>0</v>
      </c>
      <c r="F21" s="441">
        <v>0</v>
      </c>
      <c r="G21" s="441">
        <v>0</v>
      </c>
      <c r="H21" s="441">
        <v>782.96799999999996</v>
      </c>
      <c r="I21" s="441">
        <v>0</v>
      </c>
      <c r="J21" s="441">
        <v>782.96799999999996</v>
      </c>
      <c r="K21" s="443">
        <v>0</v>
      </c>
      <c r="L21" s="443">
        <v>0</v>
      </c>
      <c r="M21" s="443">
        <v>0</v>
      </c>
      <c r="N21" s="443">
        <v>900</v>
      </c>
      <c r="O21" s="443">
        <v>900</v>
      </c>
      <c r="P21" s="443">
        <v>0</v>
      </c>
      <c r="Q21" s="444">
        <v>900</v>
      </c>
    </row>
    <row r="22" spans="1:17" x14ac:dyDescent="0.25">
      <c r="A22" s="519">
        <v>17</v>
      </c>
      <c r="B22" s="520" t="s">
        <v>454</v>
      </c>
      <c r="C22" s="454"/>
      <c r="D22" s="441">
        <v>107.072</v>
      </c>
      <c r="E22" s="441">
        <v>88.415999999999997</v>
      </c>
      <c r="F22" s="441">
        <v>2.0710000000000002</v>
      </c>
      <c r="G22" s="441">
        <v>0</v>
      </c>
      <c r="H22" s="441">
        <v>201.38</v>
      </c>
      <c r="I22" s="441">
        <v>0</v>
      </c>
      <c r="J22" s="441">
        <v>398.93899999999996</v>
      </c>
      <c r="K22" s="443">
        <v>300</v>
      </c>
      <c r="L22" s="443">
        <v>400</v>
      </c>
      <c r="M22" s="443">
        <v>0</v>
      </c>
      <c r="N22" s="443">
        <v>100</v>
      </c>
      <c r="O22" s="443">
        <v>500</v>
      </c>
      <c r="P22" s="443">
        <v>0</v>
      </c>
      <c r="Q22" s="444">
        <v>800</v>
      </c>
    </row>
    <row r="23" spans="1:17" ht="25.5" x14ac:dyDescent="0.25">
      <c r="A23" s="519">
        <v>18</v>
      </c>
      <c r="B23" s="520" t="s">
        <v>699</v>
      </c>
      <c r="C23" s="454"/>
      <c r="D23" s="441">
        <v>15.717000000000001</v>
      </c>
      <c r="E23" s="441">
        <v>180.34899999999999</v>
      </c>
      <c r="F23" s="441">
        <v>0</v>
      </c>
      <c r="G23" s="441">
        <v>22</v>
      </c>
      <c r="H23" s="441">
        <v>40.271999999999998</v>
      </c>
      <c r="I23" s="441">
        <v>84.063000000000002</v>
      </c>
      <c r="J23" s="441">
        <v>342.40100000000001</v>
      </c>
      <c r="K23" s="443">
        <v>120</v>
      </c>
      <c r="L23" s="443">
        <v>0</v>
      </c>
      <c r="M23" s="443">
        <v>100</v>
      </c>
      <c r="N23" s="443">
        <v>60</v>
      </c>
      <c r="O23" s="443">
        <v>60</v>
      </c>
      <c r="P23" s="443">
        <v>200</v>
      </c>
      <c r="Q23" s="444">
        <v>480</v>
      </c>
    </row>
    <row r="24" spans="1:17" ht="25.5" x14ac:dyDescent="0.25">
      <c r="A24" s="519">
        <v>19</v>
      </c>
      <c r="B24" s="520" t="s">
        <v>700</v>
      </c>
      <c r="C24" s="454"/>
      <c r="D24" s="441">
        <v>0</v>
      </c>
      <c r="E24" s="441">
        <v>0</v>
      </c>
      <c r="F24" s="441">
        <v>0</v>
      </c>
      <c r="G24" s="441">
        <v>0</v>
      </c>
      <c r="H24" s="441">
        <v>67.545000000000002</v>
      </c>
      <c r="I24" s="441">
        <v>0</v>
      </c>
      <c r="J24" s="441">
        <v>67.545000000000002</v>
      </c>
      <c r="K24" s="443">
        <v>0</v>
      </c>
      <c r="L24" s="443">
        <v>0</v>
      </c>
      <c r="M24" s="443">
        <v>0</v>
      </c>
      <c r="N24" s="443">
        <v>150</v>
      </c>
      <c r="O24" s="443">
        <v>150</v>
      </c>
      <c r="P24" s="443">
        <v>0</v>
      </c>
      <c r="Q24" s="444">
        <v>150</v>
      </c>
    </row>
    <row r="25" spans="1:17" x14ac:dyDescent="0.25">
      <c r="A25" s="519">
        <v>20</v>
      </c>
      <c r="B25" s="520" t="s">
        <v>701</v>
      </c>
      <c r="C25" s="454"/>
      <c r="D25" s="441">
        <v>52.742999999999995</v>
      </c>
      <c r="E25" s="441">
        <v>347.54899999999998</v>
      </c>
      <c r="F25" s="441">
        <v>35.314</v>
      </c>
      <c r="G25" s="441">
        <v>13.696999999999999</v>
      </c>
      <c r="H25" s="441">
        <v>741.34199999999998</v>
      </c>
      <c r="I25" s="441">
        <v>465.66500000000002</v>
      </c>
      <c r="J25" s="441">
        <v>1656.31</v>
      </c>
      <c r="K25" s="443">
        <v>215</v>
      </c>
      <c r="L25" s="443">
        <v>150</v>
      </c>
      <c r="M25" s="443">
        <v>50</v>
      </c>
      <c r="N25" s="443">
        <v>860</v>
      </c>
      <c r="O25" s="443">
        <v>1010</v>
      </c>
      <c r="P25" s="443">
        <v>650</v>
      </c>
      <c r="Q25" s="444">
        <v>1925</v>
      </c>
    </row>
    <row r="26" spans="1:17" x14ac:dyDescent="0.25">
      <c r="A26" s="517">
        <v>21</v>
      </c>
      <c r="B26" s="518" t="s">
        <v>702</v>
      </c>
      <c r="C26" s="454">
        <v>0</v>
      </c>
      <c r="D26" s="441">
        <v>192.25800000000001</v>
      </c>
      <c r="E26" s="441">
        <v>62.027000000000001</v>
      </c>
      <c r="F26" s="441">
        <v>28.827999999999999</v>
      </c>
      <c r="G26" s="441">
        <v>64.864000000000004</v>
      </c>
      <c r="H26" s="441">
        <v>372.27600000000001</v>
      </c>
      <c r="I26" s="441">
        <v>1051.4829999999999</v>
      </c>
      <c r="J26" s="441">
        <v>1771.7359999999999</v>
      </c>
      <c r="K26" s="443">
        <v>157.35009359999998</v>
      </c>
      <c r="L26" s="443">
        <v>73.131</v>
      </c>
      <c r="M26" s="443">
        <v>164</v>
      </c>
      <c r="N26" s="443">
        <v>649</v>
      </c>
      <c r="O26" s="443">
        <v>722.13099999999997</v>
      </c>
      <c r="P26" s="443">
        <v>685.40300000000002</v>
      </c>
      <c r="Q26" s="444">
        <v>1728.8840936000001</v>
      </c>
    </row>
    <row r="27" spans="1:17" x14ac:dyDescent="0.25">
      <c r="A27" s="519">
        <v>22</v>
      </c>
      <c r="B27" s="520" t="s">
        <v>703</v>
      </c>
      <c r="C27" s="454"/>
      <c r="D27" s="441">
        <v>73.188000000000002</v>
      </c>
      <c r="E27" s="441">
        <v>11.914999999999999</v>
      </c>
      <c r="F27" s="441">
        <v>28.827999999999999</v>
      </c>
      <c r="G27" s="441">
        <v>23.106000000000002</v>
      </c>
      <c r="H27" s="441">
        <v>-2.214</v>
      </c>
      <c r="I27" s="441">
        <v>1041.643</v>
      </c>
      <c r="J27" s="441">
        <v>1176.4660000000001</v>
      </c>
      <c r="K27" s="443">
        <v>30.225971999999999</v>
      </c>
      <c r="L27" s="443">
        <v>73.131</v>
      </c>
      <c r="M27" s="443">
        <v>50</v>
      </c>
      <c r="N27" s="443">
        <v>0</v>
      </c>
      <c r="O27" s="443">
        <v>73.131</v>
      </c>
      <c r="P27" s="443">
        <v>618.34699999999998</v>
      </c>
      <c r="Q27" s="444">
        <v>771.70397200000002</v>
      </c>
    </row>
    <row r="28" spans="1:17" x14ac:dyDescent="0.25">
      <c r="A28" s="519">
        <v>23</v>
      </c>
      <c r="B28" s="520" t="s">
        <v>704</v>
      </c>
      <c r="C28" s="454"/>
      <c r="D28" s="441">
        <v>85.066000000000003</v>
      </c>
      <c r="E28" s="441">
        <v>50.112000000000002</v>
      </c>
      <c r="F28" s="441">
        <v>0</v>
      </c>
      <c r="G28" s="441">
        <v>41.758000000000003</v>
      </c>
      <c r="H28" s="441">
        <v>0</v>
      </c>
      <c r="I28" s="441">
        <v>9.84</v>
      </c>
      <c r="J28" s="441">
        <v>186.77600000000001</v>
      </c>
      <c r="K28" s="443">
        <v>127.12412159999998</v>
      </c>
      <c r="L28" s="443">
        <v>0</v>
      </c>
      <c r="M28" s="443">
        <v>114</v>
      </c>
      <c r="N28" s="443">
        <v>105</v>
      </c>
      <c r="O28" s="443">
        <v>105</v>
      </c>
      <c r="P28" s="443">
        <v>67.055999999999997</v>
      </c>
      <c r="Q28" s="444">
        <v>413.18012160000001</v>
      </c>
    </row>
    <row r="29" spans="1:17" x14ac:dyDescent="0.25">
      <c r="A29" s="519">
        <v>24</v>
      </c>
      <c r="B29" s="520" t="s">
        <v>705</v>
      </c>
      <c r="C29" s="454"/>
      <c r="D29" s="441">
        <v>34.003999999999998</v>
      </c>
      <c r="E29" s="441">
        <v>0</v>
      </c>
      <c r="F29" s="441">
        <v>0</v>
      </c>
      <c r="G29" s="441">
        <v>0</v>
      </c>
      <c r="H29" s="441">
        <v>374.49</v>
      </c>
      <c r="I29" s="441">
        <v>0</v>
      </c>
      <c r="J29" s="441">
        <v>408.49400000000003</v>
      </c>
      <c r="K29" s="443">
        <v>0</v>
      </c>
      <c r="L29" s="443">
        <v>0</v>
      </c>
      <c r="M29" s="443">
        <v>0</v>
      </c>
      <c r="N29" s="443">
        <v>544</v>
      </c>
      <c r="O29" s="443">
        <v>544</v>
      </c>
      <c r="P29" s="443">
        <v>0</v>
      </c>
      <c r="Q29" s="444">
        <v>544</v>
      </c>
    </row>
    <row r="30" spans="1:17" x14ac:dyDescent="0.25">
      <c r="A30" s="517">
        <v>25</v>
      </c>
      <c r="B30" s="518" t="s">
        <v>706</v>
      </c>
      <c r="C30" s="454">
        <v>0</v>
      </c>
      <c r="D30" s="441">
        <v>15169.269999999999</v>
      </c>
      <c r="E30" s="441">
        <v>5606.3610000000008</v>
      </c>
      <c r="F30" s="441">
        <v>3053.3980000000001</v>
      </c>
      <c r="G30" s="441">
        <v>2192.8670000000002</v>
      </c>
      <c r="H30" s="441">
        <v>23636.494000000002</v>
      </c>
      <c r="I30" s="441">
        <v>4385.1760000000004</v>
      </c>
      <c r="J30" s="441">
        <v>54043.565999999999</v>
      </c>
      <c r="K30" s="443">
        <v>18870.755116</v>
      </c>
      <c r="L30" s="443">
        <v>9463.8971889763779</v>
      </c>
      <c r="M30" s="443">
        <v>2133.6275000000001</v>
      </c>
      <c r="N30" s="443">
        <v>18217.598711220471</v>
      </c>
      <c r="O30" s="443">
        <v>27681.495900196849</v>
      </c>
      <c r="P30" s="443">
        <v>7640.5256589999999</v>
      </c>
      <c r="Q30" s="444">
        <v>56326.404175196847</v>
      </c>
    </row>
    <row r="31" spans="1:17" x14ac:dyDescent="0.25">
      <c r="A31" s="519">
        <v>26</v>
      </c>
      <c r="B31" s="520" t="s">
        <v>455</v>
      </c>
      <c r="C31" s="454"/>
      <c r="D31" s="441">
        <v>11101.998</v>
      </c>
      <c r="E31" s="441">
        <v>4900.027</v>
      </c>
      <c r="F31" s="441">
        <v>1848.883</v>
      </c>
      <c r="G31" s="441">
        <v>0</v>
      </c>
      <c r="H31" s="441">
        <v>0</v>
      </c>
      <c r="I31" s="441">
        <v>0</v>
      </c>
      <c r="J31" s="441">
        <v>17850.907999999999</v>
      </c>
      <c r="K31" s="443">
        <v>14126.425999999999</v>
      </c>
      <c r="L31" s="443">
        <v>5519.4089999999997</v>
      </c>
      <c r="M31" s="443">
        <v>0</v>
      </c>
      <c r="N31" s="443">
        <v>0</v>
      </c>
      <c r="O31" s="443">
        <v>5519.4089999999997</v>
      </c>
      <c r="P31" s="443">
        <v>0</v>
      </c>
      <c r="Q31" s="444">
        <v>19645.834999999999</v>
      </c>
    </row>
    <row r="32" spans="1:17" s="448" customFormat="1" x14ac:dyDescent="0.25">
      <c r="A32" s="521">
        <v>27</v>
      </c>
      <c r="B32" s="522" t="s">
        <v>707</v>
      </c>
      <c r="C32" s="447"/>
      <c r="D32" s="441">
        <v>0</v>
      </c>
      <c r="E32" s="441">
        <v>10.894</v>
      </c>
      <c r="F32" s="441">
        <v>0</v>
      </c>
      <c r="G32" s="441">
        <v>0</v>
      </c>
      <c r="H32" s="441">
        <v>2938.3720000000003</v>
      </c>
      <c r="I32" s="441">
        <v>185.5</v>
      </c>
      <c r="J32" s="441">
        <v>3134.7660000000001</v>
      </c>
      <c r="K32" s="443">
        <v>96</v>
      </c>
      <c r="L32" s="443">
        <v>0</v>
      </c>
      <c r="M32" s="443">
        <v>0</v>
      </c>
      <c r="N32" s="443">
        <v>2471.94</v>
      </c>
      <c r="O32" s="443">
        <v>2471.94</v>
      </c>
      <c r="P32" s="443">
        <v>291</v>
      </c>
      <c r="Q32" s="444">
        <v>2858.94</v>
      </c>
    </row>
    <row r="33" spans="1:17" x14ac:dyDescent="0.25">
      <c r="A33" s="519">
        <v>28</v>
      </c>
      <c r="B33" s="520" t="s">
        <v>708</v>
      </c>
      <c r="C33" s="454"/>
      <c r="D33" s="441">
        <v>0</v>
      </c>
      <c r="E33" s="441">
        <v>0</v>
      </c>
      <c r="F33" s="441">
        <v>0</v>
      </c>
      <c r="G33" s="441">
        <v>0</v>
      </c>
      <c r="H33" s="441">
        <v>31.187999999999999</v>
      </c>
      <c r="I33" s="441">
        <v>5.3</v>
      </c>
      <c r="J33" s="441">
        <v>36.488</v>
      </c>
      <c r="K33" s="443">
        <v>0</v>
      </c>
      <c r="L33" s="443">
        <v>0</v>
      </c>
      <c r="M33" s="443">
        <v>0</v>
      </c>
      <c r="N33" s="443">
        <v>400</v>
      </c>
      <c r="O33" s="443">
        <v>400</v>
      </c>
      <c r="P33" s="443">
        <v>0</v>
      </c>
      <c r="Q33" s="444">
        <v>400</v>
      </c>
    </row>
    <row r="34" spans="1:17" x14ac:dyDescent="0.25">
      <c r="A34" s="519">
        <v>29</v>
      </c>
      <c r="B34" s="520" t="s">
        <v>709</v>
      </c>
      <c r="C34" s="454"/>
      <c r="D34" s="441">
        <v>2863.96</v>
      </c>
      <c r="E34" s="441">
        <v>46.578000000000003</v>
      </c>
      <c r="F34" s="441">
        <v>633.91399999999999</v>
      </c>
      <c r="G34" s="441">
        <v>1622.242</v>
      </c>
      <c r="H34" s="441">
        <v>1379.5170000000001</v>
      </c>
      <c r="I34" s="441">
        <v>1090.1869999999999</v>
      </c>
      <c r="J34" s="441">
        <v>7636.3980000000001</v>
      </c>
      <c r="K34" s="443">
        <v>3000</v>
      </c>
      <c r="L34" s="443">
        <v>2500</v>
      </c>
      <c r="M34" s="443">
        <v>885.62199999999996</v>
      </c>
      <c r="N34" s="443">
        <v>1458.1494689999997</v>
      </c>
      <c r="O34" s="443">
        <v>3958.149469</v>
      </c>
      <c r="P34" s="443">
        <v>1152.327659</v>
      </c>
      <c r="Q34" s="444">
        <v>8996.0991279999998</v>
      </c>
    </row>
    <row r="35" spans="1:17" x14ac:dyDescent="0.25">
      <c r="A35" s="519">
        <v>30</v>
      </c>
      <c r="B35" s="520" t="s">
        <v>710</v>
      </c>
      <c r="C35" s="454"/>
      <c r="D35" s="441">
        <v>412.15300000000002</v>
      </c>
      <c r="E35" s="441">
        <v>237.71799999999999</v>
      </c>
      <c r="F35" s="441">
        <v>290.74599999999998</v>
      </c>
      <c r="G35" s="441">
        <v>159.69200000000001</v>
      </c>
      <c r="H35" s="441">
        <v>5540.2290000000003</v>
      </c>
      <c r="I35" s="441">
        <v>792.774</v>
      </c>
      <c r="J35" s="441">
        <v>7433.3120000000008</v>
      </c>
      <c r="K35" s="443">
        <v>603.04302239999993</v>
      </c>
      <c r="L35" s="443">
        <v>600</v>
      </c>
      <c r="M35" s="443">
        <v>405.10750000000002</v>
      </c>
      <c r="N35" s="443">
        <v>5735.8823759999996</v>
      </c>
      <c r="O35" s="443">
        <v>6335.8823759999996</v>
      </c>
      <c r="P35" s="443">
        <v>898.23900000000003</v>
      </c>
      <c r="Q35" s="444">
        <v>8242.2718983999985</v>
      </c>
    </row>
    <row r="36" spans="1:17" x14ac:dyDescent="0.25">
      <c r="A36" s="519">
        <v>31</v>
      </c>
      <c r="B36" s="520" t="s">
        <v>711</v>
      </c>
      <c r="C36" s="454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4">
        <v>0</v>
      </c>
    </row>
    <row r="37" spans="1:17" x14ac:dyDescent="0.25">
      <c r="A37" s="519">
        <v>32</v>
      </c>
      <c r="B37" s="520" t="s">
        <v>712</v>
      </c>
      <c r="C37" s="454"/>
      <c r="D37" s="441">
        <v>263.786</v>
      </c>
      <c r="E37" s="441">
        <v>110.432</v>
      </c>
      <c r="F37" s="441">
        <v>203.53200000000001</v>
      </c>
      <c r="G37" s="441">
        <v>122.47199999999999</v>
      </c>
      <c r="H37" s="441">
        <v>966.59</v>
      </c>
      <c r="I37" s="441">
        <v>46.304000000000002</v>
      </c>
      <c r="J37" s="441">
        <v>1713.116</v>
      </c>
      <c r="K37" s="443">
        <v>280.1438976</v>
      </c>
      <c r="L37" s="443">
        <v>300</v>
      </c>
      <c r="M37" s="443">
        <v>100</v>
      </c>
      <c r="N37" s="443">
        <v>1021.6856299999998</v>
      </c>
      <c r="O37" s="443">
        <v>1321.6856299999999</v>
      </c>
      <c r="P37" s="443">
        <v>80</v>
      </c>
      <c r="Q37" s="444">
        <v>1781.8295275999999</v>
      </c>
    </row>
    <row r="38" spans="1:17" s="448" customFormat="1" ht="25.5" x14ac:dyDescent="0.25">
      <c r="A38" s="521">
        <v>33</v>
      </c>
      <c r="B38" s="522" t="s">
        <v>713</v>
      </c>
      <c r="C38" s="447"/>
      <c r="D38" s="441">
        <v>55.47</v>
      </c>
      <c r="E38" s="441">
        <v>79.117000000000004</v>
      </c>
      <c r="F38" s="441">
        <v>61.283000000000001</v>
      </c>
      <c r="G38" s="441">
        <v>12</v>
      </c>
      <c r="H38" s="441">
        <v>6167.7709999999997</v>
      </c>
      <c r="I38" s="441">
        <v>1476.548</v>
      </c>
      <c r="J38" s="441">
        <v>7852.1889999999994</v>
      </c>
      <c r="K38" s="443">
        <v>203</v>
      </c>
      <c r="L38" s="443">
        <v>394.48818897637796</v>
      </c>
      <c r="M38" s="443">
        <v>50</v>
      </c>
      <c r="N38" s="443">
        <v>5767.3230000000003</v>
      </c>
      <c r="O38" s="443">
        <v>6161.8111889763786</v>
      </c>
      <c r="P38" s="443">
        <v>2200</v>
      </c>
      <c r="Q38" s="444">
        <v>8614.8111889763786</v>
      </c>
    </row>
    <row r="39" spans="1:17" s="525" customFormat="1" hidden="1" x14ac:dyDescent="0.25">
      <c r="A39" s="523"/>
      <c r="B39" s="524" t="s">
        <v>714</v>
      </c>
      <c r="C39" s="454"/>
      <c r="D39" s="441">
        <v>0</v>
      </c>
      <c r="E39" s="441">
        <v>0</v>
      </c>
      <c r="F39" s="441">
        <v>0</v>
      </c>
      <c r="G39" s="441">
        <v>0</v>
      </c>
      <c r="H39" s="441">
        <v>0</v>
      </c>
      <c r="I39" s="441">
        <v>0</v>
      </c>
      <c r="J39" s="441">
        <v>0</v>
      </c>
      <c r="K39" s="443">
        <v>0</v>
      </c>
      <c r="L39" s="443">
        <v>0</v>
      </c>
      <c r="M39" s="443">
        <v>0</v>
      </c>
      <c r="N39" s="443">
        <v>0</v>
      </c>
      <c r="O39" s="443">
        <v>0</v>
      </c>
      <c r="P39" s="443">
        <v>0</v>
      </c>
      <c r="Q39" s="444">
        <v>0</v>
      </c>
    </row>
    <row r="40" spans="1:17" s="525" customFormat="1" hidden="1" x14ac:dyDescent="0.25">
      <c r="A40" s="523"/>
      <c r="B40" s="524" t="s">
        <v>715</v>
      </c>
      <c r="C40" s="454"/>
      <c r="D40" s="441">
        <v>0</v>
      </c>
      <c r="E40" s="441">
        <v>0</v>
      </c>
      <c r="F40" s="441">
        <v>0</v>
      </c>
      <c r="G40" s="441">
        <v>0</v>
      </c>
      <c r="H40" s="441">
        <v>0</v>
      </c>
      <c r="I40" s="441">
        <v>0</v>
      </c>
      <c r="J40" s="441">
        <v>0</v>
      </c>
      <c r="K40" s="443">
        <v>0</v>
      </c>
      <c r="L40" s="443">
        <v>0</v>
      </c>
      <c r="M40" s="443">
        <v>0</v>
      </c>
      <c r="N40" s="443">
        <v>0</v>
      </c>
      <c r="O40" s="443">
        <v>0</v>
      </c>
      <c r="P40" s="443">
        <v>0</v>
      </c>
      <c r="Q40" s="444">
        <v>0</v>
      </c>
    </row>
    <row r="41" spans="1:17" s="525" customFormat="1" hidden="1" x14ac:dyDescent="0.25">
      <c r="A41" s="523"/>
      <c r="B41" s="524" t="s">
        <v>716</v>
      </c>
      <c r="C41" s="454"/>
      <c r="D41" s="441">
        <v>0</v>
      </c>
      <c r="E41" s="441">
        <v>0</v>
      </c>
      <c r="F41" s="441">
        <v>0</v>
      </c>
      <c r="G41" s="441">
        <v>0</v>
      </c>
      <c r="H41" s="441">
        <v>0</v>
      </c>
      <c r="I41" s="441">
        <v>0</v>
      </c>
      <c r="J41" s="441">
        <v>0</v>
      </c>
      <c r="K41" s="443">
        <v>0</v>
      </c>
      <c r="L41" s="443">
        <v>0</v>
      </c>
      <c r="M41" s="443">
        <v>0</v>
      </c>
      <c r="N41" s="443">
        <v>0</v>
      </c>
      <c r="O41" s="443">
        <v>0</v>
      </c>
      <c r="P41" s="443">
        <v>0</v>
      </c>
      <c r="Q41" s="444">
        <v>0</v>
      </c>
    </row>
    <row r="42" spans="1:17" s="525" customFormat="1" hidden="1" x14ac:dyDescent="0.25">
      <c r="A42" s="523"/>
      <c r="B42" s="524" t="s">
        <v>717</v>
      </c>
      <c r="C42" s="454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4">
        <v>0</v>
      </c>
    </row>
    <row r="43" spans="1:17" s="525" customFormat="1" hidden="1" x14ac:dyDescent="0.25">
      <c r="A43" s="523"/>
      <c r="B43" s="524" t="s">
        <v>718</v>
      </c>
      <c r="C43" s="454"/>
      <c r="D43" s="441">
        <v>0</v>
      </c>
      <c r="E43" s="441">
        <v>0</v>
      </c>
      <c r="F43" s="441">
        <v>0</v>
      </c>
      <c r="G43" s="441">
        <v>0</v>
      </c>
      <c r="H43" s="441">
        <v>0</v>
      </c>
      <c r="I43" s="441">
        <v>0</v>
      </c>
      <c r="J43" s="441">
        <v>0</v>
      </c>
      <c r="K43" s="443">
        <v>0</v>
      </c>
      <c r="L43" s="443">
        <v>0</v>
      </c>
      <c r="M43" s="443">
        <v>0</v>
      </c>
      <c r="N43" s="443">
        <v>0</v>
      </c>
      <c r="O43" s="443">
        <v>0</v>
      </c>
      <c r="P43" s="443">
        <v>0</v>
      </c>
      <c r="Q43" s="444">
        <v>0</v>
      </c>
    </row>
    <row r="44" spans="1:17" s="525" customFormat="1" hidden="1" x14ac:dyDescent="0.25">
      <c r="A44" s="523"/>
      <c r="B44" s="524" t="s">
        <v>719</v>
      </c>
      <c r="C44" s="454"/>
      <c r="D44" s="441">
        <v>0</v>
      </c>
      <c r="E44" s="441">
        <v>0</v>
      </c>
      <c r="F44" s="441">
        <v>0</v>
      </c>
      <c r="G44" s="441">
        <v>0</v>
      </c>
      <c r="H44" s="441">
        <v>0</v>
      </c>
      <c r="I44" s="441">
        <v>0</v>
      </c>
      <c r="J44" s="441">
        <v>0</v>
      </c>
      <c r="K44" s="443">
        <v>0</v>
      </c>
      <c r="L44" s="443">
        <v>0</v>
      </c>
      <c r="M44" s="443">
        <v>0</v>
      </c>
      <c r="N44" s="443">
        <v>0</v>
      </c>
      <c r="O44" s="443">
        <v>0</v>
      </c>
      <c r="P44" s="443">
        <v>0</v>
      </c>
      <c r="Q44" s="444">
        <v>0</v>
      </c>
    </row>
    <row r="45" spans="1:17" ht="25.5" x14ac:dyDescent="0.25">
      <c r="A45" s="519">
        <v>34</v>
      </c>
      <c r="B45" s="520" t="s">
        <v>720</v>
      </c>
      <c r="C45" s="454"/>
      <c r="D45" s="441">
        <v>471.90300000000002</v>
      </c>
      <c r="E45" s="441">
        <v>221.595</v>
      </c>
      <c r="F45" s="441">
        <v>15.04</v>
      </c>
      <c r="G45" s="441">
        <v>276.46100000000001</v>
      </c>
      <c r="H45" s="441">
        <v>5753.915</v>
      </c>
      <c r="I45" s="441">
        <v>788.56299999999999</v>
      </c>
      <c r="J45" s="441">
        <v>7527.4769999999999</v>
      </c>
      <c r="K45" s="443">
        <v>562.14219600000001</v>
      </c>
      <c r="L45" s="443">
        <v>150</v>
      </c>
      <c r="M45" s="443">
        <v>692.89800000000002</v>
      </c>
      <c r="N45" s="443">
        <v>1362.6182362204725</v>
      </c>
      <c r="O45" s="443">
        <v>1512.6182362204725</v>
      </c>
      <c r="P45" s="443">
        <v>3018.9589999999998</v>
      </c>
      <c r="Q45" s="444">
        <v>5786.6174322204724</v>
      </c>
    </row>
    <row r="46" spans="1:17" s="525" customFormat="1" hidden="1" x14ac:dyDescent="0.25">
      <c r="A46" s="523"/>
      <c r="B46" s="524" t="s">
        <v>721</v>
      </c>
      <c r="C46" s="454"/>
      <c r="D46" s="441">
        <v>0</v>
      </c>
      <c r="E46" s="441">
        <v>0</v>
      </c>
      <c r="F46" s="441">
        <v>0</v>
      </c>
      <c r="G46" s="441">
        <v>0</v>
      </c>
      <c r="H46" s="441">
        <v>0</v>
      </c>
      <c r="I46" s="441">
        <v>0</v>
      </c>
      <c r="J46" s="441">
        <v>0</v>
      </c>
      <c r="K46" s="443">
        <v>0</v>
      </c>
      <c r="L46" s="443">
        <v>0</v>
      </c>
      <c r="M46" s="443">
        <v>0</v>
      </c>
      <c r="N46" s="443">
        <v>0</v>
      </c>
      <c r="O46" s="443">
        <v>0</v>
      </c>
      <c r="P46" s="443">
        <v>0</v>
      </c>
      <c r="Q46" s="444">
        <v>0</v>
      </c>
    </row>
    <row r="47" spans="1:17" s="525" customFormat="1" hidden="1" x14ac:dyDescent="0.25">
      <c r="A47" s="523"/>
      <c r="B47" s="524" t="s">
        <v>722</v>
      </c>
      <c r="C47" s="454"/>
      <c r="D47" s="441">
        <v>0</v>
      </c>
      <c r="E47" s="441">
        <v>0</v>
      </c>
      <c r="F47" s="441">
        <v>0</v>
      </c>
      <c r="G47" s="441">
        <v>0</v>
      </c>
      <c r="H47" s="441">
        <v>0</v>
      </c>
      <c r="I47" s="441">
        <v>0</v>
      </c>
      <c r="J47" s="441">
        <v>0</v>
      </c>
      <c r="K47" s="443">
        <v>0</v>
      </c>
      <c r="L47" s="443">
        <v>0</v>
      </c>
      <c r="M47" s="443">
        <v>0</v>
      </c>
      <c r="N47" s="443">
        <v>0</v>
      </c>
      <c r="O47" s="443">
        <v>0</v>
      </c>
      <c r="P47" s="443">
        <v>0</v>
      </c>
      <c r="Q47" s="444">
        <v>0</v>
      </c>
    </row>
    <row r="48" spans="1:17" s="525" customFormat="1" hidden="1" x14ac:dyDescent="0.25">
      <c r="A48" s="523"/>
      <c r="B48" s="524" t="s">
        <v>723</v>
      </c>
      <c r="C48" s="454"/>
      <c r="D48" s="441">
        <v>0</v>
      </c>
      <c r="E48" s="441">
        <v>0</v>
      </c>
      <c r="F48" s="441">
        <v>0</v>
      </c>
      <c r="G48" s="441">
        <v>0</v>
      </c>
      <c r="H48" s="441">
        <v>0</v>
      </c>
      <c r="I48" s="441">
        <v>0</v>
      </c>
      <c r="J48" s="441">
        <v>0</v>
      </c>
      <c r="K48" s="443">
        <v>0</v>
      </c>
      <c r="L48" s="443">
        <v>0</v>
      </c>
      <c r="M48" s="443">
        <v>0</v>
      </c>
      <c r="N48" s="443">
        <v>0</v>
      </c>
      <c r="O48" s="443">
        <v>0</v>
      </c>
      <c r="P48" s="443">
        <v>0</v>
      </c>
      <c r="Q48" s="444">
        <v>0</v>
      </c>
    </row>
    <row r="49" spans="1:17" s="525" customFormat="1" hidden="1" x14ac:dyDescent="0.25">
      <c r="A49" s="523"/>
      <c r="B49" s="524" t="s">
        <v>724</v>
      </c>
      <c r="C49" s="454"/>
      <c r="D49" s="441">
        <v>0</v>
      </c>
      <c r="E49" s="441">
        <v>0</v>
      </c>
      <c r="F49" s="441">
        <v>0</v>
      </c>
      <c r="G49" s="441">
        <v>0</v>
      </c>
      <c r="H49" s="441">
        <v>0</v>
      </c>
      <c r="I49" s="441">
        <v>0</v>
      </c>
      <c r="J49" s="441">
        <v>0</v>
      </c>
      <c r="K49" s="443">
        <v>0</v>
      </c>
      <c r="L49" s="443">
        <v>0</v>
      </c>
      <c r="M49" s="443">
        <v>0</v>
      </c>
      <c r="N49" s="443">
        <v>0</v>
      </c>
      <c r="O49" s="443">
        <v>0</v>
      </c>
      <c r="P49" s="443">
        <v>0</v>
      </c>
      <c r="Q49" s="444">
        <v>0</v>
      </c>
    </row>
    <row r="50" spans="1:17" s="525" customFormat="1" hidden="1" x14ac:dyDescent="0.25">
      <c r="A50" s="523"/>
      <c r="B50" s="524" t="s">
        <v>725</v>
      </c>
      <c r="C50" s="454"/>
      <c r="D50" s="441">
        <v>0</v>
      </c>
      <c r="E50" s="441">
        <v>0</v>
      </c>
      <c r="F50" s="441">
        <v>0</v>
      </c>
      <c r="G50" s="441">
        <v>0</v>
      </c>
      <c r="H50" s="441">
        <v>0</v>
      </c>
      <c r="I50" s="441">
        <v>0</v>
      </c>
      <c r="J50" s="441">
        <v>0</v>
      </c>
      <c r="K50" s="443">
        <v>0</v>
      </c>
      <c r="L50" s="443">
        <v>0</v>
      </c>
      <c r="M50" s="443">
        <v>0</v>
      </c>
      <c r="N50" s="443">
        <v>0</v>
      </c>
      <c r="O50" s="443">
        <v>0</v>
      </c>
      <c r="P50" s="443">
        <v>0</v>
      </c>
      <c r="Q50" s="444">
        <v>0</v>
      </c>
    </row>
    <row r="51" spans="1:17" s="525" customFormat="1" hidden="1" x14ac:dyDescent="0.25">
      <c r="A51" s="523"/>
      <c r="B51" s="524" t="s">
        <v>726</v>
      </c>
      <c r="C51" s="454"/>
      <c r="D51" s="441">
        <v>0</v>
      </c>
      <c r="E51" s="441">
        <v>0</v>
      </c>
      <c r="F51" s="441">
        <v>0</v>
      </c>
      <c r="G51" s="441">
        <v>0</v>
      </c>
      <c r="H51" s="441">
        <v>0</v>
      </c>
      <c r="I51" s="441">
        <v>0</v>
      </c>
      <c r="J51" s="441">
        <v>0</v>
      </c>
      <c r="K51" s="443">
        <v>0</v>
      </c>
      <c r="L51" s="443">
        <v>0</v>
      </c>
      <c r="M51" s="443">
        <v>0</v>
      </c>
      <c r="N51" s="443">
        <v>0</v>
      </c>
      <c r="O51" s="443">
        <v>0</v>
      </c>
      <c r="P51" s="443">
        <v>0</v>
      </c>
      <c r="Q51" s="444">
        <v>0</v>
      </c>
    </row>
    <row r="52" spans="1:17" s="525" customFormat="1" hidden="1" x14ac:dyDescent="0.25">
      <c r="A52" s="523"/>
      <c r="B52" s="524" t="s">
        <v>727</v>
      </c>
      <c r="C52" s="454"/>
      <c r="D52" s="441">
        <v>0</v>
      </c>
      <c r="E52" s="441">
        <v>0</v>
      </c>
      <c r="F52" s="441">
        <v>0</v>
      </c>
      <c r="G52" s="441">
        <v>0</v>
      </c>
      <c r="H52" s="441">
        <v>0</v>
      </c>
      <c r="I52" s="441">
        <v>0</v>
      </c>
      <c r="J52" s="441">
        <v>0</v>
      </c>
      <c r="K52" s="443">
        <v>0</v>
      </c>
      <c r="L52" s="443">
        <v>0</v>
      </c>
      <c r="M52" s="443">
        <v>0</v>
      </c>
      <c r="N52" s="443">
        <v>0</v>
      </c>
      <c r="O52" s="443">
        <v>0</v>
      </c>
      <c r="P52" s="443">
        <v>0</v>
      </c>
      <c r="Q52" s="444">
        <v>0</v>
      </c>
    </row>
    <row r="53" spans="1:17" s="525" customFormat="1" hidden="1" x14ac:dyDescent="0.25">
      <c r="A53" s="523"/>
      <c r="B53" s="524" t="s">
        <v>728</v>
      </c>
      <c r="C53" s="454"/>
      <c r="D53" s="441">
        <v>0</v>
      </c>
      <c r="E53" s="441">
        <v>0</v>
      </c>
      <c r="F53" s="441">
        <v>0</v>
      </c>
      <c r="G53" s="441">
        <v>0</v>
      </c>
      <c r="H53" s="441">
        <v>0</v>
      </c>
      <c r="I53" s="441">
        <v>0</v>
      </c>
      <c r="J53" s="441">
        <v>0</v>
      </c>
      <c r="K53" s="443">
        <v>0</v>
      </c>
      <c r="L53" s="443">
        <v>0</v>
      </c>
      <c r="M53" s="443">
        <v>0</v>
      </c>
      <c r="N53" s="443">
        <v>0</v>
      </c>
      <c r="O53" s="443">
        <v>0</v>
      </c>
      <c r="P53" s="443">
        <v>0</v>
      </c>
      <c r="Q53" s="444">
        <v>0</v>
      </c>
    </row>
    <row r="54" spans="1:17" ht="25.5" x14ac:dyDescent="0.25">
      <c r="A54" s="519">
        <v>35</v>
      </c>
      <c r="B54" s="520" t="s">
        <v>729</v>
      </c>
      <c r="C54" s="454"/>
      <c r="D54" s="441">
        <v>0</v>
      </c>
      <c r="E54" s="441">
        <v>0</v>
      </c>
      <c r="F54" s="441">
        <v>0</v>
      </c>
      <c r="G54" s="441">
        <v>0</v>
      </c>
      <c r="H54" s="441">
        <v>858.91200000000003</v>
      </c>
      <c r="I54" s="441">
        <v>0</v>
      </c>
      <c r="J54" s="441">
        <v>858.91200000000003</v>
      </c>
      <c r="K54" s="443">
        <v>0</v>
      </c>
      <c r="L54" s="443">
        <v>0</v>
      </c>
      <c r="M54" s="443">
        <v>0</v>
      </c>
      <c r="N54" s="443">
        <v>0</v>
      </c>
      <c r="O54" s="443">
        <v>0</v>
      </c>
      <c r="P54" s="443">
        <v>0</v>
      </c>
      <c r="Q54" s="444">
        <v>0</v>
      </c>
    </row>
    <row r="55" spans="1:17" x14ac:dyDescent="0.25">
      <c r="A55" s="519">
        <v>36</v>
      </c>
      <c r="B55" s="520" t="s">
        <v>730</v>
      </c>
      <c r="C55" s="454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4">
        <v>0</v>
      </c>
    </row>
    <row r="56" spans="1:17" x14ac:dyDescent="0.25">
      <c r="A56" s="517">
        <v>37</v>
      </c>
      <c r="B56" s="518" t="s">
        <v>731</v>
      </c>
      <c r="C56" s="454"/>
      <c r="D56" s="441">
        <v>0</v>
      </c>
      <c r="E56" s="441">
        <v>0</v>
      </c>
      <c r="F56" s="441">
        <v>0</v>
      </c>
      <c r="G56" s="441">
        <v>0</v>
      </c>
      <c r="H56" s="441">
        <v>0</v>
      </c>
      <c r="I56" s="441">
        <v>0</v>
      </c>
      <c r="J56" s="441">
        <v>0</v>
      </c>
      <c r="K56" s="443">
        <v>0</v>
      </c>
      <c r="L56" s="443">
        <v>0</v>
      </c>
      <c r="M56" s="443">
        <v>0</v>
      </c>
      <c r="N56" s="443">
        <v>0</v>
      </c>
      <c r="O56" s="443">
        <v>0</v>
      </c>
      <c r="P56" s="443">
        <v>0</v>
      </c>
      <c r="Q56" s="444">
        <v>0</v>
      </c>
    </row>
    <row r="57" spans="1:17" x14ac:dyDescent="0.25">
      <c r="A57" s="517">
        <v>38</v>
      </c>
      <c r="B57" s="518" t="s">
        <v>732</v>
      </c>
      <c r="C57" s="454">
        <v>0</v>
      </c>
      <c r="D57" s="441">
        <v>0</v>
      </c>
      <c r="E57" s="441">
        <v>15.282</v>
      </c>
      <c r="F57" s="441">
        <v>0</v>
      </c>
      <c r="G57" s="441">
        <v>0</v>
      </c>
      <c r="H57" s="441">
        <v>398.45399999999995</v>
      </c>
      <c r="I57" s="441">
        <v>72.844999999999999</v>
      </c>
      <c r="J57" s="441">
        <v>486.5809999999999</v>
      </c>
      <c r="K57" s="443">
        <v>30</v>
      </c>
      <c r="L57" s="443">
        <v>0</v>
      </c>
      <c r="M57" s="443">
        <v>0</v>
      </c>
      <c r="N57" s="443">
        <v>370</v>
      </c>
      <c r="O57" s="443">
        <v>370</v>
      </c>
      <c r="P57" s="443">
        <v>100</v>
      </c>
      <c r="Q57" s="444">
        <v>500</v>
      </c>
    </row>
    <row r="58" spans="1:17" x14ac:dyDescent="0.25">
      <c r="A58" s="519">
        <v>39</v>
      </c>
      <c r="B58" s="520" t="s">
        <v>733</v>
      </c>
      <c r="C58" s="454"/>
      <c r="D58" s="441">
        <v>0</v>
      </c>
      <c r="E58" s="441">
        <v>0</v>
      </c>
      <c r="F58" s="441">
        <v>0</v>
      </c>
      <c r="G58" s="441">
        <v>0</v>
      </c>
      <c r="H58" s="441">
        <v>78.727000000000004</v>
      </c>
      <c r="I58" s="441">
        <v>72.844999999999999</v>
      </c>
      <c r="J58" s="441">
        <v>151.572</v>
      </c>
      <c r="K58" s="443">
        <v>0</v>
      </c>
      <c r="L58" s="443">
        <v>0</v>
      </c>
      <c r="M58" s="443">
        <v>0</v>
      </c>
      <c r="N58" s="443">
        <v>70</v>
      </c>
      <c r="O58" s="443">
        <v>70</v>
      </c>
      <c r="P58" s="443">
        <v>100</v>
      </c>
      <c r="Q58" s="444">
        <v>170</v>
      </c>
    </row>
    <row r="59" spans="1:17" x14ac:dyDescent="0.25">
      <c r="A59" s="519">
        <v>40</v>
      </c>
      <c r="B59" s="520" t="s">
        <v>734</v>
      </c>
      <c r="C59" s="454"/>
      <c r="D59" s="441">
        <v>0</v>
      </c>
      <c r="E59" s="441">
        <v>0</v>
      </c>
      <c r="F59" s="441">
        <v>0</v>
      </c>
      <c r="G59" s="441">
        <v>0</v>
      </c>
      <c r="H59" s="441">
        <v>0</v>
      </c>
      <c r="I59" s="441">
        <v>0</v>
      </c>
      <c r="J59" s="441">
        <v>0</v>
      </c>
      <c r="K59" s="443">
        <v>0</v>
      </c>
      <c r="L59" s="443">
        <v>0</v>
      </c>
      <c r="M59" s="443">
        <v>0</v>
      </c>
      <c r="N59" s="443">
        <v>0</v>
      </c>
      <c r="O59" s="443">
        <v>0</v>
      </c>
      <c r="P59" s="443">
        <v>0</v>
      </c>
      <c r="Q59" s="444">
        <v>0</v>
      </c>
    </row>
    <row r="60" spans="1:17" x14ac:dyDescent="0.25">
      <c r="A60" s="519">
        <v>41</v>
      </c>
      <c r="B60" s="520" t="s">
        <v>735</v>
      </c>
      <c r="C60" s="454"/>
      <c r="D60" s="441">
        <v>0</v>
      </c>
      <c r="E60" s="441">
        <v>15.282</v>
      </c>
      <c r="F60" s="441">
        <v>0</v>
      </c>
      <c r="G60" s="441">
        <v>0</v>
      </c>
      <c r="H60" s="441">
        <v>319.72699999999998</v>
      </c>
      <c r="I60" s="441">
        <v>0</v>
      </c>
      <c r="J60" s="441">
        <v>335.00899999999996</v>
      </c>
      <c r="K60" s="443">
        <v>30</v>
      </c>
      <c r="L60" s="443">
        <v>0</v>
      </c>
      <c r="M60" s="443">
        <v>0</v>
      </c>
      <c r="N60" s="443">
        <v>300</v>
      </c>
      <c r="O60" s="443">
        <v>300</v>
      </c>
      <c r="P60" s="443">
        <v>0</v>
      </c>
      <c r="Q60" s="444">
        <v>330</v>
      </c>
    </row>
    <row r="61" spans="1:17" x14ac:dyDescent="0.25">
      <c r="A61" s="519">
        <v>42</v>
      </c>
      <c r="B61" s="520" t="s">
        <v>736</v>
      </c>
      <c r="C61" s="454"/>
      <c r="D61" s="441">
        <v>0</v>
      </c>
      <c r="E61" s="441">
        <v>0</v>
      </c>
      <c r="F61" s="441">
        <v>0</v>
      </c>
      <c r="G61" s="441">
        <v>0</v>
      </c>
      <c r="H61" s="441">
        <v>0</v>
      </c>
      <c r="I61" s="441">
        <v>0</v>
      </c>
      <c r="J61" s="441">
        <v>0</v>
      </c>
      <c r="K61" s="443">
        <v>0</v>
      </c>
      <c r="L61" s="443">
        <v>0</v>
      </c>
      <c r="M61" s="443">
        <v>0</v>
      </c>
      <c r="N61" s="443">
        <v>0</v>
      </c>
      <c r="O61" s="443">
        <v>0</v>
      </c>
      <c r="P61" s="443">
        <v>0</v>
      </c>
      <c r="Q61" s="444">
        <v>0</v>
      </c>
    </row>
    <row r="62" spans="1:17" ht="25.5" x14ac:dyDescent="0.25">
      <c r="A62" s="517">
        <v>43</v>
      </c>
      <c r="B62" s="518" t="s">
        <v>737</v>
      </c>
      <c r="C62" s="454">
        <v>0</v>
      </c>
      <c r="D62" s="441">
        <v>0</v>
      </c>
      <c r="E62" s="441">
        <v>0</v>
      </c>
      <c r="F62" s="441">
        <v>0</v>
      </c>
      <c r="G62" s="441">
        <v>0</v>
      </c>
      <c r="H62" s="441">
        <v>5582.1049999999996</v>
      </c>
      <c r="I62" s="441">
        <v>260.91399999999999</v>
      </c>
      <c r="J62" s="441">
        <v>5843.0189999999993</v>
      </c>
      <c r="K62" s="443">
        <v>150</v>
      </c>
      <c r="L62" s="443">
        <v>0</v>
      </c>
      <c r="M62" s="443">
        <v>0</v>
      </c>
      <c r="N62" s="443">
        <v>5105.7</v>
      </c>
      <c r="O62" s="443">
        <v>5105.7</v>
      </c>
      <c r="P62" s="443">
        <v>1380</v>
      </c>
      <c r="Q62" s="444">
        <v>6635.7</v>
      </c>
    </row>
    <row r="63" spans="1:17" hidden="1" x14ac:dyDescent="0.25">
      <c r="A63" s="517"/>
      <c r="B63" s="524" t="s">
        <v>738</v>
      </c>
      <c r="C63" s="454"/>
      <c r="D63" s="441">
        <v>0</v>
      </c>
      <c r="E63" s="441">
        <v>0</v>
      </c>
      <c r="F63" s="441">
        <v>0</v>
      </c>
      <c r="G63" s="441">
        <v>0</v>
      </c>
      <c r="H63" s="441">
        <v>0</v>
      </c>
      <c r="I63" s="441">
        <v>0</v>
      </c>
      <c r="J63" s="441">
        <v>0</v>
      </c>
      <c r="K63" s="443">
        <v>0</v>
      </c>
      <c r="L63" s="443">
        <v>0</v>
      </c>
      <c r="M63" s="443">
        <v>0</v>
      </c>
      <c r="N63" s="443">
        <v>0</v>
      </c>
      <c r="O63" s="443">
        <v>0</v>
      </c>
      <c r="P63" s="443">
        <v>0</v>
      </c>
      <c r="Q63" s="444">
        <v>0</v>
      </c>
    </row>
    <row r="64" spans="1:17" hidden="1" x14ac:dyDescent="0.25">
      <c r="A64" s="517"/>
      <c r="B64" s="524" t="s">
        <v>456</v>
      </c>
      <c r="C64" s="454"/>
      <c r="D64" s="441">
        <v>0</v>
      </c>
      <c r="E64" s="441">
        <v>0</v>
      </c>
      <c r="F64" s="441">
        <v>0</v>
      </c>
      <c r="G64" s="441">
        <v>0</v>
      </c>
      <c r="H64" s="441">
        <v>0</v>
      </c>
      <c r="I64" s="441">
        <v>0</v>
      </c>
      <c r="J64" s="441">
        <v>0</v>
      </c>
      <c r="K64" s="443">
        <v>0</v>
      </c>
      <c r="L64" s="443">
        <v>0</v>
      </c>
      <c r="M64" s="443">
        <v>0</v>
      </c>
      <c r="N64" s="443">
        <v>0</v>
      </c>
      <c r="O64" s="443">
        <v>0</v>
      </c>
      <c r="P64" s="443">
        <v>0</v>
      </c>
      <c r="Q64" s="444">
        <v>0</v>
      </c>
    </row>
    <row r="65" spans="1:17" hidden="1" x14ac:dyDescent="0.25">
      <c r="A65" s="517"/>
      <c r="B65" s="524" t="s">
        <v>739</v>
      </c>
      <c r="C65" s="454"/>
      <c r="D65" s="441">
        <v>0</v>
      </c>
      <c r="E65" s="441">
        <v>0</v>
      </c>
      <c r="F65" s="441">
        <v>0</v>
      </c>
      <c r="G65" s="441">
        <v>0</v>
      </c>
      <c r="H65" s="441">
        <v>0</v>
      </c>
      <c r="I65" s="441">
        <v>0</v>
      </c>
      <c r="J65" s="441">
        <v>0</v>
      </c>
      <c r="K65" s="443">
        <v>0</v>
      </c>
      <c r="L65" s="443">
        <v>0</v>
      </c>
      <c r="M65" s="443">
        <v>0</v>
      </c>
      <c r="N65" s="443">
        <v>0</v>
      </c>
      <c r="O65" s="443">
        <v>0</v>
      </c>
      <c r="P65" s="443">
        <v>0</v>
      </c>
      <c r="Q65" s="444">
        <v>0</v>
      </c>
    </row>
    <row r="66" spans="1:17" hidden="1" x14ac:dyDescent="0.25">
      <c r="A66" s="517"/>
      <c r="B66" s="524" t="s">
        <v>740</v>
      </c>
      <c r="C66" s="454"/>
      <c r="D66" s="441">
        <v>0</v>
      </c>
      <c r="E66" s="441">
        <v>0</v>
      </c>
      <c r="F66" s="441">
        <v>0</v>
      </c>
      <c r="G66" s="441">
        <v>0</v>
      </c>
      <c r="H66" s="441">
        <v>0</v>
      </c>
      <c r="I66" s="441">
        <v>0</v>
      </c>
      <c r="J66" s="441">
        <v>0</v>
      </c>
      <c r="K66" s="443">
        <v>0</v>
      </c>
      <c r="L66" s="443">
        <v>0</v>
      </c>
      <c r="M66" s="443">
        <v>0</v>
      </c>
      <c r="N66" s="443">
        <v>0</v>
      </c>
      <c r="O66" s="443">
        <v>0</v>
      </c>
      <c r="P66" s="443">
        <v>0</v>
      </c>
      <c r="Q66" s="444">
        <v>0</v>
      </c>
    </row>
    <row r="67" spans="1:17" hidden="1" x14ac:dyDescent="0.25">
      <c r="A67" s="517"/>
      <c r="B67" s="524" t="s">
        <v>457</v>
      </c>
      <c r="C67" s="454"/>
      <c r="D67" s="441">
        <v>0</v>
      </c>
      <c r="E67" s="441">
        <v>0</v>
      </c>
      <c r="F67" s="441">
        <v>0</v>
      </c>
      <c r="G67" s="441">
        <v>0</v>
      </c>
      <c r="H67" s="441">
        <v>0</v>
      </c>
      <c r="I67" s="441">
        <v>0</v>
      </c>
      <c r="J67" s="441">
        <v>0</v>
      </c>
      <c r="K67" s="443">
        <v>0</v>
      </c>
      <c r="L67" s="443">
        <v>0</v>
      </c>
      <c r="M67" s="443">
        <v>0</v>
      </c>
      <c r="N67" s="443">
        <v>0</v>
      </c>
      <c r="O67" s="443">
        <v>0</v>
      </c>
      <c r="P67" s="443">
        <v>0</v>
      </c>
      <c r="Q67" s="444">
        <v>0</v>
      </c>
    </row>
    <row r="68" spans="1:17" hidden="1" x14ac:dyDescent="0.25">
      <c r="A68" s="517"/>
      <c r="B68" s="524" t="s">
        <v>458</v>
      </c>
      <c r="C68" s="454"/>
      <c r="D68" s="441">
        <v>0</v>
      </c>
      <c r="E68" s="441">
        <v>0</v>
      </c>
      <c r="F68" s="441">
        <v>0</v>
      </c>
      <c r="G68" s="441">
        <v>0</v>
      </c>
      <c r="H68" s="441">
        <v>0</v>
      </c>
      <c r="I68" s="441">
        <v>0</v>
      </c>
      <c r="J68" s="441">
        <v>0</v>
      </c>
      <c r="K68" s="443">
        <v>0</v>
      </c>
      <c r="L68" s="443">
        <v>0</v>
      </c>
      <c r="M68" s="443">
        <v>0</v>
      </c>
      <c r="N68" s="443">
        <v>0</v>
      </c>
      <c r="O68" s="443">
        <v>0</v>
      </c>
      <c r="P68" s="443">
        <v>0</v>
      </c>
      <c r="Q68" s="444">
        <v>0</v>
      </c>
    </row>
    <row r="69" spans="1:17" hidden="1" x14ac:dyDescent="0.25">
      <c r="A69" s="517"/>
      <c r="B69" s="524" t="s">
        <v>459</v>
      </c>
      <c r="C69" s="454"/>
      <c r="D69" s="441">
        <v>0</v>
      </c>
      <c r="E69" s="441">
        <v>0</v>
      </c>
      <c r="F69" s="441">
        <v>0</v>
      </c>
      <c r="G69" s="441">
        <v>0</v>
      </c>
      <c r="H69" s="441">
        <v>0</v>
      </c>
      <c r="I69" s="441">
        <v>0</v>
      </c>
      <c r="J69" s="441">
        <v>0</v>
      </c>
      <c r="K69" s="443">
        <v>0</v>
      </c>
      <c r="L69" s="443">
        <v>0</v>
      </c>
      <c r="M69" s="443">
        <v>0</v>
      </c>
      <c r="N69" s="443">
        <v>0</v>
      </c>
      <c r="O69" s="443">
        <v>0</v>
      </c>
      <c r="P69" s="443">
        <v>0</v>
      </c>
      <c r="Q69" s="444">
        <v>0</v>
      </c>
    </row>
    <row r="70" spans="1:17" hidden="1" x14ac:dyDescent="0.25">
      <c r="A70" s="517"/>
      <c r="B70" s="524" t="s">
        <v>741</v>
      </c>
      <c r="C70" s="454"/>
      <c r="D70" s="441">
        <v>0</v>
      </c>
      <c r="E70" s="441">
        <v>0</v>
      </c>
      <c r="F70" s="441">
        <v>0</v>
      </c>
      <c r="G70" s="441">
        <v>0</v>
      </c>
      <c r="H70" s="441">
        <v>0</v>
      </c>
      <c r="I70" s="441">
        <v>0</v>
      </c>
      <c r="J70" s="441">
        <v>0</v>
      </c>
      <c r="K70" s="443">
        <v>0</v>
      </c>
      <c r="L70" s="443">
        <v>0</v>
      </c>
      <c r="M70" s="443">
        <v>0</v>
      </c>
      <c r="N70" s="443">
        <v>0</v>
      </c>
      <c r="O70" s="443">
        <v>0</v>
      </c>
      <c r="P70" s="443">
        <v>0</v>
      </c>
      <c r="Q70" s="444">
        <v>0</v>
      </c>
    </row>
    <row r="71" spans="1:17" x14ac:dyDescent="0.25">
      <c r="A71" s="517">
        <v>44</v>
      </c>
      <c r="B71" s="518" t="s">
        <v>742</v>
      </c>
      <c r="C71" s="454"/>
      <c r="D71" s="441">
        <v>39.021999999999998</v>
      </c>
      <c r="E71" s="441">
        <v>16.3</v>
      </c>
      <c r="F71" s="441">
        <v>0</v>
      </c>
      <c r="G71" s="441">
        <v>0</v>
      </c>
      <c r="H71" s="441">
        <v>3694.9670000000001</v>
      </c>
      <c r="I71" s="441">
        <v>0</v>
      </c>
      <c r="J71" s="441">
        <v>3750.2890000000002</v>
      </c>
      <c r="K71" s="443">
        <v>20</v>
      </c>
      <c r="L71" s="443">
        <v>0</v>
      </c>
      <c r="M71" s="443">
        <v>0</v>
      </c>
      <c r="N71" s="443">
        <v>1326.8520000000001</v>
      </c>
      <c r="O71" s="443">
        <v>1326.8520000000001</v>
      </c>
      <c r="P71" s="443">
        <v>0</v>
      </c>
      <c r="Q71" s="444">
        <v>1346.8520000000001</v>
      </c>
    </row>
    <row r="72" spans="1:17" x14ac:dyDescent="0.25">
      <c r="A72" s="517"/>
      <c r="B72" s="520" t="s">
        <v>623</v>
      </c>
      <c r="C72" s="454"/>
      <c r="D72" s="441"/>
      <c r="E72" s="441"/>
      <c r="F72" s="441"/>
      <c r="G72" s="441"/>
      <c r="H72" s="441"/>
      <c r="I72" s="441"/>
      <c r="J72" s="441"/>
      <c r="K72" s="443"/>
      <c r="L72" s="443"/>
      <c r="M72" s="443"/>
      <c r="N72" s="443"/>
      <c r="O72" s="443"/>
      <c r="P72" s="443"/>
      <c r="Q72" s="444">
        <v>1258</v>
      </c>
    </row>
    <row r="73" spans="1:17" x14ac:dyDescent="0.25">
      <c r="A73" s="513">
        <v>45</v>
      </c>
      <c r="B73" s="514" t="s">
        <v>743</v>
      </c>
      <c r="C73" s="454"/>
      <c r="D73" s="441">
        <v>4092.9659999999999</v>
      </c>
      <c r="E73" s="441">
        <v>1695.309</v>
      </c>
      <c r="F73" s="441">
        <v>859.15899999999999</v>
      </c>
      <c r="G73" s="441">
        <v>628.53</v>
      </c>
      <c r="H73" s="441">
        <v>89620.406000000003</v>
      </c>
      <c r="I73" s="441">
        <v>1637.0219999999999</v>
      </c>
      <c r="J73" s="441">
        <v>98533.391999999993</v>
      </c>
      <c r="K73" s="443">
        <v>5384.6384065919983</v>
      </c>
      <c r="L73" s="443">
        <v>2727.6858000000002</v>
      </c>
      <c r="M73" s="443">
        <v>674.3594250000001</v>
      </c>
      <c r="N73" s="443">
        <v>6860.4868399999996</v>
      </c>
      <c r="O73" s="443">
        <v>9588.1726400000007</v>
      </c>
      <c r="P73" s="443">
        <v>2957.8307379300004</v>
      </c>
      <c r="Q73" s="444">
        <v>18605.001209521997</v>
      </c>
    </row>
    <row r="74" spans="1:17" x14ac:dyDescent="0.25">
      <c r="A74" s="513">
        <v>46</v>
      </c>
      <c r="B74" s="514" t="s">
        <v>744</v>
      </c>
      <c r="C74" s="454"/>
      <c r="D74" s="441">
        <v>0</v>
      </c>
      <c r="E74" s="441">
        <v>0</v>
      </c>
      <c r="F74" s="441">
        <v>0</v>
      </c>
      <c r="G74" s="441">
        <v>0</v>
      </c>
      <c r="H74" s="441">
        <v>0</v>
      </c>
      <c r="I74" s="441">
        <v>0</v>
      </c>
      <c r="J74" s="441">
        <v>0</v>
      </c>
      <c r="K74" s="443">
        <v>0</v>
      </c>
      <c r="L74" s="443">
        <v>0</v>
      </c>
      <c r="M74" s="443">
        <v>0</v>
      </c>
      <c r="N74" s="443">
        <v>0</v>
      </c>
      <c r="O74" s="443">
        <v>0</v>
      </c>
      <c r="P74" s="443">
        <v>0</v>
      </c>
      <c r="Q74" s="444">
        <v>0</v>
      </c>
    </row>
    <row r="75" spans="1:17" ht="38.25" x14ac:dyDescent="0.25">
      <c r="A75" s="513">
        <v>47</v>
      </c>
      <c r="B75" s="514" t="s">
        <v>745</v>
      </c>
      <c r="C75" s="454">
        <v>0</v>
      </c>
      <c r="D75" s="441">
        <v>1929</v>
      </c>
      <c r="E75" s="441">
        <v>18.975999999999999</v>
      </c>
      <c r="F75" s="441">
        <v>5.734</v>
      </c>
      <c r="G75" s="441">
        <v>2.7</v>
      </c>
      <c r="H75" s="441">
        <v>6829.5329999999994</v>
      </c>
      <c r="I75" s="441">
        <v>534.79099999999994</v>
      </c>
      <c r="J75" s="441">
        <v>9320.7339999999986</v>
      </c>
      <c r="K75" s="443">
        <v>100</v>
      </c>
      <c r="L75" s="443">
        <v>0</v>
      </c>
      <c r="M75" s="443">
        <v>50</v>
      </c>
      <c r="N75" s="443">
        <v>5147.6273505999998</v>
      </c>
      <c r="O75" s="443">
        <v>5147.6273505999998</v>
      </c>
      <c r="P75" s="443">
        <v>486.22832</v>
      </c>
      <c r="Q75" s="444">
        <v>5783.8556705999999</v>
      </c>
    </row>
    <row r="76" spans="1:17" hidden="1" x14ac:dyDescent="0.25">
      <c r="A76" s="513"/>
      <c r="B76" s="524" t="s">
        <v>746</v>
      </c>
      <c r="C76" s="454"/>
      <c r="D76" s="441">
        <v>0</v>
      </c>
      <c r="E76" s="441">
        <v>0</v>
      </c>
      <c r="F76" s="441">
        <v>0</v>
      </c>
      <c r="G76" s="441">
        <v>0</v>
      </c>
      <c r="H76" s="441">
        <v>0</v>
      </c>
      <c r="I76" s="441">
        <v>0</v>
      </c>
      <c r="J76" s="441">
        <v>0</v>
      </c>
      <c r="K76" s="443">
        <v>0</v>
      </c>
      <c r="L76" s="443">
        <v>0</v>
      </c>
      <c r="M76" s="443">
        <v>0</v>
      </c>
      <c r="N76" s="443">
        <v>0</v>
      </c>
      <c r="O76" s="443">
        <v>0</v>
      </c>
      <c r="P76" s="443">
        <v>0</v>
      </c>
      <c r="Q76" s="444">
        <v>0</v>
      </c>
    </row>
    <row r="77" spans="1:17" hidden="1" x14ac:dyDescent="0.25">
      <c r="A77" s="513"/>
      <c r="B77" s="524" t="s">
        <v>747</v>
      </c>
      <c r="C77" s="454"/>
      <c r="D77" s="441">
        <v>0</v>
      </c>
      <c r="E77" s="441">
        <v>0</v>
      </c>
      <c r="F77" s="441">
        <v>0</v>
      </c>
      <c r="G77" s="441">
        <v>0</v>
      </c>
      <c r="H77" s="441">
        <v>0</v>
      </c>
      <c r="I77" s="441">
        <v>0</v>
      </c>
      <c r="J77" s="441">
        <v>0</v>
      </c>
      <c r="K77" s="443">
        <v>0</v>
      </c>
      <c r="L77" s="443">
        <v>0</v>
      </c>
      <c r="M77" s="443">
        <v>0</v>
      </c>
      <c r="N77" s="443">
        <v>0</v>
      </c>
      <c r="O77" s="443">
        <v>0</v>
      </c>
      <c r="P77" s="443">
        <v>0</v>
      </c>
      <c r="Q77" s="444">
        <v>0</v>
      </c>
    </row>
    <row r="78" spans="1:17" hidden="1" x14ac:dyDescent="0.25">
      <c r="A78" s="513"/>
      <c r="B78" s="524" t="s">
        <v>748</v>
      </c>
      <c r="C78" s="454"/>
      <c r="D78" s="441">
        <v>0</v>
      </c>
      <c r="E78" s="441">
        <v>0</v>
      </c>
      <c r="F78" s="441">
        <v>0</v>
      </c>
      <c r="G78" s="441">
        <v>0</v>
      </c>
      <c r="H78" s="441">
        <v>0</v>
      </c>
      <c r="I78" s="441">
        <v>0</v>
      </c>
      <c r="J78" s="441">
        <v>0</v>
      </c>
      <c r="K78" s="443">
        <v>0</v>
      </c>
      <c r="L78" s="443">
        <v>0</v>
      </c>
      <c r="M78" s="443">
        <v>0</v>
      </c>
      <c r="N78" s="443">
        <v>0</v>
      </c>
      <c r="O78" s="443">
        <v>0</v>
      </c>
      <c r="P78" s="443">
        <v>0</v>
      </c>
      <c r="Q78" s="444">
        <v>0</v>
      </c>
    </row>
    <row r="79" spans="1:17" hidden="1" x14ac:dyDescent="0.25">
      <c r="A79" s="513"/>
      <c r="B79" s="524" t="s">
        <v>749</v>
      </c>
      <c r="C79" s="454"/>
      <c r="D79" s="441">
        <v>0</v>
      </c>
      <c r="E79" s="441">
        <v>0</v>
      </c>
      <c r="F79" s="441">
        <v>0</v>
      </c>
      <c r="G79" s="441">
        <v>0</v>
      </c>
      <c r="H79" s="441">
        <v>0</v>
      </c>
      <c r="I79" s="441">
        <v>0</v>
      </c>
      <c r="J79" s="441">
        <v>0</v>
      </c>
      <c r="K79" s="443">
        <v>0</v>
      </c>
      <c r="L79" s="443">
        <v>0</v>
      </c>
      <c r="M79" s="443">
        <v>0</v>
      </c>
      <c r="N79" s="443">
        <v>0</v>
      </c>
      <c r="O79" s="443">
        <v>0</v>
      </c>
      <c r="P79" s="443">
        <v>0</v>
      </c>
      <c r="Q79" s="444">
        <v>0</v>
      </c>
    </row>
    <row r="80" spans="1:17" x14ac:dyDescent="0.25">
      <c r="A80" s="513">
        <v>48</v>
      </c>
      <c r="B80" s="526" t="s">
        <v>750</v>
      </c>
      <c r="C80" s="454"/>
      <c r="D80" s="441">
        <v>38.786999999999999</v>
      </c>
      <c r="E80" s="441">
        <v>0.68700000000000006</v>
      </c>
      <c r="F80" s="441">
        <v>12.576000000000001</v>
      </c>
      <c r="G80" s="441">
        <v>6.0789999999999997</v>
      </c>
      <c r="H80" s="441">
        <v>9191.6769999999997</v>
      </c>
      <c r="I80" s="441">
        <v>40.270000000000003</v>
      </c>
      <c r="J80" s="441">
        <v>9290.0760000000009</v>
      </c>
      <c r="K80" s="443">
        <v>10</v>
      </c>
      <c r="L80" s="443">
        <v>10</v>
      </c>
      <c r="M80" s="443">
        <v>10</v>
      </c>
      <c r="N80" s="443">
        <v>20</v>
      </c>
      <c r="O80" s="443">
        <v>30</v>
      </c>
      <c r="P80" s="443">
        <v>10</v>
      </c>
      <c r="Q80" s="444">
        <v>60</v>
      </c>
    </row>
    <row r="81" spans="1:17" x14ac:dyDescent="0.25">
      <c r="A81" s="513">
        <v>49</v>
      </c>
      <c r="B81" s="514" t="s">
        <v>751</v>
      </c>
      <c r="C81" s="454"/>
      <c r="D81" s="441">
        <v>0</v>
      </c>
      <c r="E81" s="441">
        <v>0</v>
      </c>
      <c r="F81" s="441">
        <v>0</v>
      </c>
      <c r="G81" s="441">
        <v>0</v>
      </c>
      <c r="H81" s="441">
        <v>0</v>
      </c>
      <c r="I81" s="441">
        <v>0</v>
      </c>
      <c r="J81" s="441">
        <v>0</v>
      </c>
      <c r="K81" s="443">
        <v>0</v>
      </c>
      <c r="L81" s="443">
        <v>0</v>
      </c>
      <c r="M81" s="443">
        <v>0</v>
      </c>
      <c r="N81" s="443">
        <v>0</v>
      </c>
      <c r="O81" s="443">
        <v>0</v>
      </c>
      <c r="P81" s="443">
        <v>0</v>
      </c>
      <c r="Q81" s="444">
        <v>0</v>
      </c>
    </row>
    <row r="82" spans="1:17" ht="30" x14ac:dyDescent="0.25">
      <c r="A82" s="455">
        <v>50</v>
      </c>
      <c r="B82" s="456" t="s">
        <v>752</v>
      </c>
      <c r="C82" s="515">
        <v>0</v>
      </c>
      <c r="D82" s="515">
        <v>21737.004000000001</v>
      </c>
      <c r="E82" s="515">
        <v>8053.7840000000006</v>
      </c>
      <c r="F82" s="515">
        <v>4429.7049999999999</v>
      </c>
      <c r="G82" s="515">
        <v>2972.6190000000006</v>
      </c>
      <c r="H82" s="515">
        <v>141472.505</v>
      </c>
      <c r="I82" s="515">
        <v>9323.5119999999988</v>
      </c>
      <c r="J82" s="515">
        <v>187989.12899999999</v>
      </c>
      <c r="K82" s="515">
        <v>25467.743616191998</v>
      </c>
      <c r="L82" s="515">
        <v>12934.713988976378</v>
      </c>
      <c r="M82" s="515">
        <v>3231.9869250000002</v>
      </c>
      <c r="N82" s="515">
        <v>39979.264901820468</v>
      </c>
      <c r="O82" s="515">
        <v>52913.978890796847</v>
      </c>
      <c r="P82" s="515">
        <v>15228.987716930002</v>
      </c>
      <c r="Q82" s="515">
        <v>96842.697148918829</v>
      </c>
    </row>
    <row r="83" spans="1:17" ht="25.5" x14ac:dyDescent="0.25">
      <c r="A83" s="513">
        <v>51</v>
      </c>
      <c r="B83" s="514" t="s">
        <v>753</v>
      </c>
      <c r="C83" s="454"/>
      <c r="D83" s="441">
        <v>0</v>
      </c>
      <c r="E83" s="441">
        <v>0</v>
      </c>
      <c r="F83" s="441">
        <v>0</v>
      </c>
      <c r="G83" s="441">
        <v>0</v>
      </c>
      <c r="H83" s="441">
        <v>187383.04800000001</v>
      </c>
      <c r="I83" s="441">
        <v>0</v>
      </c>
      <c r="J83" s="441">
        <v>187383.04800000001</v>
      </c>
      <c r="K83" s="443">
        <v>0</v>
      </c>
      <c r="L83" s="443">
        <v>0</v>
      </c>
      <c r="M83" s="443">
        <v>0</v>
      </c>
      <c r="N83" s="443">
        <v>0</v>
      </c>
      <c r="O83" s="443">
        <v>0</v>
      </c>
      <c r="P83" s="443">
        <v>0</v>
      </c>
      <c r="Q83" s="444">
        <v>0</v>
      </c>
    </row>
    <row r="84" spans="1:17" x14ac:dyDescent="0.25">
      <c r="A84" s="513">
        <v>52</v>
      </c>
      <c r="B84" s="514" t="s">
        <v>754</v>
      </c>
      <c r="C84" s="454"/>
      <c r="D84" s="441">
        <v>0</v>
      </c>
      <c r="E84" s="441">
        <v>0</v>
      </c>
      <c r="F84" s="441">
        <v>0</v>
      </c>
      <c r="G84" s="441">
        <v>0</v>
      </c>
      <c r="H84" s="441">
        <v>0</v>
      </c>
      <c r="I84" s="441">
        <v>0</v>
      </c>
      <c r="J84" s="441">
        <v>0</v>
      </c>
      <c r="K84" s="443">
        <v>0</v>
      </c>
      <c r="L84" s="443">
        <v>0</v>
      </c>
      <c r="M84" s="443">
        <v>0</v>
      </c>
      <c r="N84" s="443">
        <v>0</v>
      </c>
      <c r="O84" s="443">
        <v>0</v>
      </c>
      <c r="P84" s="443">
        <v>0</v>
      </c>
      <c r="Q84" s="444">
        <v>0</v>
      </c>
    </row>
    <row r="85" spans="1:17" ht="25.5" x14ac:dyDescent="0.25">
      <c r="A85" s="513">
        <v>53</v>
      </c>
      <c r="B85" s="514" t="s">
        <v>755</v>
      </c>
      <c r="C85" s="454"/>
      <c r="D85" s="441">
        <v>0</v>
      </c>
      <c r="E85" s="441">
        <v>0</v>
      </c>
      <c r="F85" s="441">
        <v>0</v>
      </c>
      <c r="G85" s="441">
        <v>0</v>
      </c>
      <c r="H85" s="441">
        <v>0</v>
      </c>
      <c r="I85" s="441">
        <v>0</v>
      </c>
      <c r="J85" s="441">
        <v>0</v>
      </c>
      <c r="K85" s="443">
        <v>0</v>
      </c>
      <c r="L85" s="443">
        <v>0</v>
      </c>
      <c r="M85" s="443">
        <v>0</v>
      </c>
      <c r="N85" s="443">
        <v>0</v>
      </c>
      <c r="O85" s="443">
        <v>0</v>
      </c>
      <c r="P85" s="443">
        <v>0</v>
      </c>
      <c r="Q85" s="444">
        <v>0</v>
      </c>
    </row>
    <row r="86" spans="1:17" ht="25.5" x14ac:dyDescent="0.25">
      <c r="A86" s="513">
        <v>54</v>
      </c>
      <c r="B86" s="514" t="s">
        <v>756</v>
      </c>
      <c r="C86" s="454">
        <v>0</v>
      </c>
      <c r="D86" s="441">
        <v>0</v>
      </c>
      <c r="E86" s="441">
        <v>0</v>
      </c>
      <c r="F86" s="441">
        <v>0</v>
      </c>
      <c r="G86" s="441">
        <v>0</v>
      </c>
      <c r="H86" s="441">
        <v>4947.9159999999993</v>
      </c>
      <c r="I86" s="441">
        <v>300</v>
      </c>
      <c r="J86" s="441">
        <v>5247.9159999999993</v>
      </c>
      <c r="K86" s="443">
        <v>0</v>
      </c>
      <c r="L86" s="443">
        <v>0</v>
      </c>
      <c r="M86" s="443">
        <v>0</v>
      </c>
      <c r="N86" s="443">
        <v>4034</v>
      </c>
      <c r="O86" s="443">
        <v>4034</v>
      </c>
      <c r="P86" s="443">
        <v>0</v>
      </c>
      <c r="Q86" s="444">
        <v>4034</v>
      </c>
    </row>
    <row r="87" spans="1:17" x14ac:dyDescent="0.25">
      <c r="A87" s="513">
        <v>5401</v>
      </c>
      <c r="B87" s="518" t="s">
        <v>757</v>
      </c>
      <c r="C87" s="454"/>
      <c r="D87" s="441">
        <v>0</v>
      </c>
      <c r="E87" s="441">
        <v>0</v>
      </c>
      <c r="F87" s="441">
        <v>0</v>
      </c>
      <c r="G87" s="441">
        <v>0</v>
      </c>
      <c r="H87" s="441">
        <v>0</v>
      </c>
      <c r="I87" s="441">
        <v>0</v>
      </c>
      <c r="J87" s="441">
        <v>0</v>
      </c>
      <c r="K87" s="443">
        <v>0</v>
      </c>
      <c r="L87" s="443">
        <v>0</v>
      </c>
      <c r="M87" s="443">
        <v>0</v>
      </c>
      <c r="N87" s="443">
        <v>0</v>
      </c>
      <c r="O87" s="443">
        <v>0</v>
      </c>
      <c r="P87" s="443">
        <v>0</v>
      </c>
      <c r="Q87" s="444">
        <v>0</v>
      </c>
    </row>
    <row r="88" spans="1:17" x14ac:dyDescent="0.25">
      <c r="A88" s="513">
        <v>5402</v>
      </c>
      <c r="B88" s="518" t="s">
        <v>758</v>
      </c>
      <c r="C88" s="454"/>
      <c r="D88" s="441">
        <v>0</v>
      </c>
      <c r="E88" s="441">
        <v>0</v>
      </c>
      <c r="F88" s="441">
        <v>0</v>
      </c>
      <c r="G88" s="441">
        <v>0</v>
      </c>
      <c r="H88" s="441">
        <v>0</v>
      </c>
      <c r="I88" s="441">
        <v>0</v>
      </c>
      <c r="J88" s="441">
        <v>0</v>
      </c>
      <c r="K88" s="443">
        <v>0</v>
      </c>
      <c r="L88" s="443">
        <v>0</v>
      </c>
      <c r="M88" s="443">
        <v>0</v>
      </c>
      <c r="N88" s="443">
        <v>0</v>
      </c>
      <c r="O88" s="443">
        <v>0</v>
      </c>
      <c r="P88" s="443">
        <v>0</v>
      </c>
      <c r="Q88" s="444">
        <v>0</v>
      </c>
    </row>
    <row r="89" spans="1:17" x14ac:dyDescent="0.25">
      <c r="A89" s="513">
        <v>5403</v>
      </c>
      <c r="B89" s="518" t="s">
        <v>759</v>
      </c>
      <c r="C89" s="454"/>
      <c r="D89" s="441">
        <v>0</v>
      </c>
      <c r="E89" s="441">
        <v>0</v>
      </c>
      <c r="F89" s="441">
        <v>0</v>
      </c>
      <c r="G89" s="441">
        <v>0</v>
      </c>
      <c r="H89" s="441">
        <v>382.41</v>
      </c>
      <c r="I89" s="441">
        <v>0</v>
      </c>
      <c r="J89" s="441">
        <v>382.41</v>
      </c>
      <c r="K89" s="443">
        <v>0</v>
      </c>
      <c r="L89" s="443">
        <v>0</v>
      </c>
      <c r="M89" s="443">
        <v>0</v>
      </c>
      <c r="N89" s="443">
        <v>576</v>
      </c>
      <c r="O89" s="443">
        <v>576</v>
      </c>
      <c r="P89" s="443">
        <v>0</v>
      </c>
      <c r="Q89" s="444">
        <v>576</v>
      </c>
    </row>
    <row r="90" spans="1:17" x14ac:dyDescent="0.25">
      <c r="A90" s="513">
        <v>5404</v>
      </c>
      <c r="B90" s="518" t="s">
        <v>760</v>
      </c>
      <c r="C90" s="454"/>
      <c r="D90" s="441">
        <v>0</v>
      </c>
      <c r="E90" s="441">
        <v>0</v>
      </c>
      <c r="F90" s="441">
        <v>0</v>
      </c>
      <c r="G90" s="441">
        <v>0</v>
      </c>
      <c r="H90" s="441">
        <v>69.3</v>
      </c>
      <c r="I90" s="441">
        <v>0</v>
      </c>
      <c r="J90" s="441">
        <v>69.3</v>
      </c>
      <c r="K90" s="443">
        <v>0</v>
      </c>
      <c r="L90" s="443">
        <v>0</v>
      </c>
      <c r="M90" s="443">
        <v>0</v>
      </c>
      <c r="N90" s="443">
        <v>78</v>
      </c>
      <c r="O90" s="443">
        <v>78</v>
      </c>
      <c r="P90" s="443">
        <v>0</v>
      </c>
      <c r="Q90" s="444">
        <v>78</v>
      </c>
    </row>
    <row r="91" spans="1:17" x14ac:dyDescent="0.25">
      <c r="A91" s="513">
        <v>5405</v>
      </c>
      <c r="B91" s="518" t="s">
        <v>761</v>
      </c>
      <c r="C91" s="454"/>
      <c r="D91" s="441">
        <v>0</v>
      </c>
      <c r="E91" s="441">
        <v>0</v>
      </c>
      <c r="F91" s="441">
        <v>0</v>
      </c>
      <c r="G91" s="441">
        <v>0</v>
      </c>
      <c r="H91" s="441">
        <v>0</v>
      </c>
      <c r="I91" s="441">
        <v>0</v>
      </c>
      <c r="J91" s="441">
        <v>0</v>
      </c>
      <c r="K91" s="443">
        <v>0</v>
      </c>
      <c r="L91" s="443">
        <v>0</v>
      </c>
      <c r="M91" s="443">
        <v>0</v>
      </c>
      <c r="N91" s="443">
        <v>0</v>
      </c>
      <c r="O91" s="443">
        <v>0</v>
      </c>
      <c r="P91" s="443">
        <v>0</v>
      </c>
      <c r="Q91" s="444">
        <v>0</v>
      </c>
    </row>
    <row r="92" spans="1:17" x14ac:dyDescent="0.25">
      <c r="A92" s="513">
        <v>5406</v>
      </c>
      <c r="B92" s="518" t="s">
        <v>762</v>
      </c>
      <c r="C92" s="454"/>
      <c r="D92" s="441">
        <v>0</v>
      </c>
      <c r="E92" s="441">
        <v>0</v>
      </c>
      <c r="F92" s="441">
        <v>0</v>
      </c>
      <c r="G92" s="441">
        <v>0</v>
      </c>
      <c r="H92" s="441">
        <v>1126.7349999999999</v>
      </c>
      <c r="I92" s="441">
        <v>0</v>
      </c>
      <c r="J92" s="441">
        <v>1126.7349999999999</v>
      </c>
      <c r="K92" s="443">
        <v>0</v>
      </c>
      <c r="L92" s="443">
        <v>0</v>
      </c>
      <c r="M92" s="443">
        <v>0</v>
      </c>
      <c r="N92" s="443">
        <v>0</v>
      </c>
      <c r="O92" s="443">
        <v>0</v>
      </c>
      <c r="P92" s="443">
        <v>0</v>
      </c>
      <c r="Q92" s="444">
        <v>0</v>
      </c>
    </row>
    <row r="93" spans="1:17" x14ac:dyDescent="0.25">
      <c r="A93" s="513">
        <v>5407</v>
      </c>
      <c r="B93" s="518" t="s">
        <v>763</v>
      </c>
      <c r="C93" s="454"/>
      <c r="D93" s="441">
        <v>0</v>
      </c>
      <c r="E93" s="441">
        <v>0</v>
      </c>
      <c r="F93" s="441">
        <v>0</v>
      </c>
      <c r="G93" s="441">
        <v>0</v>
      </c>
      <c r="H93" s="441">
        <v>0</v>
      </c>
      <c r="I93" s="441">
        <v>0</v>
      </c>
      <c r="J93" s="441">
        <v>0</v>
      </c>
      <c r="K93" s="443">
        <v>0</v>
      </c>
      <c r="L93" s="443">
        <v>0</v>
      </c>
      <c r="M93" s="443">
        <v>0</v>
      </c>
      <c r="N93" s="443">
        <v>0</v>
      </c>
      <c r="O93" s="443">
        <v>0</v>
      </c>
      <c r="P93" s="443">
        <v>0</v>
      </c>
      <c r="Q93" s="444">
        <v>0</v>
      </c>
    </row>
    <row r="94" spans="1:17" x14ac:dyDescent="0.25">
      <c r="A94" s="513">
        <v>5408</v>
      </c>
      <c r="B94" s="518" t="s">
        <v>764</v>
      </c>
      <c r="C94" s="454"/>
      <c r="D94" s="441">
        <v>0</v>
      </c>
      <c r="E94" s="441">
        <v>0</v>
      </c>
      <c r="F94" s="441">
        <v>0</v>
      </c>
      <c r="G94" s="441">
        <v>0</v>
      </c>
      <c r="H94" s="441">
        <v>1260</v>
      </c>
      <c r="I94" s="441">
        <v>0</v>
      </c>
      <c r="J94" s="441">
        <v>1260</v>
      </c>
      <c r="K94" s="443">
        <v>0</v>
      </c>
      <c r="L94" s="443">
        <v>0</v>
      </c>
      <c r="M94" s="443">
        <v>0</v>
      </c>
      <c r="N94" s="443">
        <v>1080</v>
      </c>
      <c r="O94" s="443">
        <v>1080</v>
      </c>
      <c r="P94" s="443">
        <v>0</v>
      </c>
      <c r="Q94" s="444">
        <v>1080</v>
      </c>
    </row>
    <row r="95" spans="1:17" x14ac:dyDescent="0.25">
      <c r="A95" s="513">
        <v>5409</v>
      </c>
      <c r="B95" s="518" t="s">
        <v>765</v>
      </c>
      <c r="C95" s="454"/>
      <c r="D95" s="441">
        <v>0</v>
      </c>
      <c r="E95" s="441">
        <v>0</v>
      </c>
      <c r="F95" s="441">
        <v>0</v>
      </c>
      <c r="G95" s="441">
        <v>0</v>
      </c>
      <c r="H95" s="441">
        <v>2109.471</v>
      </c>
      <c r="I95" s="441">
        <v>300</v>
      </c>
      <c r="J95" s="441">
        <v>2409.471</v>
      </c>
      <c r="K95" s="443">
        <v>0</v>
      </c>
      <c r="L95" s="443">
        <v>0</v>
      </c>
      <c r="M95" s="443">
        <v>0</v>
      </c>
      <c r="N95" s="443">
        <v>2300</v>
      </c>
      <c r="O95" s="443">
        <v>2300</v>
      </c>
      <c r="P95" s="443">
        <v>0</v>
      </c>
      <c r="Q95" s="444">
        <v>2300</v>
      </c>
    </row>
    <row r="96" spans="1:17" x14ac:dyDescent="0.25">
      <c r="A96" s="513">
        <v>5410</v>
      </c>
      <c r="B96" s="518" t="s">
        <v>766</v>
      </c>
      <c r="C96" s="454"/>
      <c r="D96" s="441">
        <v>0</v>
      </c>
      <c r="E96" s="441">
        <v>0</v>
      </c>
      <c r="F96" s="441">
        <v>0</v>
      </c>
      <c r="G96" s="441">
        <v>0</v>
      </c>
      <c r="H96" s="441">
        <v>0</v>
      </c>
      <c r="I96" s="441">
        <v>0</v>
      </c>
      <c r="J96" s="441">
        <v>0</v>
      </c>
      <c r="K96" s="443">
        <v>0</v>
      </c>
      <c r="L96" s="443">
        <v>0</v>
      </c>
      <c r="M96" s="443">
        <v>0</v>
      </c>
      <c r="N96" s="443">
        <v>0</v>
      </c>
      <c r="O96" s="443">
        <v>0</v>
      </c>
      <c r="P96" s="443">
        <v>0</v>
      </c>
      <c r="Q96" s="444">
        <v>0</v>
      </c>
    </row>
    <row r="97" spans="1:17" x14ac:dyDescent="0.25">
      <c r="A97" s="513">
        <v>5411</v>
      </c>
      <c r="B97" s="518" t="s">
        <v>767</v>
      </c>
      <c r="C97" s="454"/>
      <c r="D97" s="441">
        <v>0</v>
      </c>
      <c r="E97" s="441">
        <v>0</v>
      </c>
      <c r="F97" s="441">
        <v>0</v>
      </c>
      <c r="G97" s="441">
        <v>0</v>
      </c>
      <c r="H97" s="441">
        <v>0</v>
      </c>
      <c r="I97" s="441">
        <v>0</v>
      </c>
      <c r="J97" s="441">
        <v>0</v>
      </c>
      <c r="K97" s="443">
        <v>0</v>
      </c>
      <c r="L97" s="443">
        <v>0</v>
      </c>
      <c r="M97" s="443">
        <v>0</v>
      </c>
      <c r="N97" s="443">
        <v>0</v>
      </c>
      <c r="O97" s="443">
        <v>0</v>
      </c>
      <c r="P97" s="443">
        <v>0</v>
      </c>
      <c r="Q97" s="444">
        <v>0</v>
      </c>
    </row>
    <row r="98" spans="1:17" x14ac:dyDescent="0.25">
      <c r="A98" s="513">
        <v>5412</v>
      </c>
      <c r="B98" s="518" t="s">
        <v>768</v>
      </c>
      <c r="C98" s="454"/>
      <c r="D98" s="441">
        <v>0</v>
      </c>
      <c r="E98" s="441">
        <v>0</v>
      </c>
      <c r="F98" s="441">
        <v>0</v>
      </c>
      <c r="G98" s="441">
        <v>0</v>
      </c>
      <c r="H98" s="441">
        <v>0</v>
      </c>
      <c r="I98" s="441">
        <v>0</v>
      </c>
      <c r="J98" s="441">
        <v>0</v>
      </c>
      <c r="K98" s="443">
        <v>0</v>
      </c>
      <c r="L98" s="443">
        <v>0</v>
      </c>
      <c r="M98" s="443">
        <v>0</v>
      </c>
      <c r="N98" s="443">
        <v>0</v>
      </c>
      <c r="O98" s="443">
        <v>0</v>
      </c>
      <c r="P98" s="443">
        <v>0</v>
      </c>
      <c r="Q98" s="444">
        <v>0</v>
      </c>
    </row>
    <row r="99" spans="1:17" ht="25.5" x14ac:dyDescent="0.25">
      <c r="A99" s="513">
        <v>55</v>
      </c>
      <c r="B99" s="514" t="s">
        <v>769</v>
      </c>
      <c r="C99" s="454">
        <v>0</v>
      </c>
      <c r="D99" s="441">
        <v>0</v>
      </c>
      <c r="E99" s="441">
        <v>0</v>
      </c>
      <c r="F99" s="441">
        <v>0</v>
      </c>
      <c r="G99" s="441">
        <v>0</v>
      </c>
      <c r="H99" s="441">
        <v>21959.952999999998</v>
      </c>
      <c r="I99" s="441">
        <v>0</v>
      </c>
      <c r="J99" s="441">
        <v>21959.952999999998</v>
      </c>
      <c r="K99" s="443">
        <v>0</v>
      </c>
      <c r="L99" s="443">
        <v>0</v>
      </c>
      <c r="M99" s="443">
        <v>0</v>
      </c>
      <c r="N99" s="443">
        <v>1850</v>
      </c>
      <c r="O99" s="443">
        <v>1850</v>
      </c>
      <c r="P99" s="443">
        <v>13543</v>
      </c>
      <c r="Q99" s="444">
        <v>15393</v>
      </c>
    </row>
    <row r="100" spans="1:17" x14ac:dyDescent="0.25">
      <c r="A100" s="513">
        <v>5501</v>
      </c>
      <c r="B100" s="527" t="s">
        <v>770</v>
      </c>
      <c r="C100" s="454"/>
      <c r="D100" s="441">
        <v>0</v>
      </c>
      <c r="E100" s="441">
        <v>0</v>
      </c>
      <c r="F100" s="441">
        <v>0</v>
      </c>
      <c r="G100" s="441">
        <v>0</v>
      </c>
      <c r="H100" s="441">
        <v>1955.4670000000001</v>
      </c>
      <c r="I100" s="441">
        <v>0</v>
      </c>
      <c r="J100" s="441">
        <v>1955.4670000000001</v>
      </c>
      <c r="K100" s="443">
        <v>0</v>
      </c>
      <c r="L100" s="443">
        <v>0</v>
      </c>
      <c r="M100" s="443">
        <v>0</v>
      </c>
      <c r="N100" s="443">
        <v>0</v>
      </c>
      <c r="O100" s="443">
        <v>0</v>
      </c>
      <c r="P100" s="443">
        <v>1955</v>
      </c>
      <c r="Q100" s="444">
        <v>1955</v>
      </c>
    </row>
    <row r="101" spans="1:17" x14ac:dyDescent="0.25">
      <c r="A101" s="513">
        <v>5502</v>
      </c>
      <c r="B101" s="527" t="s">
        <v>771</v>
      </c>
      <c r="C101" s="454"/>
      <c r="D101" s="441">
        <v>0</v>
      </c>
      <c r="E101" s="441">
        <v>0</v>
      </c>
      <c r="F101" s="441">
        <v>0</v>
      </c>
      <c r="G101" s="441">
        <v>0</v>
      </c>
      <c r="H101" s="441">
        <v>0</v>
      </c>
      <c r="I101" s="441">
        <v>0</v>
      </c>
      <c r="J101" s="441">
        <v>0</v>
      </c>
      <c r="K101" s="443">
        <v>0</v>
      </c>
      <c r="L101" s="443">
        <v>0</v>
      </c>
      <c r="M101" s="443">
        <v>0</v>
      </c>
      <c r="N101" s="443">
        <v>0</v>
      </c>
      <c r="O101" s="443">
        <v>0</v>
      </c>
      <c r="P101" s="443">
        <v>0</v>
      </c>
      <c r="Q101" s="444">
        <v>0</v>
      </c>
    </row>
    <row r="102" spans="1:17" x14ac:dyDescent="0.25">
      <c r="A102" s="513">
        <v>5503</v>
      </c>
      <c r="B102" s="527" t="s">
        <v>772</v>
      </c>
      <c r="C102" s="454"/>
      <c r="D102" s="441">
        <v>0</v>
      </c>
      <c r="E102" s="441">
        <v>0</v>
      </c>
      <c r="F102" s="441">
        <v>0</v>
      </c>
      <c r="G102" s="441">
        <v>0</v>
      </c>
      <c r="H102" s="441">
        <v>8160.45</v>
      </c>
      <c r="I102" s="441">
        <v>0</v>
      </c>
      <c r="J102" s="441">
        <v>8160.45</v>
      </c>
      <c r="K102" s="443">
        <v>0</v>
      </c>
      <c r="L102" s="443">
        <v>0</v>
      </c>
      <c r="M102" s="443">
        <v>0</v>
      </c>
      <c r="N102" s="443">
        <v>0</v>
      </c>
      <c r="O102" s="443">
        <v>0</v>
      </c>
      <c r="P102" s="443">
        <v>8182</v>
      </c>
      <c r="Q102" s="444">
        <v>8182</v>
      </c>
    </row>
    <row r="103" spans="1:17" x14ac:dyDescent="0.25">
      <c r="A103" s="513">
        <v>5504</v>
      </c>
      <c r="B103" s="527" t="s">
        <v>773</v>
      </c>
      <c r="C103" s="454"/>
      <c r="D103" s="441">
        <v>0</v>
      </c>
      <c r="E103" s="441">
        <v>0</v>
      </c>
      <c r="F103" s="441">
        <v>0</v>
      </c>
      <c r="G103" s="441">
        <v>0</v>
      </c>
      <c r="H103" s="441">
        <v>0</v>
      </c>
      <c r="I103" s="441">
        <v>0</v>
      </c>
      <c r="J103" s="441">
        <v>0</v>
      </c>
      <c r="K103" s="443">
        <v>0</v>
      </c>
      <c r="L103" s="443">
        <v>0</v>
      </c>
      <c r="M103" s="443">
        <v>0</v>
      </c>
      <c r="N103" s="443">
        <v>0</v>
      </c>
      <c r="O103" s="443">
        <v>0</v>
      </c>
      <c r="P103" s="443">
        <v>0</v>
      </c>
      <c r="Q103" s="444">
        <v>0</v>
      </c>
    </row>
    <row r="104" spans="1:17" x14ac:dyDescent="0.25">
      <c r="A104" s="513">
        <v>5505</v>
      </c>
      <c r="B104" s="527" t="s">
        <v>460</v>
      </c>
      <c r="C104" s="454"/>
      <c r="D104" s="441">
        <v>0</v>
      </c>
      <c r="E104" s="441">
        <v>0</v>
      </c>
      <c r="F104" s="441">
        <v>0</v>
      </c>
      <c r="G104" s="441">
        <v>0</v>
      </c>
      <c r="H104" s="441">
        <v>889.2</v>
      </c>
      <c r="I104" s="441">
        <v>0</v>
      </c>
      <c r="J104" s="441">
        <v>889.2</v>
      </c>
      <c r="K104" s="443">
        <v>0</v>
      </c>
      <c r="L104" s="443">
        <v>0</v>
      </c>
      <c r="M104" s="443">
        <v>0</v>
      </c>
      <c r="N104" s="443">
        <v>74</v>
      </c>
      <c r="O104" s="443">
        <v>74</v>
      </c>
      <c r="P104" s="443">
        <v>0</v>
      </c>
      <c r="Q104" s="444">
        <v>74</v>
      </c>
    </row>
    <row r="105" spans="1:17" x14ac:dyDescent="0.25">
      <c r="A105" s="513">
        <v>5506</v>
      </c>
      <c r="B105" s="527" t="s">
        <v>774</v>
      </c>
      <c r="C105" s="454"/>
      <c r="D105" s="441">
        <v>0</v>
      </c>
      <c r="E105" s="441">
        <v>0</v>
      </c>
      <c r="F105" s="441">
        <v>0</v>
      </c>
      <c r="G105" s="441">
        <v>0</v>
      </c>
      <c r="H105" s="441">
        <v>3117.4850000000001</v>
      </c>
      <c r="I105" s="441">
        <v>0</v>
      </c>
      <c r="J105" s="441">
        <v>3117.4850000000001</v>
      </c>
      <c r="K105" s="443">
        <v>0</v>
      </c>
      <c r="L105" s="443">
        <v>0</v>
      </c>
      <c r="M105" s="443">
        <v>0</v>
      </c>
      <c r="N105" s="443">
        <v>0</v>
      </c>
      <c r="O105" s="443">
        <v>0</v>
      </c>
      <c r="P105" s="443">
        <v>3117</v>
      </c>
      <c r="Q105" s="444">
        <v>3117</v>
      </c>
    </row>
    <row r="106" spans="1:17" x14ac:dyDescent="0.25">
      <c r="A106" s="513">
        <v>5507</v>
      </c>
      <c r="B106" s="527" t="s">
        <v>676</v>
      </c>
      <c r="C106" s="454"/>
      <c r="D106" s="441">
        <v>0</v>
      </c>
      <c r="E106" s="441">
        <v>0</v>
      </c>
      <c r="F106" s="441">
        <v>0</v>
      </c>
      <c r="G106" s="441">
        <v>0</v>
      </c>
      <c r="H106" s="441">
        <v>4270.6149999999998</v>
      </c>
      <c r="I106" s="441">
        <v>0</v>
      </c>
      <c r="J106" s="441">
        <v>4270.6149999999998</v>
      </c>
      <c r="K106" s="443">
        <v>0</v>
      </c>
      <c r="L106" s="443">
        <v>0</v>
      </c>
      <c r="M106" s="443">
        <v>0</v>
      </c>
      <c r="N106" s="443">
        <v>304</v>
      </c>
      <c r="O106" s="443">
        <v>304</v>
      </c>
      <c r="P106" s="443">
        <v>0</v>
      </c>
      <c r="Q106" s="444">
        <v>304</v>
      </c>
    </row>
    <row r="107" spans="1:17" x14ac:dyDescent="0.25">
      <c r="A107" s="513">
        <v>5508</v>
      </c>
      <c r="B107" s="527" t="s">
        <v>775</v>
      </c>
      <c r="C107" s="454"/>
      <c r="D107" s="441">
        <v>0</v>
      </c>
      <c r="E107" s="441">
        <v>0</v>
      </c>
      <c r="F107" s="441">
        <v>0</v>
      </c>
      <c r="G107" s="441">
        <v>0</v>
      </c>
      <c r="H107" s="441">
        <v>0</v>
      </c>
      <c r="I107" s="441">
        <v>0</v>
      </c>
      <c r="J107" s="441">
        <v>0</v>
      </c>
      <c r="K107" s="443">
        <v>0</v>
      </c>
      <c r="L107" s="443">
        <v>0</v>
      </c>
      <c r="M107" s="443">
        <v>0</v>
      </c>
      <c r="N107" s="443">
        <v>0</v>
      </c>
      <c r="O107" s="443">
        <v>0</v>
      </c>
      <c r="P107" s="443">
        <v>0</v>
      </c>
      <c r="Q107" s="444">
        <v>0</v>
      </c>
    </row>
    <row r="108" spans="1:17" x14ac:dyDescent="0.25">
      <c r="A108" s="513">
        <v>5509</v>
      </c>
      <c r="B108" s="527" t="s">
        <v>677</v>
      </c>
      <c r="C108" s="454"/>
      <c r="D108" s="441">
        <v>0</v>
      </c>
      <c r="E108" s="441">
        <v>0</v>
      </c>
      <c r="F108" s="441">
        <v>0</v>
      </c>
      <c r="G108" s="441">
        <v>0</v>
      </c>
      <c r="H108" s="441">
        <v>516.13</v>
      </c>
      <c r="I108" s="441">
        <v>0</v>
      </c>
      <c r="J108" s="441">
        <v>516.13</v>
      </c>
      <c r="K108" s="443">
        <v>0</v>
      </c>
      <c r="L108" s="443">
        <v>0</v>
      </c>
      <c r="M108" s="443">
        <v>0</v>
      </c>
      <c r="N108" s="443">
        <v>516</v>
      </c>
      <c r="O108" s="443">
        <v>516</v>
      </c>
      <c r="P108" s="443">
        <v>0</v>
      </c>
      <c r="Q108" s="444">
        <v>516</v>
      </c>
    </row>
    <row r="109" spans="1:17" x14ac:dyDescent="0.25">
      <c r="A109" s="513">
        <v>5510</v>
      </c>
      <c r="B109" s="527" t="s">
        <v>678</v>
      </c>
      <c r="C109" s="454"/>
      <c r="D109" s="441">
        <v>0</v>
      </c>
      <c r="E109" s="441">
        <v>0</v>
      </c>
      <c r="F109" s="441">
        <v>0</v>
      </c>
      <c r="G109" s="441">
        <v>0</v>
      </c>
      <c r="H109" s="441">
        <v>513</v>
      </c>
      <c r="I109" s="441">
        <v>0</v>
      </c>
      <c r="J109" s="441">
        <v>513</v>
      </c>
      <c r="K109" s="443">
        <v>0</v>
      </c>
      <c r="L109" s="443">
        <v>0</v>
      </c>
      <c r="M109" s="443">
        <v>0</v>
      </c>
      <c r="N109" s="443">
        <v>513</v>
      </c>
      <c r="O109" s="443">
        <v>513</v>
      </c>
      <c r="P109" s="443">
        <v>0</v>
      </c>
      <c r="Q109" s="444">
        <v>513</v>
      </c>
    </row>
    <row r="110" spans="1:17" x14ac:dyDescent="0.25">
      <c r="A110" s="513">
        <v>5511</v>
      </c>
      <c r="B110" s="527" t="s">
        <v>776</v>
      </c>
      <c r="C110" s="454"/>
      <c r="D110" s="441">
        <v>0</v>
      </c>
      <c r="E110" s="441">
        <v>0</v>
      </c>
      <c r="F110" s="441">
        <v>0</v>
      </c>
      <c r="G110" s="441">
        <v>0</v>
      </c>
      <c r="H110" s="441">
        <v>1218</v>
      </c>
      <c r="I110" s="441">
        <v>0</v>
      </c>
      <c r="J110" s="441">
        <v>1218</v>
      </c>
      <c r="K110" s="443">
        <v>0</v>
      </c>
      <c r="L110" s="443">
        <v>0</v>
      </c>
      <c r="M110" s="443">
        <v>0</v>
      </c>
      <c r="N110" s="443">
        <v>0</v>
      </c>
      <c r="O110" s="443">
        <v>0</v>
      </c>
      <c r="P110" s="443">
        <v>0</v>
      </c>
      <c r="Q110" s="444">
        <v>0</v>
      </c>
    </row>
    <row r="111" spans="1:17" x14ac:dyDescent="0.25">
      <c r="A111" s="513">
        <v>5512</v>
      </c>
      <c r="B111" s="527" t="s">
        <v>777</v>
      </c>
      <c r="C111" s="454"/>
      <c r="D111" s="441">
        <v>0</v>
      </c>
      <c r="E111" s="441">
        <v>0</v>
      </c>
      <c r="F111" s="441">
        <v>0</v>
      </c>
      <c r="G111" s="441">
        <v>0</v>
      </c>
      <c r="H111" s="441">
        <v>0</v>
      </c>
      <c r="I111" s="441">
        <v>0</v>
      </c>
      <c r="J111" s="441">
        <v>0</v>
      </c>
      <c r="K111" s="443">
        <v>0</v>
      </c>
      <c r="L111" s="443">
        <v>0</v>
      </c>
      <c r="M111" s="443">
        <v>0</v>
      </c>
      <c r="N111" s="443">
        <v>0</v>
      </c>
      <c r="O111" s="443">
        <v>0</v>
      </c>
      <c r="P111" s="443">
        <v>0</v>
      </c>
      <c r="Q111" s="444">
        <v>0</v>
      </c>
    </row>
    <row r="112" spans="1:17" x14ac:dyDescent="0.25">
      <c r="A112" s="513">
        <v>5513</v>
      </c>
      <c r="B112" s="527" t="s">
        <v>673</v>
      </c>
      <c r="C112" s="454"/>
      <c r="D112" s="441">
        <v>0</v>
      </c>
      <c r="E112" s="441">
        <v>0</v>
      </c>
      <c r="F112" s="441">
        <v>0</v>
      </c>
      <c r="G112" s="441">
        <v>0</v>
      </c>
      <c r="H112" s="441">
        <v>360</v>
      </c>
      <c r="I112" s="441">
        <v>0</v>
      </c>
      <c r="J112" s="441">
        <v>360</v>
      </c>
      <c r="K112" s="443">
        <v>0</v>
      </c>
      <c r="L112" s="443">
        <v>0</v>
      </c>
      <c r="M112" s="443">
        <v>0</v>
      </c>
      <c r="N112" s="443">
        <v>0</v>
      </c>
      <c r="O112" s="443">
        <v>0</v>
      </c>
      <c r="P112" s="443">
        <v>0</v>
      </c>
      <c r="Q112" s="444">
        <v>0</v>
      </c>
    </row>
    <row r="113" spans="1:18" x14ac:dyDescent="0.25">
      <c r="A113" s="513">
        <v>5514</v>
      </c>
      <c r="B113" s="527" t="s">
        <v>778</v>
      </c>
      <c r="C113" s="454"/>
      <c r="D113" s="441">
        <v>0</v>
      </c>
      <c r="E113" s="441">
        <v>0</v>
      </c>
      <c r="F113" s="441">
        <v>0</v>
      </c>
      <c r="G113" s="441">
        <v>0</v>
      </c>
      <c r="H113" s="441">
        <v>0</v>
      </c>
      <c r="I113" s="441">
        <v>0</v>
      </c>
      <c r="J113" s="441">
        <v>0</v>
      </c>
      <c r="K113" s="443">
        <v>0</v>
      </c>
      <c r="L113" s="443">
        <v>0</v>
      </c>
      <c r="M113" s="443">
        <v>0</v>
      </c>
      <c r="N113" s="443">
        <v>0</v>
      </c>
      <c r="O113" s="443">
        <v>0</v>
      </c>
      <c r="P113" s="443">
        <v>0</v>
      </c>
      <c r="Q113" s="444">
        <v>0</v>
      </c>
    </row>
    <row r="114" spans="1:18" x14ac:dyDescent="0.25">
      <c r="A114" s="513">
        <v>5515</v>
      </c>
      <c r="B114" s="527" t="s">
        <v>779</v>
      </c>
      <c r="C114" s="454"/>
      <c r="D114" s="441">
        <v>0</v>
      </c>
      <c r="E114" s="441">
        <v>0</v>
      </c>
      <c r="F114" s="441">
        <v>0</v>
      </c>
      <c r="G114" s="441">
        <v>0</v>
      </c>
      <c r="H114" s="441">
        <v>50</v>
      </c>
      <c r="I114" s="441">
        <v>0</v>
      </c>
      <c r="J114" s="441">
        <v>50</v>
      </c>
      <c r="K114" s="443">
        <v>0</v>
      </c>
      <c r="L114" s="443">
        <v>0</v>
      </c>
      <c r="M114" s="443">
        <v>0</v>
      </c>
      <c r="N114" s="443">
        <v>60</v>
      </c>
      <c r="O114" s="443">
        <v>60</v>
      </c>
      <c r="P114" s="443">
        <v>0</v>
      </c>
      <c r="Q114" s="444">
        <v>60</v>
      </c>
    </row>
    <row r="115" spans="1:18" x14ac:dyDescent="0.25">
      <c r="A115" s="513">
        <v>5516</v>
      </c>
      <c r="B115" s="527" t="s">
        <v>780</v>
      </c>
      <c r="C115" s="454"/>
      <c r="D115" s="441">
        <v>0</v>
      </c>
      <c r="E115" s="441">
        <v>0</v>
      </c>
      <c r="F115" s="441">
        <v>0</v>
      </c>
      <c r="G115" s="441">
        <v>0</v>
      </c>
      <c r="H115" s="441">
        <v>0</v>
      </c>
      <c r="I115" s="441">
        <v>0</v>
      </c>
      <c r="J115" s="441">
        <v>0</v>
      </c>
      <c r="K115" s="443">
        <v>0</v>
      </c>
      <c r="L115" s="443">
        <v>0</v>
      </c>
      <c r="M115" s="443">
        <v>0</v>
      </c>
      <c r="N115" s="443">
        <v>0</v>
      </c>
      <c r="O115" s="443">
        <v>0</v>
      </c>
      <c r="P115" s="443">
        <v>0</v>
      </c>
      <c r="Q115" s="444">
        <v>0</v>
      </c>
    </row>
    <row r="116" spans="1:18" x14ac:dyDescent="0.25">
      <c r="A116" s="513">
        <v>5517</v>
      </c>
      <c r="B116" s="527" t="s">
        <v>781</v>
      </c>
      <c r="C116" s="454"/>
      <c r="D116" s="441">
        <v>0</v>
      </c>
      <c r="E116" s="441">
        <v>0</v>
      </c>
      <c r="F116" s="441">
        <v>0</v>
      </c>
      <c r="G116" s="441">
        <v>0</v>
      </c>
      <c r="H116" s="441">
        <v>200.53200000000001</v>
      </c>
      <c r="I116" s="441">
        <v>0</v>
      </c>
      <c r="J116" s="441">
        <v>200.53200000000001</v>
      </c>
      <c r="K116" s="443">
        <v>0</v>
      </c>
      <c r="L116" s="443">
        <v>0</v>
      </c>
      <c r="M116" s="443">
        <v>0</v>
      </c>
      <c r="N116" s="443">
        <v>201</v>
      </c>
      <c r="O116" s="443">
        <v>201</v>
      </c>
      <c r="P116" s="443">
        <v>0</v>
      </c>
      <c r="Q116" s="444">
        <v>201</v>
      </c>
    </row>
    <row r="117" spans="1:18" x14ac:dyDescent="0.25">
      <c r="A117" s="513">
        <v>5518</v>
      </c>
      <c r="B117" s="527" t="s">
        <v>782</v>
      </c>
      <c r="C117" s="454"/>
      <c r="D117" s="441">
        <v>0</v>
      </c>
      <c r="E117" s="441">
        <v>0</v>
      </c>
      <c r="F117" s="441">
        <v>0</v>
      </c>
      <c r="G117" s="441">
        <v>0</v>
      </c>
      <c r="H117" s="441">
        <v>0</v>
      </c>
      <c r="I117" s="441">
        <v>0</v>
      </c>
      <c r="J117" s="441">
        <v>0</v>
      </c>
      <c r="K117" s="443">
        <v>0</v>
      </c>
      <c r="L117" s="443">
        <v>0</v>
      </c>
      <c r="M117" s="443">
        <v>0</v>
      </c>
      <c r="N117" s="443">
        <v>0</v>
      </c>
      <c r="O117" s="443">
        <v>0</v>
      </c>
      <c r="P117" s="443">
        <v>0</v>
      </c>
      <c r="Q117" s="444">
        <v>0</v>
      </c>
    </row>
    <row r="118" spans="1:18" x14ac:dyDescent="0.25">
      <c r="A118" s="513">
        <v>5519</v>
      </c>
      <c r="B118" s="527" t="s">
        <v>461</v>
      </c>
      <c r="C118" s="454"/>
      <c r="D118" s="441">
        <v>0</v>
      </c>
      <c r="E118" s="441">
        <v>0</v>
      </c>
      <c r="F118" s="441">
        <v>0</v>
      </c>
      <c r="G118" s="441">
        <v>0</v>
      </c>
      <c r="H118" s="441">
        <v>133</v>
      </c>
      <c r="I118" s="441">
        <v>0</v>
      </c>
      <c r="J118" s="441">
        <v>133</v>
      </c>
      <c r="K118" s="443">
        <v>0</v>
      </c>
      <c r="L118" s="443">
        <v>0</v>
      </c>
      <c r="M118" s="443">
        <v>0</v>
      </c>
      <c r="N118" s="443">
        <v>0</v>
      </c>
      <c r="O118" s="443">
        <v>0</v>
      </c>
      <c r="P118" s="443">
        <v>0</v>
      </c>
      <c r="Q118" s="444">
        <v>0</v>
      </c>
    </row>
    <row r="119" spans="1:18" x14ac:dyDescent="0.25">
      <c r="A119" s="513">
        <v>5520</v>
      </c>
      <c r="B119" s="527" t="s">
        <v>783</v>
      </c>
      <c r="C119" s="454"/>
      <c r="D119" s="441">
        <v>0</v>
      </c>
      <c r="E119" s="441">
        <v>0</v>
      </c>
      <c r="F119" s="441">
        <v>0</v>
      </c>
      <c r="G119" s="441">
        <v>0</v>
      </c>
      <c r="H119" s="441">
        <v>287.35000000000002</v>
      </c>
      <c r="I119" s="441">
        <v>0</v>
      </c>
      <c r="J119" s="441">
        <v>287.35000000000002</v>
      </c>
      <c r="K119" s="443">
        <v>0</v>
      </c>
      <c r="L119" s="443">
        <v>0</v>
      </c>
      <c r="M119" s="443">
        <v>0</v>
      </c>
      <c r="N119" s="443">
        <v>182</v>
      </c>
      <c r="O119" s="443">
        <v>182</v>
      </c>
      <c r="P119" s="443">
        <v>0</v>
      </c>
      <c r="Q119" s="444">
        <v>182</v>
      </c>
    </row>
    <row r="120" spans="1:18" x14ac:dyDescent="0.25">
      <c r="A120" s="513">
        <v>5521</v>
      </c>
      <c r="B120" s="527" t="s">
        <v>675</v>
      </c>
      <c r="C120" s="454"/>
      <c r="D120" s="441">
        <v>0</v>
      </c>
      <c r="E120" s="441">
        <v>0</v>
      </c>
      <c r="F120" s="441">
        <v>0</v>
      </c>
      <c r="G120" s="441">
        <v>0</v>
      </c>
      <c r="H120" s="441">
        <v>288.72399999999999</v>
      </c>
      <c r="I120" s="441">
        <v>0</v>
      </c>
      <c r="J120" s="441">
        <v>288.72399999999999</v>
      </c>
      <c r="K120" s="443">
        <v>0</v>
      </c>
      <c r="L120" s="443">
        <v>0</v>
      </c>
      <c r="M120" s="443">
        <v>0</v>
      </c>
      <c r="N120" s="443">
        <v>0</v>
      </c>
      <c r="O120" s="443">
        <v>0</v>
      </c>
      <c r="P120" s="443">
        <v>289</v>
      </c>
      <c r="Q120" s="444">
        <v>289</v>
      </c>
    </row>
    <row r="121" spans="1:18" x14ac:dyDescent="0.25">
      <c r="A121" s="513">
        <v>5522</v>
      </c>
      <c r="B121" s="527" t="s">
        <v>674</v>
      </c>
      <c r="C121" s="454"/>
      <c r="D121" s="441">
        <v>0</v>
      </c>
      <c r="E121" s="441">
        <v>0</v>
      </c>
      <c r="F121" s="441">
        <v>0</v>
      </c>
      <c r="G121" s="441">
        <v>0</v>
      </c>
      <c r="H121" s="441">
        <v>0</v>
      </c>
      <c r="I121" s="441">
        <v>0</v>
      </c>
      <c r="J121" s="441">
        <v>0</v>
      </c>
      <c r="K121" s="443">
        <v>0</v>
      </c>
      <c r="L121" s="443">
        <v>0</v>
      </c>
      <c r="M121" s="443">
        <v>0</v>
      </c>
      <c r="N121" s="443">
        <v>0</v>
      </c>
      <c r="O121" s="443">
        <v>0</v>
      </c>
      <c r="P121" s="443">
        <v>0</v>
      </c>
      <c r="Q121" s="444">
        <v>0</v>
      </c>
    </row>
    <row r="122" spans="1:18" ht="25.5" x14ac:dyDescent="0.25">
      <c r="A122" s="513">
        <v>56</v>
      </c>
      <c r="B122" s="514" t="s">
        <v>784</v>
      </c>
      <c r="C122" s="454">
        <v>0</v>
      </c>
      <c r="D122" s="441">
        <v>0</v>
      </c>
      <c r="E122" s="441">
        <v>0</v>
      </c>
      <c r="F122" s="441">
        <v>0</v>
      </c>
      <c r="G122" s="441">
        <v>0</v>
      </c>
      <c r="H122" s="441">
        <v>214290.91700000002</v>
      </c>
      <c r="I122" s="441">
        <v>300</v>
      </c>
      <c r="J122" s="441">
        <v>214590.91700000002</v>
      </c>
      <c r="K122" s="443">
        <v>0</v>
      </c>
      <c r="L122" s="443">
        <v>0</v>
      </c>
      <c r="M122" s="443">
        <v>0</v>
      </c>
      <c r="N122" s="443">
        <v>5884</v>
      </c>
      <c r="O122" s="443">
        <v>5884</v>
      </c>
      <c r="P122" s="443">
        <v>13543</v>
      </c>
      <c r="Q122" s="444">
        <v>19427</v>
      </c>
    </row>
    <row r="123" spans="1:18" x14ac:dyDescent="0.25">
      <c r="A123" s="513">
        <v>57</v>
      </c>
      <c r="B123" s="514" t="s">
        <v>785</v>
      </c>
      <c r="C123" s="454"/>
      <c r="D123" s="441">
        <v>0</v>
      </c>
      <c r="E123" s="441">
        <v>0</v>
      </c>
      <c r="F123" s="441">
        <v>0</v>
      </c>
      <c r="G123" s="441">
        <v>0</v>
      </c>
      <c r="H123" s="441">
        <v>0</v>
      </c>
      <c r="I123" s="441">
        <v>0</v>
      </c>
      <c r="J123" s="441">
        <v>0</v>
      </c>
      <c r="K123" s="443">
        <v>0</v>
      </c>
      <c r="L123" s="443">
        <v>0</v>
      </c>
      <c r="M123" s="443">
        <v>0</v>
      </c>
      <c r="N123" s="443">
        <v>0</v>
      </c>
      <c r="O123" s="443">
        <f>1351+2668</f>
        <v>4019</v>
      </c>
      <c r="P123" s="443">
        <v>0</v>
      </c>
      <c r="Q123" s="444">
        <f>1351+2668</f>
        <v>4019</v>
      </c>
    </row>
    <row r="124" spans="1:18" x14ac:dyDescent="0.25">
      <c r="A124" s="513">
        <v>58</v>
      </c>
      <c r="B124" s="514" t="s">
        <v>786</v>
      </c>
      <c r="C124" s="454"/>
      <c r="D124" s="441">
        <v>313</v>
      </c>
      <c r="E124" s="441">
        <v>0</v>
      </c>
      <c r="F124" s="441">
        <v>0</v>
      </c>
      <c r="G124" s="441">
        <v>0</v>
      </c>
      <c r="H124" s="441">
        <v>-111</v>
      </c>
      <c r="I124" s="441">
        <v>0</v>
      </c>
      <c r="J124" s="441">
        <v>202</v>
      </c>
      <c r="K124" s="443">
        <v>0</v>
      </c>
      <c r="L124" s="443">
        <v>0</v>
      </c>
      <c r="M124" s="443">
        <v>0</v>
      </c>
      <c r="N124" s="443">
        <v>0</v>
      </c>
      <c r="O124" s="443">
        <v>0</v>
      </c>
      <c r="P124" s="443">
        <v>0</v>
      </c>
      <c r="Q124" s="444">
        <v>0</v>
      </c>
    </row>
    <row r="125" spans="1:18" ht="30" x14ac:dyDescent="0.25">
      <c r="A125" s="455">
        <v>59</v>
      </c>
      <c r="B125" s="456" t="s">
        <v>787</v>
      </c>
      <c r="C125" s="515">
        <v>0</v>
      </c>
      <c r="D125" s="515">
        <v>313</v>
      </c>
      <c r="E125" s="515">
        <v>0</v>
      </c>
      <c r="F125" s="515">
        <v>0</v>
      </c>
      <c r="G125" s="515">
        <v>0</v>
      </c>
      <c r="H125" s="515">
        <v>214179.91700000002</v>
      </c>
      <c r="I125" s="515">
        <v>300</v>
      </c>
      <c r="J125" s="515">
        <v>214792.91700000002</v>
      </c>
      <c r="K125" s="515">
        <v>0</v>
      </c>
      <c r="L125" s="515">
        <v>0</v>
      </c>
      <c r="M125" s="515">
        <v>0</v>
      </c>
      <c r="N125" s="515">
        <v>5884</v>
      </c>
      <c r="O125" s="515">
        <f>5884+4019</f>
        <v>9903</v>
      </c>
      <c r="P125" s="515">
        <v>13543</v>
      </c>
      <c r="Q125" s="515">
        <f>19427+4019</f>
        <v>23446</v>
      </c>
      <c r="R125" s="496"/>
    </row>
    <row r="126" spans="1:18" x14ac:dyDescent="0.25">
      <c r="A126" s="455">
        <v>60</v>
      </c>
      <c r="B126" s="456" t="s">
        <v>788</v>
      </c>
      <c r="C126" s="515"/>
      <c r="D126" s="515">
        <v>0</v>
      </c>
      <c r="E126" s="515">
        <v>0</v>
      </c>
      <c r="F126" s="515">
        <v>0</v>
      </c>
      <c r="G126" s="515">
        <v>0</v>
      </c>
      <c r="H126" s="515">
        <v>0</v>
      </c>
      <c r="I126" s="515">
        <v>0</v>
      </c>
      <c r="J126" s="515">
        <v>0</v>
      </c>
      <c r="K126" s="515">
        <v>0</v>
      </c>
      <c r="L126" s="515">
        <v>0</v>
      </c>
      <c r="M126" s="515">
        <v>0</v>
      </c>
      <c r="N126" s="515">
        <v>0</v>
      </c>
      <c r="O126" s="515">
        <v>0</v>
      </c>
      <c r="P126" s="515">
        <v>0</v>
      </c>
      <c r="Q126" s="515">
        <v>0</v>
      </c>
    </row>
    <row r="127" spans="1:18" x14ac:dyDescent="0.25">
      <c r="A127" s="455">
        <v>61</v>
      </c>
      <c r="B127" s="456" t="s">
        <v>789</v>
      </c>
      <c r="C127" s="515">
        <v>0</v>
      </c>
      <c r="D127" s="515">
        <v>84495.775000000009</v>
      </c>
      <c r="E127" s="515">
        <v>22752.658000000003</v>
      </c>
      <c r="F127" s="515">
        <v>16580.095999999998</v>
      </c>
      <c r="G127" s="515">
        <v>4763.2980000000007</v>
      </c>
      <c r="H127" s="515">
        <v>378336.49300000002</v>
      </c>
      <c r="I127" s="515">
        <v>65667.757999999987</v>
      </c>
      <c r="J127" s="515">
        <v>572596.07799999998</v>
      </c>
      <c r="K127" s="515">
        <v>70679.687616191994</v>
      </c>
      <c r="L127" s="515">
        <v>12934.713988976378</v>
      </c>
      <c r="M127" s="515">
        <v>7948.7669249999999</v>
      </c>
      <c r="N127" s="515">
        <v>74300.264901820468</v>
      </c>
      <c r="O127" s="515">
        <v>87234.978890796847</v>
      </c>
      <c r="P127" s="515">
        <v>75810.091716930008</v>
      </c>
      <c r="Q127" s="515">
        <v>241673.52514891891</v>
      </c>
    </row>
    <row r="128" spans="1:18" x14ac:dyDescent="0.25">
      <c r="A128" s="513">
        <v>62</v>
      </c>
      <c r="B128" s="514" t="s">
        <v>790</v>
      </c>
      <c r="C128" s="454"/>
      <c r="D128" s="441">
        <v>0</v>
      </c>
      <c r="E128" s="441">
        <v>0</v>
      </c>
      <c r="F128" s="441">
        <v>0</v>
      </c>
      <c r="G128" s="441">
        <v>0</v>
      </c>
      <c r="H128" s="441">
        <v>830.56399999999996</v>
      </c>
      <c r="I128" s="441">
        <v>0</v>
      </c>
      <c r="J128" s="441">
        <v>830.56399999999996</v>
      </c>
      <c r="K128" s="443">
        <v>0</v>
      </c>
      <c r="L128" s="443">
        <v>0</v>
      </c>
      <c r="M128" s="443">
        <v>0</v>
      </c>
      <c r="N128" s="443"/>
      <c r="O128" s="443"/>
      <c r="P128" s="443">
        <v>0</v>
      </c>
      <c r="Q128" s="444"/>
    </row>
    <row r="129" spans="1:18" x14ac:dyDescent="0.25">
      <c r="A129" s="513">
        <v>63</v>
      </c>
      <c r="B129" s="514" t="s">
        <v>791</v>
      </c>
      <c r="C129" s="454"/>
      <c r="D129" s="441">
        <v>0</v>
      </c>
      <c r="E129" s="441">
        <v>0</v>
      </c>
      <c r="F129" s="441">
        <v>0</v>
      </c>
      <c r="G129" s="441">
        <v>0</v>
      </c>
      <c r="H129" s="441">
        <v>184143.348</v>
      </c>
      <c r="I129" s="441">
        <v>83.45</v>
      </c>
      <c r="J129" s="441">
        <v>184226.79800000001</v>
      </c>
      <c r="K129" s="443">
        <v>0</v>
      </c>
      <c r="L129" s="443">
        <v>0</v>
      </c>
      <c r="M129" s="443">
        <v>0</v>
      </c>
      <c r="N129" s="443">
        <v>27105</v>
      </c>
      <c r="O129" s="443">
        <f>24275.79+4180-1351</f>
        <v>27104.79</v>
      </c>
      <c r="P129" s="443">
        <v>0</v>
      </c>
      <c r="Q129" s="444">
        <v>27104</v>
      </c>
    </row>
    <row r="130" spans="1:18" ht="25.5" x14ac:dyDescent="0.25">
      <c r="A130" s="513">
        <v>64</v>
      </c>
      <c r="B130" s="514" t="s">
        <v>792</v>
      </c>
      <c r="C130" s="454"/>
      <c r="D130" s="441">
        <v>0</v>
      </c>
      <c r="E130" s="441">
        <v>0</v>
      </c>
      <c r="F130" s="441">
        <v>0</v>
      </c>
      <c r="G130" s="441">
        <v>0</v>
      </c>
      <c r="H130" s="441">
        <v>0</v>
      </c>
      <c r="I130" s="441">
        <v>0</v>
      </c>
      <c r="J130" s="441">
        <v>0</v>
      </c>
      <c r="K130" s="443">
        <v>0</v>
      </c>
      <c r="L130" s="443">
        <v>0</v>
      </c>
      <c r="M130" s="443">
        <v>0</v>
      </c>
      <c r="N130" s="443">
        <v>0</v>
      </c>
      <c r="O130" s="443">
        <v>0</v>
      </c>
      <c r="P130" s="443">
        <v>0</v>
      </c>
      <c r="Q130" s="444">
        <v>0</v>
      </c>
    </row>
    <row r="131" spans="1:18" x14ac:dyDescent="0.25">
      <c r="A131" s="513">
        <v>65</v>
      </c>
      <c r="B131" s="514" t="s">
        <v>4</v>
      </c>
      <c r="C131" s="454"/>
      <c r="D131" s="441">
        <v>0</v>
      </c>
      <c r="E131" s="441">
        <v>0</v>
      </c>
      <c r="F131" s="441">
        <v>0</v>
      </c>
      <c r="G131" s="441">
        <v>0</v>
      </c>
      <c r="H131" s="441">
        <v>0</v>
      </c>
      <c r="I131" s="441">
        <v>0</v>
      </c>
      <c r="J131" s="441">
        <v>0</v>
      </c>
      <c r="K131" s="443">
        <v>0</v>
      </c>
      <c r="L131" s="443">
        <v>0</v>
      </c>
      <c r="M131" s="443">
        <v>0</v>
      </c>
      <c r="N131" s="443">
        <v>2668.348</v>
      </c>
      <c r="O131" s="443">
        <v>0</v>
      </c>
      <c r="P131" s="443">
        <v>0</v>
      </c>
      <c r="Q131" s="444">
        <v>0</v>
      </c>
    </row>
    <row r="132" spans="1:18" x14ac:dyDescent="0.25">
      <c r="A132" s="513">
        <v>66</v>
      </c>
      <c r="B132" s="514" t="s">
        <v>793</v>
      </c>
      <c r="C132" s="454"/>
      <c r="D132" s="441">
        <v>0</v>
      </c>
      <c r="E132" s="441">
        <v>0</v>
      </c>
      <c r="F132" s="441">
        <v>0</v>
      </c>
      <c r="G132" s="441">
        <v>0</v>
      </c>
      <c r="H132" s="441">
        <v>0</v>
      </c>
      <c r="I132" s="441">
        <v>0</v>
      </c>
      <c r="J132" s="441">
        <v>0</v>
      </c>
      <c r="K132" s="443">
        <v>0</v>
      </c>
      <c r="L132" s="443">
        <v>0</v>
      </c>
      <c r="M132" s="443">
        <v>0</v>
      </c>
      <c r="N132" s="443">
        <v>0</v>
      </c>
      <c r="O132" s="443">
        <v>0</v>
      </c>
      <c r="P132" s="443">
        <v>0</v>
      </c>
      <c r="Q132" s="444">
        <v>0</v>
      </c>
    </row>
    <row r="133" spans="1:18" ht="25.5" x14ac:dyDescent="0.25">
      <c r="A133" s="513">
        <v>67</v>
      </c>
      <c r="B133" s="514" t="s">
        <v>794</v>
      </c>
      <c r="C133" s="454"/>
      <c r="D133" s="441">
        <v>0</v>
      </c>
      <c r="E133" s="441">
        <v>0</v>
      </c>
      <c r="F133" s="441">
        <v>0</v>
      </c>
      <c r="G133" s="441">
        <v>0</v>
      </c>
      <c r="H133" s="441">
        <v>0</v>
      </c>
      <c r="I133" s="441">
        <v>0</v>
      </c>
      <c r="J133" s="441">
        <v>0</v>
      </c>
      <c r="K133" s="443">
        <v>0</v>
      </c>
      <c r="L133" s="443">
        <v>0</v>
      </c>
      <c r="M133" s="443">
        <v>0</v>
      </c>
      <c r="N133" s="443">
        <v>0</v>
      </c>
      <c r="O133" s="443">
        <v>0</v>
      </c>
      <c r="P133" s="443">
        <v>0</v>
      </c>
      <c r="Q133" s="444">
        <v>0</v>
      </c>
    </row>
    <row r="134" spans="1:18" ht="25.5" x14ac:dyDescent="0.25">
      <c r="A134" s="513">
        <v>68</v>
      </c>
      <c r="B134" s="514" t="s">
        <v>795</v>
      </c>
      <c r="C134" s="454"/>
      <c r="D134" s="441">
        <v>0</v>
      </c>
      <c r="E134" s="441">
        <v>0</v>
      </c>
      <c r="F134" s="441">
        <v>0</v>
      </c>
      <c r="G134" s="441">
        <v>0</v>
      </c>
      <c r="H134" s="441">
        <v>0</v>
      </c>
      <c r="I134" s="441">
        <v>0</v>
      </c>
      <c r="J134" s="441">
        <v>0</v>
      </c>
      <c r="K134" s="443">
        <v>0</v>
      </c>
      <c r="L134" s="443">
        <v>0</v>
      </c>
      <c r="M134" s="443">
        <v>0</v>
      </c>
      <c r="N134" s="443">
        <v>0</v>
      </c>
      <c r="O134" s="443">
        <v>0</v>
      </c>
      <c r="P134" s="443">
        <v>0</v>
      </c>
      <c r="Q134" s="444">
        <v>0</v>
      </c>
      <c r="R134" s="496"/>
    </row>
    <row r="135" spans="1:18" s="496" customFormat="1" x14ac:dyDescent="0.25">
      <c r="A135" s="513">
        <v>69</v>
      </c>
      <c r="B135" s="514" t="s">
        <v>796</v>
      </c>
      <c r="C135" s="454"/>
      <c r="D135" s="441">
        <v>0</v>
      </c>
      <c r="E135" s="441">
        <v>0</v>
      </c>
      <c r="F135" s="441">
        <v>0</v>
      </c>
      <c r="G135" s="441">
        <v>0</v>
      </c>
      <c r="H135" s="441">
        <v>0</v>
      </c>
      <c r="I135" s="441">
        <v>0</v>
      </c>
      <c r="J135" s="441">
        <v>0</v>
      </c>
      <c r="K135" s="443">
        <v>0</v>
      </c>
      <c r="L135" s="443">
        <v>0</v>
      </c>
      <c r="M135" s="443">
        <v>0</v>
      </c>
      <c r="N135" s="443">
        <v>0</v>
      </c>
      <c r="O135" s="443">
        <v>0</v>
      </c>
      <c r="P135" s="443">
        <v>0</v>
      </c>
      <c r="Q135" s="444">
        <v>0</v>
      </c>
    </row>
    <row r="136" spans="1:18" x14ac:dyDescent="0.25">
      <c r="A136" s="455">
        <v>70</v>
      </c>
      <c r="B136" s="456" t="s">
        <v>797</v>
      </c>
      <c r="C136" s="515">
        <v>0</v>
      </c>
      <c r="D136" s="515">
        <v>0</v>
      </c>
      <c r="E136" s="515">
        <v>0</v>
      </c>
      <c r="F136" s="515">
        <v>0</v>
      </c>
      <c r="G136" s="515">
        <v>0</v>
      </c>
      <c r="H136" s="515">
        <v>184973.91200000001</v>
      </c>
      <c r="I136" s="515">
        <v>83.45</v>
      </c>
      <c r="J136" s="515">
        <v>185057.36200000002</v>
      </c>
      <c r="K136" s="515">
        <v>0</v>
      </c>
      <c r="L136" s="515">
        <v>0</v>
      </c>
      <c r="M136" s="515">
        <v>0</v>
      </c>
      <c r="N136" s="515">
        <v>31124.137999999999</v>
      </c>
      <c r="O136" s="515">
        <f>SUM(O129:O135)</f>
        <v>27104.79</v>
      </c>
      <c r="P136" s="515">
        <v>0</v>
      </c>
      <c r="Q136" s="515">
        <v>27105</v>
      </c>
      <c r="R136" s="496"/>
    </row>
    <row r="137" spans="1:18" s="496" customFormat="1" x14ac:dyDescent="0.25">
      <c r="A137" s="513">
        <v>71</v>
      </c>
      <c r="B137" s="514" t="s">
        <v>798</v>
      </c>
      <c r="C137" s="454"/>
      <c r="D137" s="441">
        <v>0</v>
      </c>
      <c r="E137" s="441">
        <v>0</v>
      </c>
      <c r="F137" s="441">
        <v>0</v>
      </c>
      <c r="G137" s="441">
        <v>0</v>
      </c>
      <c r="H137" s="441">
        <v>0</v>
      </c>
      <c r="I137" s="441">
        <v>0</v>
      </c>
      <c r="J137" s="441">
        <v>0</v>
      </c>
      <c r="K137" s="443">
        <v>0</v>
      </c>
      <c r="L137" s="443">
        <v>0</v>
      </c>
      <c r="M137" s="443">
        <v>0</v>
      </c>
      <c r="N137" s="443">
        <v>0</v>
      </c>
      <c r="O137" s="443">
        <v>0</v>
      </c>
      <c r="P137" s="443">
        <v>0</v>
      </c>
      <c r="Q137" s="444">
        <v>0</v>
      </c>
      <c r="R137" s="485"/>
    </row>
    <row r="138" spans="1:18" x14ac:dyDescent="0.25">
      <c r="A138" s="455">
        <v>72</v>
      </c>
      <c r="B138" s="456" t="s">
        <v>799</v>
      </c>
      <c r="C138" s="515">
        <v>0</v>
      </c>
      <c r="D138" s="515">
        <v>84495.775000000009</v>
      </c>
      <c r="E138" s="515">
        <v>22752.658000000003</v>
      </c>
      <c r="F138" s="515">
        <v>16580.095999999998</v>
      </c>
      <c r="G138" s="515">
        <v>4763.2980000000007</v>
      </c>
      <c r="H138" s="515">
        <v>563310.40500000003</v>
      </c>
      <c r="I138" s="515">
        <v>65751.207999999984</v>
      </c>
      <c r="J138" s="515">
        <v>757653.44000000006</v>
      </c>
      <c r="K138" s="515">
        <v>70679.687616191994</v>
      </c>
      <c r="L138" s="515">
        <v>12934.713988976378</v>
      </c>
      <c r="M138" s="515">
        <v>7948.7669249999999</v>
      </c>
      <c r="N138" s="515">
        <v>105424.40290182046</v>
      </c>
      <c r="O138" s="515">
        <v>118359.11689079684</v>
      </c>
      <c r="P138" s="515">
        <v>75810.091716930008</v>
      </c>
      <c r="Q138" s="515">
        <v>272797.66314891889</v>
      </c>
    </row>
    <row r="139" spans="1:18" x14ac:dyDescent="0.25">
      <c r="A139" s="513">
        <v>73</v>
      </c>
      <c r="B139" s="514" t="s">
        <v>800</v>
      </c>
      <c r="C139" s="454"/>
      <c r="D139" s="441">
        <v>0</v>
      </c>
      <c r="E139" s="441">
        <v>0</v>
      </c>
      <c r="F139" s="441">
        <v>0</v>
      </c>
      <c r="G139" s="441">
        <v>0</v>
      </c>
      <c r="H139" s="441">
        <v>0</v>
      </c>
      <c r="I139" s="441">
        <v>0</v>
      </c>
      <c r="J139" s="441">
        <v>0</v>
      </c>
      <c r="K139" s="443">
        <v>0</v>
      </c>
      <c r="L139" s="443">
        <v>0</v>
      </c>
      <c r="M139" s="443">
        <v>0</v>
      </c>
      <c r="N139" s="443">
        <v>0</v>
      </c>
      <c r="O139" s="443">
        <v>0</v>
      </c>
      <c r="P139" s="443">
        <v>0</v>
      </c>
      <c r="Q139" s="444">
        <v>0</v>
      </c>
    </row>
    <row r="140" spans="1:18" x14ac:dyDescent="0.25">
      <c r="A140" s="513">
        <v>74</v>
      </c>
      <c r="B140" s="514" t="s">
        <v>801</v>
      </c>
      <c r="C140" s="454"/>
      <c r="D140" s="441">
        <v>0</v>
      </c>
      <c r="E140" s="441">
        <v>0</v>
      </c>
      <c r="F140" s="441">
        <v>0</v>
      </c>
      <c r="G140" s="441">
        <v>0</v>
      </c>
      <c r="H140" s="441">
        <v>109862.193</v>
      </c>
      <c r="I140" s="441">
        <v>0</v>
      </c>
      <c r="J140" s="441">
        <v>109862.193</v>
      </c>
      <c r="K140" s="443">
        <v>0</v>
      </c>
      <c r="L140" s="443">
        <v>0</v>
      </c>
      <c r="M140" s="443">
        <v>0</v>
      </c>
      <c r="N140" s="443">
        <v>0</v>
      </c>
      <c r="O140" s="443">
        <v>0</v>
      </c>
      <c r="P140" s="443">
        <v>0</v>
      </c>
      <c r="Q140" s="444">
        <v>0</v>
      </c>
    </row>
    <row r="141" spans="1:18" x14ac:dyDescent="0.25">
      <c r="A141" s="513">
        <v>75</v>
      </c>
      <c r="B141" s="526" t="s">
        <v>802</v>
      </c>
      <c r="C141" s="454"/>
      <c r="D141" s="441">
        <v>0</v>
      </c>
      <c r="E141" s="441">
        <v>0</v>
      </c>
      <c r="F141" s="441">
        <v>0</v>
      </c>
      <c r="G141" s="441">
        <v>0</v>
      </c>
      <c r="H141" s="441">
        <v>125604.49400000001</v>
      </c>
      <c r="I141" s="441">
        <v>0</v>
      </c>
      <c r="J141" s="441">
        <v>125604.49400000001</v>
      </c>
      <c r="K141" s="443">
        <v>0</v>
      </c>
      <c r="L141" s="443">
        <v>0</v>
      </c>
      <c r="M141" s="443">
        <v>0</v>
      </c>
      <c r="N141" s="443">
        <v>0</v>
      </c>
      <c r="O141" s="443">
        <v>0</v>
      </c>
      <c r="P141" s="443">
        <v>0</v>
      </c>
      <c r="Q141" s="444">
        <v>0</v>
      </c>
    </row>
    <row r="142" spans="1:18" x14ac:dyDescent="0.25">
      <c r="A142" s="513">
        <v>76</v>
      </c>
      <c r="B142" s="514" t="s">
        <v>803</v>
      </c>
      <c r="C142" s="454"/>
      <c r="D142" s="441">
        <v>0</v>
      </c>
      <c r="E142" s="441">
        <v>0</v>
      </c>
      <c r="F142" s="441">
        <v>0</v>
      </c>
      <c r="G142" s="441">
        <v>0</v>
      </c>
      <c r="H142" s="441">
        <v>0</v>
      </c>
      <c r="I142" s="441">
        <v>0</v>
      </c>
      <c r="J142" s="441">
        <v>0</v>
      </c>
      <c r="K142" s="443">
        <v>0</v>
      </c>
      <c r="L142" s="443">
        <v>0</v>
      </c>
      <c r="M142" s="443">
        <v>0</v>
      </c>
      <c r="N142" s="443">
        <v>0</v>
      </c>
      <c r="O142" s="443">
        <v>0</v>
      </c>
      <c r="P142" s="443">
        <v>0</v>
      </c>
      <c r="Q142" s="444">
        <v>0</v>
      </c>
    </row>
    <row r="143" spans="1:18" x14ac:dyDescent="0.25">
      <c r="A143" s="513">
        <v>77</v>
      </c>
      <c r="B143" s="514" t="s">
        <v>804</v>
      </c>
      <c r="C143" s="454"/>
      <c r="D143" s="441">
        <v>0</v>
      </c>
      <c r="E143" s="441">
        <v>0</v>
      </c>
      <c r="F143" s="441">
        <v>0</v>
      </c>
      <c r="G143" s="441">
        <v>0</v>
      </c>
      <c r="H143" s="441">
        <v>0</v>
      </c>
      <c r="I143" s="441">
        <v>0</v>
      </c>
      <c r="J143" s="441">
        <v>0</v>
      </c>
      <c r="K143" s="443">
        <v>0</v>
      </c>
      <c r="L143" s="443">
        <v>0</v>
      </c>
      <c r="M143" s="443">
        <v>0</v>
      </c>
      <c r="N143" s="443">
        <v>0</v>
      </c>
      <c r="O143" s="443">
        <v>0</v>
      </c>
      <c r="P143" s="443">
        <v>0</v>
      </c>
      <c r="Q143" s="444">
        <v>0</v>
      </c>
    </row>
    <row r="144" spans="1:18" x14ac:dyDescent="0.25">
      <c r="A144" s="513">
        <v>78</v>
      </c>
      <c r="B144" s="514" t="s">
        <v>805</v>
      </c>
      <c r="C144" s="454"/>
      <c r="D144" s="441">
        <v>0</v>
      </c>
      <c r="E144" s="441">
        <v>0</v>
      </c>
      <c r="F144" s="441">
        <v>0</v>
      </c>
      <c r="G144" s="441">
        <v>0</v>
      </c>
      <c r="H144" s="441">
        <v>0</v>
      </c>
      <c r="I144" s="441">
        <v>0</v>
      </c>
      <c r="J144" s="441">
        <v>0</v>
      </c>
      <c r="K144" s="443">
        <v>0</v>
      </c>
      <c r="L144" s="443">
        <v>0</v>
      </c>
      <c r="M144" s="443">
        <v>0</v>
      </c>
      <c r="N144" s="443">
        <v>0</v>
      </c>
      <c r="O144" s="443">
        <v>0</v>
      </c>
      <c r="P144" s="443">
        <v>0</v>
      </c>
      <c r="Q144" s="444">
        <v>0</v>
      </c>
    </row>
    <row r="145" spans="1:18" x14ac:dyDescent="0.25">
      <c r="A145" s="513">
        <v>79</v>
      </c>
      <c r="B145" s="514" t="s">
        <v>806</v>
      </c>
      <c r="C145" s="454"/>
      <c r="D145" s="441">
        <v>0</v>
      </c>
      <c r="E145" s="441">
        <v>0</v>
      </c>
      <c r="F145" s="441">
        <v>0</v>
      </c>
      <c r="G145" s="441">
        <v>0</v>
      </c>
      <c r="H145" s="441">
        <v>0</v>
      </c>
      <c r="I145" s="441">
        <v>0</v>
      </c>
      <c r="J145" s="441">
        <v>0</v>
      </c>
      <c r="K145" s="443">
        <v>0</v>
      </c>
      <c r="L145" s="443">
        <v>0</v>
      </c>
      <c r="M145" s="443">
        <v>0</v>
      </c>
      <c r="N145" s="443">
        <v>0</v>
      </c>
      <c r="O145" s="443">
        <v>0</v>
      </c>
      <c r="P145" s="443">
        <v>0</v>
      </c>
      <c r="Q145" s="444">
        <v>0</v>
      </c>
    </row>
    <row r="146" spans="1:18" x14ac:dyDescent="0.25">
      <c r="A146" s="513">
        <v>80</v>
      </c>
      <c r="B146" s="514" t="s">
        <v>807</v>
      </c>
      <c r="C146" s="454"/>
      <c r="D146" s="441">
        <v>0</v>
      </c>
      <c r="E146" s="441">
        <v>0</v>
      </c>
      <c r="F146" s="441">
        <v>0</v>
      </c>
      <c r="G146" s="441">
        <v>0</v>
      </c>
      <c r="H146" s="441">
        <v>0</v>
      </c>
      <c r="I146" s="441">
        <v>0</v>
      </c>
      <c r="J146" s="441">
        <v>0</v>
      </c>
      <c r="K146" s="443">
        <v>0</v>
      </c>
      <c r="L146" s="443">
        <v>0</v>
      </c>
      <c r="M146" s="443">
        <v>0</v>
      </c>
      <c r="N146" s="443">
        <v>0</v>
      </c>
      <c r="O146" s="443">
        <v>0</v>
      </c>
      <c r="P146" s="443">
        <v>0</v>
      </c>
      <c r="Q146" s="444">
        <v>0</v>
      </c>
    </row>
    <row r="147" spans="1:18" x14ac:dyDescent="0.25">
      <c r="A147" s="513">
        <v>81</v>
      </c>
      <c r="B147" s="514" t="s">
        <v>808</v>
      </c>
      <c r="C147" s="454"/>
      <c r="D147" s="441">
        <v>0</v>
      </c>
      <c r="E147" s="441">
        <v>0</v>
      </c>
      <c r="F147" s="441">
        <v>0</v>
      </c>
      <c r="G147" s="441">
        <v>0</v>
      </c>
      <c r="H147" s="441">
        <v>0</v>
      </c>
      <c r="I147" s="441">
        <v>0</v>
      </c>
      <c r="J147" s="441">
        <v>0</v>
      </c>
      <c r="K147" s="443">
        <v>0</v>
      </c>
      <c r="L147" s="443">
        <v>0</v>
      </c>
      <c r="M147" s="443">
        <v>0</v>
      </c>
      <c r="N147" s="443">
        <v>0</v>
      </c>
      <c r="O147" s="443">
        <v>0</v>
      </c>
      <c r="P147" s="443">
        <v>0</v>
      </c>
      <c r="Q147" s="444">
        <v>0</v>
      </c>
      <c r="R147" s="496"/>
    </row>
    <row r="148" spans="1:18" s="496" customFormat="1" x14ac:dyDescent="0.25">
      <c r="A148" s="513">
        <v>82</v>
      </c>
      <c r="B148" s="514" t="s">
        <v>809</v>
      </c>
      <c r="C148" s="454"/>
      <c r="D148" s="441">
        <v>-531.072</v>
      </c>
      <c r="E148" s="441">
        <v>20.548999999999999</v>
      </c>
      <c r="F148" s="441">
        <v>41.667000000000002</v>
      </c>
      <c r="G148" s="441">
        <v>0</v>
      </c>
      <c r="H148" s="441">
        <v>-1643.0579999999998</v>
      </c>
      <c r="I148" s="441">
        <v>389.738</v>
      </c>
      <c r="J148" s="441">
        <v>-1722.1759999999997</v>
      </c>
      <c r="K148" s="443">
        <v>0</v>
      </c>
      <c r="L148" s="443">
        <v>0</v>
      </c>
      <c r="M148" s="443">
        <v>0</v>
      </c>
      <c r="N148" s="443">
        <v>0</v>
      </c>
      <c r="O148" s="443">
        <v>0</v>
      </c>
      <c r="P148" s="443">
        <v>0</v>
      </c>
      <c r="Q148" s="444">
        <v>0</v>
      </c>
    </row>
    <row r="149" spans="1:18" x14ac:dyDescent="0.25">
      <c r="A149" s="455">
        <v>83</v>
      </c>
      <c r="B149" s="456" t="s">
        <v>810</v>
      </c>
      <c r="C149" s="515">
        <v>0</v>
      </c>
      <c r="D149" s="515">
        <v>-531.072</v>
      </c>
      <c r="E149" s="515">
        <v>20.548999999999999</v>
      </c>
      <c r="F149" s="515">
        <v>41.667000000000002</v>
      </c>
      <c r="G149" s="515">
        <v>0</v>
      </c>
      <c r="H149" s="515">
        <v>233823.62900000002</v>
      </c>
      <c r="I149" s="515">
        <v>389.738</v>
      </c>
      <c r="J149" s="515">
        <v>233744.51100000003</v>
      </c>
      <c r="K149" s="515">
        <v>0</v>
      </c>
      <c r="L149" s="515">
        <v>0</v>
      </c>
      <c r="M149" s="515">
        <v>0</v>
      </c>
      <c r="N149" s="515">
        <v>0</v>
      </c>
      <c r="O149" s="515">
        <v>0</v>
      </c>
      <c r="P149" s="515">
        <v>0</v>
      </c>
      <c r="Q149" s="515">
        <v>0</v>
      </c>
    </row>
    <row r="150" spans="1:18" x14ac:dyDescent="0.25">
      <c r="A150" s="455">
        <v>84</v>
      </c>
      <c r="B150" s="456" t="s">
        <v>811</v>
      </c>
      <c r="C150" s="515">
        <v>0</v>
      </c>
      <c r="D150" s="515">
        <v>83964.703000000009</v>
      </c>
      <c r="E150" s="515">
        <v>22773.207000000002</v>
      </c>
      <c r="F150" s="515">
        <v>16621.762999999999</v>
      </c>
      <c r="G150" s="515">
        <v>4763.2980000000007</v>
      </c>
      <c r="H150" s="515">
        <v>797134.03399999999</v>
      </c>
      <c r="I150" s="515">
        <v>66140.945999999982</v>
      </c>
      <c r="J150" s="515">
        <v>991397.951</v>
      </c>
      <c r="K150" s="515">
        <v>70679.687616191994</v>
      </c>
      <c r="L150" s="515">
        <v>12934.713988976378</v>
      </c>
      <c r="M150" s="515">
        <v>7948.7669249999999</v>
      </c>
      <c r="N150" s="515">
        <v>105424.40290182046</v>
      </c>
      <c r="O150" s="515">
        <v>118359.11689079684</v>
      </c>
      <c r="P150" s="515">
        <v>75810.091716930008</v>
      </c>
      <c r="Q150" s="515">
        <v>272797.66314891889</v>
      </c>
    </row>
    <row r="153" spans="1:18" x14ac:dyDescent="0.25">
      <c r="D153" s="495">
        <v>83964.702999999994</v>
      </c>
      <c r="E153" s="495">
        <v>22773.207000000006</v>
      </c>
      <c r="F153" s="495">
        <v>16621.763000000003</v>
      </c>
      <c r="G153" s="495">
        <v>4763.2979999999989</v>
      </c>
      <c r="H153" s="495">
        <v>797134.03399999975</v>
      </c>
      <c r="I153" s="495">
        <v>66140.945999999996</v>
      </c>
      <c r="J153" s="495">
        <v>991397.95099999977</v>
      </c>
      <c r="K153" s="495">
        <v>70679.687616191994</v>
      </c>
      <c r="L153" s="495">
        <v>12934.713988976378</v>
      </c>
      <c r="M153" s="495">
        <v>7948.7669249999999</v>
      </c>
      <c r="N153" s="495">
        <v>105424.40290182045</v>
      </c>
      <c r="P153" s="495">
        <v>75810.091716930008</v>
      </c>
      <c r="Q153" s="504">
        <v>272797.66314891877</v>
      </c>
    </row>
    <row r="155" spans="1:18" x14ac:dyDescent="0.25">
      <c r="D155" s="495">
        <v>0</v>
      </c>
      <c r="E155" s="495">
        <v>0</v>
      </c>
      <c r="F155" s="504">
        <v>0</v>
      </c>
      <c r="G155" s="495">
        <v>0</v>
      </c>
      <c r="H155" s="495">
        <v>0</v>
      </c>
      <c r="I155" s="495">
        <v>0</v>
      </c>
      <c r="J155" s="495">
        <v>0</v>
      </c>
      <c r="K155" s="495">
        <v>0</v>
      </c>
      <c r="L155" s="495">
        <v>0</v>
      </c>
      <c r="M155" s="495">
        <v>0</v>
      </c>
      <c r="N155" s="495">
        <v>0</v>
      </c>
      <c r="P155" s="495">
        <v>0</v>
      </c>
      <c r="Q155" s="504">
        <v>0</v>
      </c>
    </row>
  </sheetData>
  <mergeCells count="4">
    <mergeCell ref="A1:Q1"/>
    <mergeCell ref="A2:J2"/>
    <mergeCell ref="D4:J4"/>
    <mergeCell ref="K4:Q4"/>
  </mergeCells>
  <phoneticPr fontId="32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view="pageLayout" zoomScaleNormal="100" workbookViewId="0">
      <selection activeCell="G31" sqref="G31"/>
    </sheetView>
  </sheetViews>
  <sheetFormatPr defaultColWidth="9.33203125" defaultRowHeight="15.75" x14ac:dyDescent="0.25"/>
  <cols>
    <col min="1" max="1" width="6.33203125" style="103" customWidth="1"/>
    <col min="2" max="2" width="30.33203125" style="121" bestFit="1" customWidth="1"/>
    <col min="3" max="4" width="9" style="121" customWidth="1"/>
    <col min="5" max="5" width="9.5" style="121" customWidth="1"/>
    <col min="6" max="6" width="8.83203125" style="121" customWidth="1"/>
    <col min="7" max="7" width="8.6640625" style="121" customWidth="1"/>
    <col min="8" max="8" width="8.83203125" style="121" customWidth="1"/>
    <col min="9" max="9" width="8.1640625" style="121" customWidth="1"/>
    <col min="10" max="14" width="9.5" style="121" customWidth="1"/>
    <col min="15" max="15" width="12.6640625" style="103" customWidth="1"/>
    <col min="16" max="16" width="0" style="121" hidden="1" customWidth="1"/>
    <col min="17" max="17" width="10.1640625" style="491" bestFit="1" customWidth="1"/>
    <col min="18" max="16384" width="9.33203125" style="121"/>
  </cols>
  <sheetData>
    <row r="1" spans="1:17" ht="31.5" customHeight="1" x14ac:dyDescent="0.25">
      <c r="A1" s="1354" t="s">
        <v>1106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</row>
    <row r="2" spans="1:17" ht="16.5" thickBot="1" x14ac:dyDescent="0.3">
      <c r="O2" s="5" t="s">
        <v>923</v>
      </c>
      <c r="P2" s="121">
        <f>90200/99604</f>
        <v>0.90558612103931568</v>
      </c>
    </row>
    <row r="3" spans="1:17" s="103" customFormat="1" ht="29.25" customHeight="1" thickBot="1" x14ac:dyDescent="0.3">
      <c r="A3" s="100" t="s">
        <v>883</v>
      </c>
      <c r="B3" s="101" t="s">
        <v>12</v>
      </c>
      <c r="C3" s="101" t="s">
        <v>21</v>
      </c>
      <c r="D3" s="101" t="s">
        <v>22</v>
      </c>
      <c r="E3" s="101" t="s">
        <v>23</v>
      </c>
      <c r="F3" s="101" t="s">
        <v>24</v>
      </c>
      <c r="G3" s="101" t="s">
        <v>25</v>
      </c>
      <c r="H3" s="101" t="s">
        <v>26</v>
      </c>
      <c r="I3" s="101" t="s">
        <v>27</v>
      </c>
      <c r="J3" s="101" t="s">
        <v>28</v>
      </c>
      <c r="K3" s="101" t="s">
        <v>29</v>
      </c>
      <c r="L3" s="101" t="s">
        <v>30</v>
      </c>
      <c r="M3" s="101" t="s">
        <v>31</v>
      </c>
      <c r="N3" s="101" t="s">
        <v>32</v>
      </c>
      <c r="O3" s="102" t="s">
        <v>920</v>
      </c>
      <c r="Q3" s="492"/>
    </row>
    <row r="4" spans="1:17" s="105" customFormat="1" ht="15" customHeight="1" thickBot="1" x14ac:dyDescent="0.25">
      <c r="A4" s="104" t="s">
        <v>885</v>
      </c>
      <c r="B4" s="1351" t="s">
        <v>926</v>
      </c>
      <c r="C4" s="1352"/>
      <c r="D4" s="1352"/>
      <c r="E4" s="1352"/>
      <c r="F4" s="1352"/>
      <c r="G4" s="1352"/>
      <c r="H4" s="1352"/>
      <c r="I4" s="1352"/>
      <c r="J4" s="1352"/>
      <c r="K4" s="1352"/>
      <c r="L4" s="1352"/>
      <c r="M4" s="1352"/>
      <c r="N4" s="1352"/>
      <c r="O4" s="1353"/>
      <c r="Q4" s="493"/>
    </row>
    <row r="5" spans="1:17" s="105" customFormat="1" ht="15" customHeight="1" x14ac:dyDescent="0.2">
      <c r="A5" s="106" t="s">
        <v>886</v>
      </c>
      <c r="B5" s="107" t="s">
        <v>142</v>
      </c>
      <c r="C5" s="108">
        <v>1470</v>
      </c>
      <c r="D5" s="108">
        <v>3835</v>
      </c>
      <c r="E5" s="108">
        <v>32315</v>
      </c>
      <c r="F5" s="108">
        <v>3860</v>
      </c>
      <c r="G5" s="108">
        <v>6629</v>
      </c>
      <c r="H5" s="108">
        <v>4378</v>
      </c>
      <c r="I5" s="108">
        <v>3793</v>
      </c>
      <c r="J5" s="108">
        <v>2043</v>
      </c>
      <c r="K5" s="108">
        <v>26714</v>
      </c>
      <c r="L5" s="108">
        <v>4340</v>
      </c>
      <c r="M5" s="108">
        <v>7017</v>
      </c>
      <c r="N5" s="108">
        <v>2506</v>
      </c>
      <c r="O5" s="109">
        <f>SUM(C5:N5)</f>
        <v>98900</v>
      </c>
      <c r="P5" s="105" t="e">
        <f>'1.1.sz.mell.'!#REF!</f>
        <v>#REF!</v>
      </c>
      <c r="Q5" s="493"/>
    </row>
    <row r="6" spans="1:17" s="113" customFormat="1" ht="14.1" customHeight="1" x14ac:dyDescent="0.2">
      <c r="A6" s="110" t="s">
        <v>887</v>
      </c>
      <c r="B6" s="299" t="s">
        <v>927</v>
      </c>
      <c r="C6" s="111">
        <v>297</v>
      </c>
      <c r="D6" s="111">
        <v>1534</v>
      </c>
      <c r="E6" s="111">
        <v>1525</v>
      </c>
      <c r="F6" s="111">
        <v>3439</v>
      </c>
      <c r="G6" s="111">
        <v>1066</v>
      </c>
      <c r="H6" s="111">
        <v>1805</v>
      </c>
      <c r="I6" s="111">
        <v>2339</v>
      </c>
      <c r="J6" s="111">
        <v>288</v>
      </c>
      <c r="K6" s="111">
        <v>1526</v>
      </c>
      <c r="L6" s="111">
        <v>3480</v>
      </c>
      <c r="M6" s="111">
        <v>802</v>
      </c>
      <c r="N6" s="111">
        <v>1516</v>
      </c>
      <c r="O6" s="833">
        <f t="shared" ref="O6:O27" si="0">SUM(C6:N6)</f>
        <v>19617</v>
      </c>
      <c r="P6" s="113" t="e">
        <f>'1.1.sz.mell.'!#REF!</f>
        <v>#REF!</v>
      </c>
      <c r="Q6" s="494"/>
    </row>
    <row r="7" spans="1:17" s="113" customFormat="1" x14ac:dyDescent="0.2">
      <c r="A7" s="110" t="s">
        <v>888</v>
      </c>
      <c r="B7" s="300" t="s">
        <v>0</v>
      </c>
      <c r="C7" s="114">
        <v>80</v>
      </c>
      <c r="D7" s="114">
        <v>280</v>
      </c>
      <c r="E7" s="114">
        <v>2600</v>
      </c>
      <c r="F7" s="114">
        <v>570</v>
      </c>
      <c r="G7" s="114">
        <v>290</v>
      </c>
      <c r="H7" s="114">
        <v>195</v>
      </c>
      <c r="I7" s="114">
        <v>100</v>
      </c>
      <c r="J7" s="114">
        <v>325</v>
      </c>
      <c r="K7" s="114">
        <v>2320</v>
      </c>
      <c r="L7" s="114">
        <v>486</v>
      </c>
      <c r="M7" s="114">
        <v>381</v>
      </c>
      <c r="N7" s="114">
        <v>173</v>
      </c>
      <c r="O7" s="830">
        <f t="shared" si="0"/>
        <v>7800</v>
      </c>
      <c r="P7" s="113" t="e">
        <f>'1.1.sz.mell.'!#REF!</f>
        <v>#REF!</v>
      </c>
      <c r="Q7" s="494"/>
    </row>
    <row r="8" spans="1:17" s="113" customFormat="1" ht="14.1" customHeight="1" x14ac:dyDescent="0.2">
      <c r="A8" s="110" t="s">
        <v>889</v>
      </c>
      <c r="B8" s="299" t="s">
        <v>873</v>
      </c>
      <c r="C8" s="111">
        <v>16020</v>
      </c>
      <c r="D8" s="111">
        <v>16020</v>
      </c>
      <c r="E8" s="111">
        <v>16020</v>
      </c>
      <c r="F8" s="111">
        <v>16020</v>
      </c>
      <c r="G8" s="111">
        <v>16020</v>
      </c>
      <c r="H8" s="111">
        <v>16020</v>
      </c>
      <c r="I8" s="111">
        <v>16020</v>
      </c>
      <c r="J8" s="111">
        <v>16020</v>
      </c>
      <c r="K8" s="111">
        <v>16020</v>
      </c>
      <c r="L8" s="111">
        <v>16020</v>
      </c>
      <c r="M8" s="111">
        <v>16020</v>
      </c>
      <c r="N8" s="111">
        <v>16020</v>
      </c>
      <c r="O8" s="833">
        <f t="shared" si="0"/>
        <v>192240</v>
      </c>
      <c r="P8" s="113" t="e">
        <f>'1.1.sz.mell.'!#REF!</f>
        <v>#REF!</v>
      </c>
      <c r="Q8" s="494"/>
    </row>
    <row r="9" spans="1:17" s="113" customFormat="1" ht="14.1" customHeight="1" x14ac:dyDescent="0.2">
      <c r="A9" s="110" t="s">
        <v>890</v>
      </c>
      <c r="B9" s="299" t="s">
        <v>874</v>
      </c>
      <c r="C9" s="111">
        <f>433+663</f>
        <v>1096</v>
      </c>
      <c r="D9" s="111">
        <f>433+663</f>
        <v>1096</v>
      </c>
      <c r="E9" s="111">
        <v>433</v>
      </c>
      <c r="F9" s="111">
        <v>433</v>
      </c>
      <c r="G9" s="111">
        <v>433</v>
      </c>
      <c r="H9" s="111">
        <v>433</v>
      </c>
      <c r="I9" s="111">
        <v>433</v>
      </c>
      <c r="J9" s="111">
        <v>433</v>
      </c>
      <c r="K9" s="111">
        <v>433</v>
      </c>
      <c r="L9" s="111">
        <v>433</v>
      </c>
      <c r="M9" s="111">
        <v>433</v>
      </c>
      <c r="N9" s="111">
        <v>433</v>
      </c>
      <c r="O9" s="833">
        <f t="shared" si="0"/>
        <v>6522</v>
      </c>
      <c r="P9" s="113" t="e">
        <f>'1.1.sz.mell.'!#REF!</f>
        <v>#REF!</v>
      </c>
      <c r="Q9" s="494"/>
    </row>
    <row r="10" spans="1:17" s="113" customFormat="1" ht="14.1" customHeight="1" x14ac:dyDescent="0.2">
      <c r="A10" s="110" t="s">
        <v>891</v>
      </c>
      <c r="B10" s="299" t="s">
        <v>875</v>
      </c>
      <c r="C10" s="111"/>
      <c r="D10" s="111"/>
      <c r="E10" s="111"/>
      <c r="F10" s="111"/>
      <c r="G10" s="111"/>
      <c r="H10" s="111"/>
      <c r="I10" s="111"/>
      <c r="J10" s="111">
        <v>14704</v>
      </c>
      <c r="K10" s="111"/>
      <c r="L10" s="111"/>
      <c r="M10" s="111"/>
      <c r="N10" s="111"/>
      <c r="O10" s="833">
        <f t="shared" si="0"/>
        <v>14704</v>
      </c>
      <c r="P10" s="113" t="e">
        <f>'1.1.sz.mell.'!#REF!</f>
        <v>#REF!</v>
      </c>
      <c r="Q10" s="494"/>
    </row>
    <row r="11" spans="1:17" s="113" customFormat="1" ht="14.1" customHeight="1" x14ac:dyDescent="0.2">
      <c r="A11" s="110" t="s">
        <v>892</v>
      </c>
      <c r="B11" s="299" t="s">
        <v>876</v>
      </c>
      <c r="C11" s="111">
        <f>7000+35</f>
        <v>7035</v>
      </c>
      <c r="D11" s="111">
        <v>34</v>
      </c>
      <c r="E11" s="111">
        <v>34</v>
      </c>
      <c r="F11" s="111">
        <v>34</v>
      </c>
      <c r="G11" s="111">
        <v>35</v>
      </c>
      <c r="H11" s="111">
        <v>35</v>
      </c>
      <c r="I11" s="111">
        <v>34</v>
      </c>
      <c r="J11" s="111">
        <v>35</v>
      </c>
      <c r="K11" s="111">
        <v>34</v>
      </c>
      <c r="L11" s="111">
        <v>34</v>
      </c>
      <c r="M11" s="111">
        <v>35</v>
      </c>
      <c r="N11" s="111">
        <v>35</v>
      </c>
      <c r="O11" s="833">
        <f t="shared" si="0"/>
        <v>7414</v>
      </c>
      <c r="P11" s="113" t="e">
        <f>'1.1.sz.mell.'!#REF!</f>
        <v>#REF!</v>
      </c>
      <c r="Q11" s="494"/>
    </row>
    <row r="12" spans="1:17" s="113" customFormat="1" x14ac:dyDescent="0.2">
      <c r="A12" s="110" t="s">
        <v>893</v>
      </c>
      <c r="B12" s="301" t="s">
        <v>877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>
        <f t="shared" si="0"/>
        <v>0</v>
      </c>
      <c r="Q12" s="494"/>
    </row>
    <row r="13" spans="1:17" s="113" customFormat="1" ht="14.1" customHeight="1" thickBot="1" x14ac:dyDescent="0.25">
      <c r="A13" s="110" t="s">
        <v>894</v>
      </c>
      <c r="B13" s="299" t="s">
        <v>878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>
        <f t="shared" si="0"/>
        <v>0</v>
      </c>
      <c r="Q13" s="494"/>
    </row>
    <row r="14" spans="1:17" s="105" customFormat="1" ht="15.95" customHeight="1" thickBot="1" x14ac:dyDescent="0.25">
      <c r="A14" s="104" t="s">
        <v>895</v>
      </c>
      <c r="B14" s="42" t="s">
        <v>68</v>
      </c>
      <c r="C14" s="115">
        <f t="shared" ref="C14:N14" si="1">SUM(C5:C13)</f>
        <v>25998</v>
      </c>
      <c r="D14" s="115">
        <f t="shared" si="1"/>
        <v>22799</v>
      </c>
      <c r="E14" s="115">
        <f t="shared" si="1"/>
        <v>52927</v>
      </c>
      <c r="F14" s="115">
        <f t="shared" si="1"/>
        <v>24356</v>
      </c>
      <c r="G14" s="115">
        <f t="shared" si="1"/>
        <v>24473</v>
      </c>
      <c r="H14" s="115">
        <f t="shared" si="1"/>
        <v>22866</v>
      </c>
      <c r="I14" s="115">
        <f t="shared" si="1"/>
        <v>22719</v>
      </c>
      <c r="J14" s="115">
        <f t="shared" si="1"/>
        <v>33848</v>
      </c>
      <c r="K14" s="115">
        <f t="shared" si="1"/>
        <v>47047</v>
      </c>
      <c r="L14" s="115">
        <f t="shared" si="1"/>
        <v>24793</v>
      </c>
      <c r="M14" s="115">
        <f t="shared" si="1"/>
        <v>24688</v>
      </c>
      <c r="N14" s="115">
        <f t="shared" si="1"/>
        <v>20683</v>
      </c>
      <c r="O14" s="116">
        <f>SUM(C14:N14)</f>
        <v>347197</v>
      </c>
      <c r="P14" s="105" t="e">
        <f>SUM(P5:P13)</f>
        <v>#REF!</v>
      </c>
      <c r="Q14" s="493"/>
    </row>
    <row r="15" spans="1:17" s="105" customFormat="1" ht="15" customHeight="1" thickBot="1" x14ac:dyDescent="0.25">
      <c r="A15" s="104" t="s">
        <v>896</v>
      </c>
      <c r="B15" s="1351" t="s">
        <v>1</v>
      </c>
      <c r="C15" s="1352"/>
      <c r="D15" s="1352"/>
      <c r="E15" s="1352"/>
      <c r="F15" s="1352"/>
      <c r="G15" s="1352"/>
      <c r="H15" s="1352"/>
      <c r="I15" s="1352"/>
      <c r="J15" s="1352"/>
      <c r="K15" s="1352"/>
      <c r="L15" s="1352"/>
      <c r="M15" s="1352"/>
      <c r="N15" s="1352"/>
      <c r="O15" s="1353"/>
      <c r="Q15" s="493"/>
    </row>
    <row r="16" spans="1:17" s="113" customFormat="1" ht="14.1" customHeight="1" x14ac:dyDescent="0.2">
      <c r="A16" s="117" t="s">
        <v>897</v>
      </c>
      <c r="B16" s="828" t="s">
        <v>13</v>
      </c>
      <c r="C16" s="829">
        <v>8011</v>
      </c>
      <c r="D16" s="829">
        <v>11638</v>
      </c>
      <c r="E16" s="829">
        <v>11638</v>
      </c>
      <c r="F16" s="829">
        <v>11638</v>
      </c>
      <c r="G16" s="829">
        <v>11638</v>
      </c>
      <c r="H16" s="829">
        <v>11638</v>
      </c>
      <c r="I16" s="829">
        <v>11638</v>
      </c>
      <c r="J16" s="829">
        <v>11638</v>
      </c>
      <c r="K16" s="829">
        <v>11638</v>
      </c>
      <c r="L16" s="829">
        <v>11638</v>
      </c>
      <c r="M16" s="829">
        <v>11638</v>
      </c>
      <c r="N16" s="829">
        <v>11638</v>
      </c>
      <c r="O16" s="830">
        <f t="shared" si="0"/>
        <v>136029</v>
      </c>
      <c r="P16" s="113" t="e">
        <f>'1.1.sz.mell.'!#REF!</f>
        <v>#REF!</v>
      </c>
      <c r="Q16" s="494"/>
    </row>
    <row r="17" spans="1:20" s="113" customFormat="1" ht="27" customHeight="1" x14ac:dyDescent="0.2">
      <c r="A17" s="110" t="s">
        <v>898</v>
      </c>
      <c r="B17" s="831" t="s">
        <v>164</v>
      </c>
      <c r="C17" s="832">
        <v>1853</v>
      </c>
      <c r="D17" s="832">
        <v>2750</v>
      </c>
      <c r="E17" s="832">
        <v>2750</v>
      </c>
      <c r="F17" s="832">
        <v>2750</v>
      </c>
      <c r="G17" s="832">
        <v>2750</v>
      </c>
      <c r="H17" s="832">
        <v>2750</v>
      </c>
      <c r="I17" s="832">
        <v>2750</v>
      </c>
      <c r="J17" s="832">
        <v>2750</v>
      </c>
      <c r="K17" s="832">
        <v>2750</v>
      </c>
      <c r="L17" s="832">
        <v>2750</v>
      </c>
      <c r="M17" s="832">
        <v>2750</v>
      </c>
      <c r="N17" s="832">
        <v>2750</v>
      </c>
      <c r="O17" s="833">
        <f t="shared" si="0"/>
        <v>32103</v>
      </c>
      <c r="P17" s="113" t="e">
        <f>'1.1.sz.mell.'!#REF!</f>
        <v>#REF!</v>
      </c>
      <c r="Q17" s="494"/>
    </row>
    <row r="18" spans="1:20" s="113" customFormat="1" ht="14.1" customHeight="1" x14ac:dyDescent="0.2">
      <c r="A18" s="110" t="s">
        <v>899</v>
      </c>
      <c r="B18" s="299" t="s">
        <v>88</v>
      </c>
      <c r="C18" s="111">
        <v>5582</v>
      </c>
      <c r="D18" s="111">
        <v>8310</v>
      </c>
      <c r="E18" s="111">
        <v>9854</v>
      </c>
      <c r="F18" s="111">
        <v>9958</v>
      </c>
      <c r="G18" s="111">
        <v>8357</v>
      </c>
      <c r="H18" s="111">
        <v>7800</v>
      </c>
      <c r="I18" s="111">
        <v>8714</v>
      </c>
      <c r="J18" s="111">
        <v>3579</v>
      </c>
      <c r="K18" s="111">
        <v>7957</v>
      </c>
      <c r="L18" s="111">
        <v>8220</v>
      </c>
      <c r="M18" s="111">
        <v>8357</v>
      </c>
      <c r="N18" s="111">
        <v>9532</v>
      </c>
      <c r="O18" s="112">
        <f t="shared" si="0"/>
        <v>96220</v>
      </c>
      <c r="P18" s="113" t="e">
        <f>'1.1.sz.mell.'!#REF!</f>
        <v>#REF!</v>
      </c>
      <c r="Q18" s="494"/>
      <c r="T18" s="1004"/>
    </row>
    <row r="19" spans="1:20" s="113" customFormat="1" ht="14.1" customHeight="1" x14ac:dyDescent="0.2">
      <c r="A19" s="110" t="s">
        <v>900</v>
      </c>
      <c r="B19" s="299" t="s">
        <v>165</v>
      </c>
      <c r="C19" s="111">
        <v>1475</v>
      </c>
      <c r="D19" s="111">
        <v>1644</v>
      </c>
      <c r="E19" s="111">
        <v>1644</v>
      </c>
      <c r="F19" s="111">
        <v>1644</v>
      </c>
      <c r="G19" s="111">
        <v>1644</v>
      </c>
      <c r="H19" s="111">
        <v>1644</v>
      </c>
      <c r="I19" s="111">
        <v>1644</v>
      </c>
      <c r="J19" s="111">
        <v>1644</v>
      </c>
      <c r="K19" s="111">
        <v>1644</v>
      </c>
      <c r="L19" s="111">
        <v>1644</v>
      </c>
      <c r="M19" s="111">
        <v>1644</v>
      </c>
      <c r="N19" s="111">
        <v>1644</v>
      </c>
      <c r="O19" s="112">
        <f>SUM(C19:N19)</f>
        <v>19559</v>
      </c>
      <c r="P19" s="113" t="e">
        <f>'1.1.sz.mell.'!#REF!</f>
        <v>#REF!</v>
      </c>
      <c r="Q19" s="494"/>
    </row>
    <row r="20" spans="1:20" s="113" customFormat="1" ht="14.1" customHeight="1" x14ac:dyDescent="0.2">
      <c r="A20" s="110" t="s">
        <v>901</v>
      </c>
      <c r="B20" s="299" t="s">
        <v>879</v>
      </c>
      <c r="C20" s="111">
        <f>200+120</f>
        <v>320</v>
      </c>
      <c r="D20" s="111">
        <v>120</v>
      </c>
      <c r="E20" s="111">
        <f>250+120</f>
        <v>370</v>
      </c>
      <c r="F20" s="111">
        <f>500+120</f>
        <v>620</v>
      </c>
      <c r="G20" s="111">
        <v>120</v>
      </c>
      <c r="H20" s="111">
        <v>120</v>
      </c>
      <c r="I20" s="111">
        <v>120</v>
      </c>
      <c r="J20" s="111">
        <f>225+120</f>
        <v>345</v>
      </c>
      <c r="K20" s="111">
        <f>500+120</f>
        <v>620</v>
      </c>
      <c r="L20" s="111">
        <v>120</v>
      </c>
      <c r="M20" s="111">
        <v>120</v>
      </c>
      <c r="N20" s="111">
        <v>125</v>
      </c>
      <c r="O20" s="112">
        <f t="shared" si="0"/>
        <v>3120</v>
      </c>
      <c r="P20" s="113" t="e">
        <f>'1.1.sz.mell.'!#REF!</f>
        <v>#REF!</v>
      </c>
      <c r="Q20" s="494"/>
    </row>
    <row r="21" spans="1:20" s="113" customFormat="1" ht="14.1" customHeight="1" x14ac:dyDescent="0.2">
      <c r="A21" s="110" t="s">
        <v>902</v>
      </c>
      <c r="B21" s="299" t="s">
        <v>279</v>
      </c>
      <c r="C21" s="111"/>
      <c r="D21" s="111"/>
      <c r="E21" s="111">
        <v>3611</v>
      </c>
      <c r="F21" s="111">
        <v>3611</v>
      </c>
      <c r="G21" s="111">
        <v>3611</v>
      </c>
      <c r="H21" s="111">
        <v>3611</v>
      </c>
      <c r="I21" s="111">
        <v>3611</v>
      </c>
      <c r="J21" s="111">
        <v>3611</v>
      </c>
      <c r="K21" s="111">
        <v>3611</v>
      </c>
      <c r="L21" s="111">
        <v>3611</v>
      </c>
      <c r="M21" s="111">
        <v>3612</v>
      </c>
      <c r="N21" s="111"/>
      <c r="O21" s="112">
        <f t="shared" si="0"/>
        <v>32500</v>
      </c>
      <c r="P21" s="113" t="e">
        <f>'1.1.sz.mell.'!#REF!</f>
        <v>#REF!</v>
      </c>
      <c r="Q21" s="494"/>
    </row>
    <row r="22" spans="1:20" s="113" customFormat="1" x14ac:dyDescent="0.2">
      <c r="A22" s="110" t="s">
        <v>903</v>
      </c>
      <c r="B22" s="301" t="s">
        <v>168</v>
      </c>
      <c r="C22" s="111"/>
      <c r="D22" s="111"/>
      <c r="E22" s="111"/>
      <c r="F22" s="111"/>
      <c r="G22" s="111">
        <v>512</v>
      </c>
      <c r="H22" s="111">
        <v>512</v>
      </c>
      <c r="I22" s="111">
        <v>512</v>
      </c>
      <c r="J22" s="111">
        <v>514</v>
      </c>
      <c r="K22" s="111"/>
      <c r="L22" s="111"/>
      <c r="M22" s="111"/>
      <c r="N22" s="111"/>
      <c r="O22" s="112">
        <f t="shared" si="0"/>
        <v>2050</v>
      </c>
      <c r="Q22" s="494"/>
    </row>
    <row r="23" spans="1:20" s="113" customFormat="1" ht="14.1" customHeight="1" x14ac:dyDescent="0.2">
      <c r="A23" s="110" t="s">
        <v>904</v>
      </c>
      <c r="B23" s="299" t="s">
        <v>310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>
        <f t="shared" si="0"/>
        <v>0</v>
      </c>
      <c r="Q23" s="494"/>
    </row>
    <row r="24" spans="1:20" s="113" customFormat="1" ht="14.1" customHeight="1" x14ac:dyDescent="0.2">
      <c r="A24" s="110" t="s">
        <v>905</v>
      </c>
      <c r="B24" s="299" t="s">
        <v>917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>
        <v>25616</v>
      </c>
      <c r="N24" s="111"/>
      <c r="O24" s="112">
        <f t="shared" si="0"/>
        <v>25616</v>
      </c>
      <c r="P24" s="113" t="e">
        <f>'1.1.sz.mell.'!#REF!</f>
        <v>#REF!</v>
      </c>
      <c r="Q24" s="494"/>
    </row>
    <row r="25" spans="1:20" s="113" customFormat="1" ht="13.5" customHeight="1" x14ac:dyDescent="0.2">
      <c r="A25" s="110" t="s">
        <v>906</v>
      </c>
      <c r="B25" s="299" t="s">
        <v>880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2">
        <f t="shared" si="0"/>
        <v>0</v>
      </c>
      <c r="Q25" s="494"/>
      <c r="T25" s="113">
        <f>2050/4</f>
        <v>512.5</v>
      </c>
    </row>
    <row r="26" spans="1:20" s="113" customFormat="1" ht="14.1" customHeight="1" thickBot="1" x14ac:dyDescent="0.25">
      <c r="A26" s="110" t="s">
        <v>907</v>
      </c>
      <c r="B26" s="299" t="s">
        <v>881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2">
        <f t="shared" si="0"/>
        <v>0</v>
      </c>
      <c r="Q26" s="494"/>
    </row>
    <row r="27" spans="1:20" s="105" customFormat="1" ht="15.95" customHeight="1" thickBot="1" x14ac:dyDescent="0.25">
      <c r="A27" s="118" t="s">
        <v>908</v>
      </c>
      <c r="B27" s="42" t="s">
        <v>69</v>
      </c>
      <c r="C27" s="115">
        <f t="shared" ref="C27:N27" si="2">SUM(C16:C26)</f>
        <v>17241</v>
      </c>
      <c r="D27" s="115">
        <f t="shared" si="2"/>
        <v>24462</v>
      </c>
      <c r="E27" s="115">
        <f t="shared" si="2"/>
        <v>29867</v>
      </c>
      <c r="F27" s="115">
        <f t="shared" si="2"/>
        <v>30221</v>
      </c>
      <c r="G27" s="115">
        <f t="shared" si="2"/>
        <v>28632</v>
      </c>
      <c r="H27" s="115">
        <f t="shared" si="2"/>
        <v>28075</v>
      </c>
      <c r="I27" s="115">
        <f t="shared" si="2"/>
        <v>28989</v>
      </c>
      <c r="J27" s="115">
        <f t="shared" si="2"/>
        <v>24081</v>
      </c>
      <c r="K27" s="115">
        <f t="shared" si="2"/>
        <v>28220</v>
      </c>
      <c r="L27" s="115">
        <f t="shared" si="2"/>
        <v>27983</v>
      </c>
      <c r="M27" s="115">
        <f t="shared" si="2"/>
        <v>53737</v>
      </c>
      <c r="N27" s="115">
        <f t="shared" si="2"/>
        <v>25689</v>
      </c>
      <c r="O27" s="116">
        <f t="shared" si="0"/>
        <v>347197</v>
      </c>
      <c r="P27" s="105" t="e">
        <f>SUM(P16:P26)</f>
        <v>#REF!</v>
      </c>
      <c r="Q27" s="493"/>
    </row>
    <row r="28" spans="1:20" ht="16.5" thickBot="1" x14ac:dyDescent="0.3">
      <c r="A28" s="118" t="s">
        <v>909</v>
      </c>
      <c r="B28" s="303" t="s">
        <v>70</v>
      </c>
      <c r="C28" s="119">
        <f t="shared" ref="C28:O28" si="3">C14-C27</f>
        <v>8757</v>
      </c>
      <c r="D28" s="119">
        <f t="shared" si="3"/>
        <v>-1663</v>
      </c>
      <c r="E28" s="119">
        <f t="shared" si="3"/>
        <v>23060</v>
      </c>
      <c r="F28" s="119">
        <f t="shared" si="3"/>
        <v>-5865</v>
      </c>
      <c r="G28" s="119">
        <f t="shared" si="3"/>
        <v>-4159</v>
      </c>
      <c r="H28" s="119">
        <f t="shared" si="3"/>
        <v>-5209</v>
      </c>
      <c r="I28" s="119">
        <f t="shared" si="3"/>
        <v>-6270</v>
      </c>
      <c r="J28" s="119">
        <f t="shared" si="3"/>
        <v>9767</v>
      </c>
      <c r="K28" s="119">
        <f t="shared" si="3"/>
        <v>18827</v>
      </c>
      <c r="L28" s="119">
        <f t="shared" si="3"/>
        <v>-3190</v>
      </c>
      <c r="M28" s="119">
        <f t="shared" si="3"/>
        <v>-29049</v>
      </c>
      <c r="N28" s="119">
        <f t="shared" si="3"/>
        <v>-5006</v>
      </c>
      <c r="O28" s="120">
        <f t="shared" si="3"/>
        <v>0</v>
      </c>
    </row>
    <row r="29" spans="1:20" x14ac:dyDescent="0.25">
      <c r="A29" s="122"/>
    </row>
    <row r="30" spans="1:20" x14ac:dyDescent="0.25">
      <c r="O30" s="121"/>
    </row>
    <row r="31" spans="1:20" x14ac:dyDescent="0.25">
      <c r="O31" s="121"/>
    </row>
    <row r="32" spans="1:20" x14ac:dyDescent="0.25">
      <c r="O32" s="121"/>
    </row>
    <row r="33" spans="15:15" x14ac:dyDescent="0.25">
      <c r="O33" s="121"/>
    </row>
    <row r="34" spans="15:15" x14ac:dyDescent="0.25">
      <c r="O34" s="121"/>
    </row>
    <row r="35" spans="15:15" x14ac:dyDescent="0.25">
      <c r="O35" s="121"/>
    </row>
    <row r="36" spans="15:15" x14ac:dyDescent="0.25">
      <c r="O36" s="121"/>
    </row>
    <row r="37" spans="15:15" x14ac:dyDescent="0.25">
      <c r="O37" s="121"/>
    </row>
    <row r="38" spans="15:15" x14ac:dyDescent="0.25">
      <c r="O38" s="121"/>
    </row>
    <row r="39" spans="15:15" x14ac:dyDescent="0.25">
      <c r="O39" s="121"/>
    </row>
    <row r="40" spans="15:15" x14ac:dyDescent="0.25">
      <c r="O40" s="121"/>
    </row>
    <row r="41" spans="15:15" x14ac:dyDescent="0.25">
      <c r="O41" s="121"/>
    </row>
    <row r="42" spans="15:15" x14ac:dyDescent="0.25">
      <c r="O42" s="121"/>
    </row>
    <row r="43" spans="15:15" x14ac:dyDescent="0.25">
      <c r="O43" s="121"/>
    </row>
    <row r="44" spans="15:15" x14ac:dyDescent="0.25">
      <c r="O44" s="121"/>
    </row>
    <row r="45" spans="15:15" x14ac:dyDescent="0.25">
      <c r="O45" s="121"/>
    </row>
    <row r="46" spans="15:15" x14ac:dyDescent="0.25">
      <c r="O46" s="121"/>
    </row>
    <row r="47" spans="15:15" x14ac:dyDescent="0.25">
      <c r="O47" s="121"/>
    </row>
    <row r="48" spans="15:15" x14ac:dyDescent="0.25">
      <c r="O48" s="121"/>
    </row>
    <row r="49" spans="15:15" x14ac:dyDescent="0.25">
      <c r="O49" s="121"/>
    </row>
    <row r="50" spans="15:15" x14ac:dyDescent="0.25">
      <c r="O50" s="121"/>
    </row>
    <row r="51" spans="15:15" x14ac:dyDescent="0.25">
      <c r="O51" s="121"/>
    </row>
    <row r="52" spans="15:15" x14ac:dyDescent="0.25">
      <c r="O52" s="121"/>
    </row>
    <row r="53" spans="15:15" x14ac:dyDescent="0.25">
      <c r="O53" s="121"/>
    </row>
    <row r="54" spans="15:15" x14ac:dyDescent="0.25">
      <c r="O54" s="121"/>
    </row>
    <row r="55" spans="15:15" x14ac:dyDescent="0.25">
      <c r="O55" s="121"/>
    </row>
    <row r="56" spans="15:15" x14ac:dyDescent="0.25">
      <c r="O56" s="121"/>
    </row>
    <row r="57" spans="15:15" x14ac:dyDescent="0.25">
      <c r="O57" s="121"/>
    </row>
    <row r="58" spans="15:15" x14ac:dyDescent="0.25">
      <c r="O58" s="121"/>
    </row>
    <row r="59" spans="15:15" x14ac:dyDescent="0.25">
      <c r="O59" s="121"/>
    </row>
    <row r="60" spans="15:15" x14ac:dyDescent="0.25">
      <c r="O60" s="121"/>
    </row>
    <row r="61" spans="15:15" x14ac:dyDescent="0.25">
      <c r="O61" s="121"/>
    </row>
    <row r="62" spans="15:15" x14ac:dyDescent="0.25">
      <c r="O62" s="121"/>
    </row>
    <row r="63" spans="15:15" x14ac:dyDescent="0.25">
      <c r="O63" s="121"/>
    </row>
    <row r="64" spans="15:15" x14ac:dyDescent="0.25">
      <c r="O64" s="121"/>
    </row>
    <row r="65" spans="15:15" x14ac:dyDescent="0.25">
      <c r="O65" s="121"/>
    </row>
    <row r="66" spans="15:15" x14ac:dyDescent="0.25">
      <c r="O66" s="121"/>
    </row>
    <row r="67" spans="15:15" x14ac:dyDescent="0.25">
      <c r="O67" s="121"/>
    </row>
    <row r="68" spans="15:15" x14ac:dyDescent="0.25">
      <c r="O68" s="121"/>
    </row>
    <row r="69" spans="15:15" x14ac:dyDescent="0.25">
      <c r="O69" s="121"/>
    </row>
    <row r="70" spans="15:15" x14ac:dyDescent="0.25">
      <c r="O70" s="121"/>
    </row>
    <row r="71" spans="15:15" x14ac:dyDescent="0.25">
      <c r="O71" s="121"/>
    </row>
    <row r="72" spans="15:15" x14ac:dyDescent="0.25">
      <c r="O72" s="121"/>
    </row>
    <row r="73" spans="15:15" x14ac:dyDescent="0.25">
      <c r="O73" s="121"/>
    </row>
    <row r="74" spans="15:15" x14ac:dyDescent="0.25">
      <c r="O74" s="121"/>
    </row>
    <row r="75" spans="15:15" x14ac:dyDescent="0.25">
      <c r="O75" s="121"/>
    </row>
    <row r="76" spans="15:15" x14ac:dyDescent="0.25">
      <c r="O76" s="121"/>
    </row>
    <row r="77" spans="15:15" x14ac:dyDescent="0.25">
      <c r="O77" s="121"/>
    </row>
    <row r="78" spans="15:15" x14ac:dyDescent="0.25">
      <c r="O78" s="121"/>
    </row>
    <row r="79" spans="15:15" x14ac:dyDescent="0.25">
      <c r="O79" s="121"/>
    </row>
    <row r="80" spans="15:15" x14ac:dyDescent="0.25">
      <c r="O80" s="121"/>
    </row>
    <row r="81" spans="15:15" x14ac:dyDescent="0.25">
      <c r="O81" s="121"/>
    </row>
    <row r="82" spans="15:15" x14ac:dyDescent="0.25">
      <c r="O82" s="121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74"/>
  <sheetViews>
    <sheetView view="pageLayout" zoomScaleNormal="100" zoomScaleSheetLayoutView="100" workbookViewId="0">
      <selection activeCell="E57" sqref="E57"/>
    </sheetView>
  </sheetViews>
  <sheetFormatPr defaultRowHeight="15" x14ac:dyDescent="0.25"/>
  <cols>
    <col min="1" max="1" width="34.83203125" style="872" bestFit="1" customWidth="1"/>
    <col min="2" max="2" width="28.6640625" style="872" bestFit="1" customWidth="1"/>
    <col min="3" max="3" width="8.83203125" style="872" bestFit="1" customWidth="1"/>
    <col min="4" max="4" width="33.33203125" style="872" customWidth="1"/>
    <col min="5" max="5" width="22.1640625" style="920" bestFit="1" customWidth="1"/>
    <col min="6" max="16384" width="9.33203125" style="872"/>
  </cols>
  <sheetData>
    <row r="1" spans="1:5" x14ac:dyDescent="0.25">
      <c r="A1" s="1356" t="s">
        <v>1107</v>
      </c>
      <c r="B1" s="1356"/>
      <c r="C1" s="1356"/>
      <c r="D1" s="1356"/>
      <c r="E1" s="1356"/>
    </row>
    <row r="2" spans="1:5" x14ac:dyDescent="0.25">
      <c r="A2" s="873"/>
      <c r="B2" s="873"/>
      <c r="C2" s="873"/>
      <c r="D2" s="873"/>
      <c r="E2" s="874"/>
    </row>
    <row r="3" spans="1:5" x14ac:dyDescent="0.25">
      <c r="A3" s="875" t="s">
        <v>1108</v>
      </c>
      <c r="B3" s="873"/>
      <c r="C3" s="873"/>
      <c r="D3" s="873"/>
      <c r="E3" s="874"/>
    </row>
    <row r="4" spans="1:5" x14ac:dyDescent="0.25">
      <c r="A4" s="875"/>
      <c r="B4" s="873"/>
      <c r="C4" s="873"/>
      <c r="D4" s="873"/>
      <c r="E4" s="874"/>
    </row>
    <row r="5" spans="1:5" ht="15.75" thickBot="1" x14ac:dyDescent="0.3">
      <c r="A5" s="876" t="s">
        <v>1109</v>
      </c>
      <c r="B5" s="876" t="s">
        <v>950</v>
      </c>
      <c r="C5" s="876" t="s">
        <v>1110</v>
      </c>
      <c r="D5" s="876" t="s">
        <v>1111</v>
      </c>
      <c r="E5" s="877" t="s">
        <v>1112</v>
      </c>
    </row>
    <row r="6" spans="1:5" ht="15.75" thickBot="1" x14ac:dyDescent="0.3">
      <c r="A6" s="878" t="s">
        <v>885</v>
      </c>
      <c r="B6" s="879" t="s">
        <v>1113</v>
      </c>
      <c r="C6" s="879" t="s">
        <v>1114</v>
      </c>
      <c r="D6" s="880" t="s">
        <v>951</v>
      </c>
      <c r="E6" s="881">
        <v>45000</v>
      </c>
    </row>
    <row r="7" spans="1:5" ht="15.75" thickBot="1" x14ac:dyDescent="0.3">
      <c r="A7" s="882"/>
      <c r="B7" s="883"/>
      <c r="C7" s="883"/>
      <c r="D7" s="884" t="s">
        <v>966</v>
      </c>
      <c r="E7" s="885">
        <v>20000</v>
      </c>
    </row>
    <row r="8" spans="1:5" ht="15.75" thickBot="1" x14ac:dyDescent="0.3">
      <c r="A8" s="886"/>
      <c r="B8" s="887"/>
      <c r="C8" s="887"/>
      <c r="D8" s="884" t="s">
        <v>967</v>
      </c>
      <c r="E8" s="885">
        <v>30000</v>
      </c>
    </row>
    <row r="9" spans="1:5" x14ac:dyDescent="0.25">
      <c r="A9" s="888"/>
      <c r="B9" s="873"/>
      <c r="C9" s="873"/>
      <c r="D9" s="873"/>
      <c r="E9" s="874">
        <f>SUM(E6:E8)</f>
        <v>95000</v>
      </c>
    </row>
    <row r="10" spans="1:5" x14ac:dyDescent="0.25">
      <c r="A10" s="889" t="s">
        <v>1115</v>
      </c>
      <c r="B10" s="873"/>
      <c r="C10" s="873"/>
      <c r="D10" s="873"/>
      <c r="E10" s="874"/>
    </row>
    <row r="11" spans="1:5" x14ac:dyDescent="0.25">
      <c r="A11" s="890"/>
      <c r="B11" s="873"/>
      <c r="C11" s="873"/>
      <c r="D11" s="873"/>
      <c r="E11" s="874"/>
    </row>
    <row r="12" spans="1:5" ht="15.75" thickBot="1" x14ac:dyDescent="0.3">
      <c r="A12" s="876" t="s">
        <v>1109</v>
      </c>
      <c r="B12" s="876" t="s">
        <v>950</v>
      </c>
      <c r="C12" s="876" t="s">
        <v>1110</v>
      </c>
      <c r="D12" s="876" t="s">
        <v>1111</v>
      </c>
      <c r="E12" s="877" t="s">
        <v>1112</v>
      </c>
    </row>
    <row r="13" spans="1:5" ht="15.75" thickBot="1" x14ac:dyDescent="0.3">
      <c r="A13" s="1357" t="s">
        <v>886</v>
      </c>
      <c r="B13" s="883" t="s">
        <v>1116</v>
      </c>
      <c r="C13" s="1357" t="s">
        <v>1117</v>
      </c>
      <c r="D13" s="891" t="s">
        <v>970</v>
      </c>
      <c r="E13" s="892">
        <v>100000</v>
      </c>
    </row>
    <row r="14" spans="1:5" ht="15.75" thickBot="1" x14ac:dyDescent="0.3">
      <c r="A14" s="1358"/>
      <c r="B14" s="883" t="s">
        <v>1118</v>
      </c>
      <c r="C14" s="1358"/>
      <c r="D14" s="891" t="s">
        <v>1119</v>
      </c>
      <c r="E14" s="892">
        <v>150000</v>
      </c>
    </row>
    <row r="15" spans="1:5" ht="15.75" thickBot="1" x14ac:dyDescent="0.3">
      <c r="A15" s="1358"/>
      <c r="B15" s="893"/>
      <c r="C15" s="1358"/>
      <c r="D15" s="891" t="s">
        <v>1077</v>
      </c>
      <c r="E15" s="892">
        <v>200000</v>
      </c>
    </row>
    <row r="16" spans="1:5" ht="15.75" thickBot="1" x14ac:dyDescent="0.3">
      <c r="A16" s="1359"/>
      <c r="B16" s="893"/>
      <c r="C16" s="1359"/>
      <c r="D16" s="891" t="s">
        <v>969</v>
      </c>
      <c r="E16" s="892">
        <v>250000</v>
      </c>
    </row>
    <row r="17" spans="1:5" ht="15.75" thickBot="1" x14ac:dyDescent="0.3">
      <c r="A17" s="1360" t="s">
        <v>887</v>
      </c>
      <c r="B17" s="878" t="s">
        <v>1120</v>
      </c>
      <c r="C17" s="1363">
        <v>614</v>
      </c>
      <c r="D17" s="891" t="s">
        <v>1121</v>
      </c>
      <c r="E17" s="894">
        <v>200000</v>
      </c>
    </row>
    <row r="18" spans="1:5" ht="15.75" thickBot="1" x14ac:dyDescent="0.3">
      <c r="A18" s="1361"/>
      <c r="B18" s="882" t="s">
        <v>1122</v>
      </c>
      <c r="C18" s="1364"/>
      <c r="D18" s="1366" t="s">
        <v>1077</v>
      </c>
      <c r="E18" s="1367">
        <v>200000</v>
      </c>
    </row>
    <row r="19" spans="1:5" ht="1.5" customHeight="1" thickBot="1" x14ac:dyDescent="0.3">
      <c r="A19" s="1362"/>
      <c r="B19" s="886"/>
      <c r="C19" s="1365"/>
      <c r="D19" s="1366"/>
      <c r="E19" s="1366"/>
    </row>
    <row r="20" spans="1:5" ht="15.75" thickBot="1" x14ac:dyDescent="0.3">
      <c r="A20" s="1357" t="s">
        <v>888</v>
      </c>
      <c r="B20" s="879" t="s">
        <v>1123</v>
      </c>
      <c r="C20" s="1357" t="s">
        <v>1124</v>
      </c>
      <c r="D20" s="891" t="s">
        <v>1125</v>
      </c>
      <c r="E20" s="892">
        <v>250000</v>
      </c>
    </row>
    <row r="21" spans="1:5" ht="15.75" thickBot="1" x14ac:dyDescent="0.3">
      <c r="A21" s="1358"/>
      <c r="B21" s="883" t="s">
        <v>1126</v>
      </c>
      <c r="C21" s="1358"/>
      <c r="D21" s="891" t="s">
        <v>1078</v>
      </c>
      <c r="E21" s="892">
        <v>100000</v>
      </c>
    </row>
    <row r="22" spans="1:5" ht="15.75" thickBot="1" x14ac:dyDescent="0.3">
      <c r="A22" s="1358"/>
      <c r="B22" s="883"/>
      <c r="C22" s="1358"/>
      <c r="D22" s="891" t="s">
        <v>1079</v>
      </c>
      <c r="E22" s="892">
        <v>200000</v>
      </c>
    </row>
    <row r="23" spans="1:5" ht="15.75" thickBot="1" x14ac:dyDescent="0.3">
      <c r="A23" s="1358"/>
      <c r="B23" s="895"/>
      <c r="C23" s="1358"/>
      <c r="D23" s="891" t="s">
        <v>1127</v>
      </c>
      <c r="E23" s="892">
        <v>300000</v>
      </c>
    </row>
    <row r="24" spans="1:5" ht="15.75" thickBot="1" x14ac:dyDescent="0.3">
      <c r="A24" s="1358"/>
      <c r="B24" s="895"/>
      <c r="C24" s="1358"/>
      <c r="D24" s="891" t="s">
        <v>1128</v>
      </c>
      <c r="E24" s="892">
        <v>400000</v>
      </c>
    </row>
    <row r="25" spans="1:5" ht="15.75" thickBot="1" x14ac:dyDescent="0.3">
      <c r="A25" s="1358"/>
      <c r="B25" s="895"/>
      <c r="C25" s="1358"/>
      <c r="D25" s="1366" t="s">
        <v>1129</v>
      </c>
      <c r="E25" s="1368">
        <v>100000</v>
      </c>
    </row>
    <row r="26" spans="1:5" ht="0.75" customHeight="1" thickBot="1" x14ac:dyDescent="0.3">
      <c r="A26" s="1358"/>
      <c r="B26" s="895"/>
      <c r="C26" s="1358"/>
      <c r="D26" s="1371"/>
      <c r="E26" s="1369"/>
    </row>
    <row r="27" spans="1:5" ht="15.75" thickBot="1" x14ac:dyDescent="0.3">
      <c r="A27" s="1358"/>
      <c r="B27" s="895"/>
      <c r="C27" s="1358"/>
      <c r="D27" s="891" t="s">
        <v>1080</v>
      </c>
      <c r="E27" s="892">
        <v>350000</v>
      </c>
    </row>
    <row r="28" spans="1:5" ht="15.75" thickBot="1" x14ac:dyDescent="0.3">
      <c r="A28" s="1358"/>
      <c r="B28" s="896"/>
      <c r="C28" s="1372"/>
      <c r="D28" s="891" t="s">
        <v>1042</v>
      </c>
      <c r="E28" s="892">
        <v>1800000</v>
      </c>
    </row>
    <row r="29" spans="1:5" ht="15.75" thickBot="1" x14ac:dyDescent="0.3">
      <c r="A29" s="1358"/>
      <c r="B29" s="896"/>
      <c r="C29" s="1372"/>
      <c r="D29" s="891" t="s">
        <v>1043</v>
      </c>
      <c r="E29" s="892">
        <v>50000</v>
      </c>
    </row>
    <row r="30" spans="1:5" ht="15.75" thickBot="1" x14ac:dyDescent="0.3">
      <c r="A30" s="1359"/>
      <c r="B30" s="897"/>
      <c r="C30" s="1373"/>
      <c r="D30" s="891" t="s">
        <v>1044</v>
      </c>
      <c r="E30" s="892">
        <v>100000</v>
      </c>
    </row>
    <row r="31" spans="1:5" ht="15.75" thickBot="1" x14ac:dyDescent="0.3">
      <c r="A31" s="886" t="s">
        <v>889</v>
      </c>
      <c r="B31" s="887" t="s">
        <v>1130</v>
      </c>
      <c r="C31" s="887" t="s">
        <v>1131</v>
      </c>
      <c r="D31" s="891" t="s">
        <v>952</v>
      </c>
      <c r="E31" s="892">
        <v>350000</v>
      </c>
    </row>
    <row r="32" spans="1:5" ht="15.75" thickBot="1" x14ac:dyDescent="0.3">
      <c r="A32" s="886" t="s">
        <v>890</v>
      </c>
      <c r="B32" s="887" t="s">
        <v>1132</v>
      </c>
      <c r="C32" s="887">
        <v>648</v>
      </c>
      <c r="D32" s="891" t="s">
        <v>952</v>
      </c>
      <c r="E32" s="892">
        <v>350000</v>
      </c>
    </row>
    <row r="33" spans="1:5" ht="15.75" customHeight="1" thickBot="1" x14ac:dyDescent="0.3">
      <c r="A33" s="1357" t="s">
        <v>891</v>
      </c>
      <c r="B33" s="879" t="s">
        <v>1133</v>
      </c>
      <c r="C33" s="1370" t="s">
        <v>1134</v>
      </c>
      <c r="D33" s="1366" t="s">
        <v>1081</v>
      </c>
      <c r="E33" s="1368">
        <v>100000</v>
      </c>
    </row>
    <row r="34" spans="1:5" ht="15.75" hidden="1" customHeight="1" thickBot="1" x14ac:dyDescent="0.3">
      <c r="A34" s="1358"/>
      <c r="B34" s="883" t="s">
        <v>1135</v>
      </c>
      <c r="C34" s="1358"/>
      <c r="D34" s="1371"/>
      <c r="E34" s="1369"/>
    </row>
    <row r="35" spans="1:5" ht="15.75" thickBot="1" x14ac:dyDescent="0.3">
      <c r="A35" s="1359"/>
      <c r="B35" s="887" t="s">
        <v>1136</v>
      </c>
      <c r="C35" s="1359"/>
      <c r="D35" s="891" t="s">
        <v>966</v>
      </c>
      <c r="E35" s="892">
        <v>50000</v>
      </c>
    </row>
    <row r="36" spans="1:5" ht="14.25" customHeight="1" thickBot="1" x14ac:dyDescent="0.3">
      <c r="A36" s="878" t="s">
        <v>892</v>
      </c>
      <c r="B36" s="878" t="s">
        <v>1137</v>
      </c>
      <c r="C36" s="878" t="s">
        <v>1138</v>
      </c>
      <c r="D36" s="891" t="s">
        <v>1139</v>
      </c>
      <c r="E36" s="892">
        <v>50000</v>
      </c>
    </row>
    <row r="37" spans="1:5" ht="15.75" customHeight="1" thickBot="1" x14ac:dyDescent="0.3">
      <c r="A37" s="882"/>
      <c r="B37" s="883"/>
      <c r="C37" s="898"/>
      <c r="D37" s="899" t="s">
        <v>1140</v>
      </c>
      <c r="E37" s="900">
        <v>150000</v>
      </c>
    </row>
    <row r="38" spans="1:5" ht="15.75" customHeight="1" thickBot="1" x14ac:dyDescent="0.3">
      <c r="A38" s="882"/>
      <c r="B38" s="901" t="s">
        <v>1141</v>
      </c>
      <c r="C38" s="902"/>
      <c r="D38" s="903" t="s">
        <v>970</v>
      </c>
      <c r="E38" s="892">
        <v>100000</v>
      </c>
    </row>
    <row r="39" spans="1:5" ht="15.75" thickBot="1" x14ac:dyDescent="0.3">
      <c r="A39" s="904" t="s">
        <v>893</v>
      </c>
      <c r="B39" s="901" t="s">
        <v>1082</v>
      </c>
      <c r="C39" s="902"/>
      <c r="D39" s="903" t="s">
        <v>1083</v>
      </c>
      <c r="E39" s="892">
        <v>3000000</v>
      </c>
    </row>
    <row r="40" spans="1:5" ht="16.5" customHeight="1" thickBot="1" x14ac:dyDescent="0.3">
      <c r="A40" s="1357" t="s">
        <v>894</v>
      </c>
      <c r="B40" s="883" t="s">
        <v>1142</v>
      </c>
      <c r="C40" s="1360" t="s">
        <v>1143</v>
      </c>
      <c r="D40" s="891" t="s">
        <v>1045</v>
      </c>
      <c r="E40" s="892">
        <v>100000</v>
      </c>
    </row>
    <row r="41" spans="1:5" ht="15.75" thickBot="1" x14ac:dyDescent="0.3">
      <c r="A41" s="1358"/>
      <c r="B41" s="883" t="s">
        <v>1144</v>
      </c>
      <c r="C41" s="1361"/>
      <c r="D41" s="891" t="s">
        <v>1145</v>
      </c>
      <c r="E41" s="892">
        <v>3000000</v>
      </c>
    </row>
    <row r="42" spans="1:5" ht="15.75" thickBot="1" x14ac:dyDescent="0.3">
      <c r="A42" s="1359"/>
      <c r="B42" s="905"/>
      <c r="C42" s="1362"/>
      <c r="D42" s="891" t="s">
        <v>1046</v>
      </c>
      <c r="E42" s="892">
        <v>2300000</v>
      </c>
    </row>
    <row r="43" spans="1:5" ht="15.75" thickBot="1" x14ac:dyDescent="0.3">
      <c r="A43" s="886" t="s">
        <v>895</v>
      </c>
      <c r="B43" s="887" t="s">
        <v>1146</v>
      </c>
      <c r="C43" s="887"/>
      <c r="D43" s="891" t="s">
        <v>1047</v>
      </c>
      <c r="E43" s="892">
        <v>3000000</v>
      </c>
    </row>
    <row r="44" spans="1:5" ht="15.75" thickBot="1" x14ac:dyDescent="0.3">
      <c r="A44" s="904" t="s">
        <v>896</v>
      </c>
      <c r="B44" s="901" t="s">
        <v>1084</v>
      </c>
      <c r="C44" s="901"/>
      <c r="D44" s="891" t="s">
        <v>1085</v>
      </c>
      <c r="E44" s="892">
        <v>13000000</v>
      </c>
    </row>
    <row r="45" spans="1:5" ht="15.75" thickBot="1" x14ac:dyDescent="0.3">
      <c r="A45" s="904" t="s">
        <v>897</v>
      </c>
      <c r="B45" s="902" t="s">
        <v>1147</v>
      </c>
      <c r="C45" s="904"/>
      <c r="D45" s="891" t="s">
        <v>1048</v>
      </c>
      <c r="E45" s="892">
        <v>1000000</v>
      </c>
    </row>
    <row r="46" spans="1:5" ht="15.75" thickBot="1" x14ac:dyDescent="0.3">
      <c r="A46" s="886" t="s">
        <v>898</v>
      </c>
      <c r="B46" s="906" t="s">
        <v>1148</v>
      </c>
      <c r="C46" s="886"/>
      <c r="D46" s="891" t="s">
        <v>1149</v>
      </c>
      <c r="E46" s="892">
        <v>5000000</v>
      </c>
    </row>
    <row r="47" spans="1:5" x14ac:dyDescent="0.25">
      <c r="A47" s="907" t="s">
        <v>920</v>
      </c>
      <c r="B47" s="908"/>
      <c r="C47" s="907"/>
      <c r="D47" s="909"/>
      <c r="E47" s="910">
        <f>SUM(E9:E46)</f>
        <v>36395000</v>
      </c>
    </row>
    <row r="48" spans="1:5" x14ac:dyDescent="0.25">
      <c r="A48" s="898"/>
      <c r="B48" s="911"/>
      <c r="C48" s="911"/>
      <c r="D48" s="912"/>
      <c r="E48" s="913"/>
    </row>
    <row r="49" spans="1:5" x14ac:dyDescent="0.25">
      <c r="A49" s="898"/>
      <c r="B49" s="911"/>
      <c r="C49" s="911"/>
      <c r="D49" s="912"/>
      <c r="E49" s="914"/>
    </row>
    <row r="50" spans="1:5" x14ac:dyDescent="0.25">
      <c r="D50" s="915"/>
      <c r="E50" s="916"/>
    </row>
    <row r="51" spans="1:5" x14ac:dyDescent="0.25">
      <c r="A51" s="917"/>
      <c r="B51" s="912"/>
      <c r="D51" s="918"/>
      <c r="E51" s="919"/>
    </row>
    <row r="52" spans="1:5" x14ac:dyDescent="0.25">
      <c r="A52" s="911"/>
      <c r="B52" s="912"/>
    </row>
    <row r="53" spans="1:5" x14ac:dyDescent="0.25">
      <c r="A53" s="912"/>
      <c r="B53" s="912"/>
    </row>
    <row r="54" spans="1:5" x14ac:dyDescent="0.25">
      <c r="A54" s="921"/>
      <c r="B54" s="922"/>
    </row>
    <row r="55" spans="1:5" x14ac:dyDescent="0.25">
      <c r="A55" s="921"/>
      <c r="B55" s="922"/>
    </row>
    <row r="56" spans="1:5" x14ac:dyDescent="0.25">
      <c r="A56" s="921"/>
      <c r="B56" s="922"/>
    </row>
    <row r="57" spans="1:5" x14ac:dyDescent="0.25">
      <c r="A57" s="921"/>
      <c r="B57" s="922"/>
    </row>
    <row r="58" spans="1:5" x14ac:dyDescent="0.25">
      <c r="A58" s="921"/>
      <c r="B58" s="922"/>
    </row>
    <row r="59" spans="1:5" x14ac:dyDescent="0.25">
      <c r="A59" s="921"/>
      <c r="B59" s="922"/>
    </row>
    <row r="60" spans="1:5" x14ac:dyDescent="0.25">
      <c r="A60" s="921"/>
      <c r="B60" s="922"/>
    </row>
    <row r="61" spans="1:5" x14ac:dyDescent="0.25">
      <c r="A61" s="921"/>
      <c r="B61" s="922"/>
    </row>
    <row r="62" spans="1:5" x14ac:dyDescent="0.25">
      <c r="A62" s="921"/>
      <c r="B62" s="922"/>
    </row>
    <row r="63" spans="1:5" x14ac:dyDescent="0.25">
      <c r="A63" s="921"/>
      <c r="B63" s="922"/>
    </row>
    <row r="64" spans="1:5" x14ac:dyDescent="0.25">
      <c r="A64" s="921"/>
      <c r="B64" s="922"/>
    </row>
    <row r="65" spans="1:2" x14ac:dyDescent="0.25">
      <c r="A65" s="921"/>
      <c r="B65" s="922"/>
    </row>
    <row r="66" spans="1:2" x14ac:dyDescent="0.25">
      <c r="A66" s="921"/>
      <c r="B66" s="922"/>
    </row>
    <row r="67" spans="1:2" x14ac:dyDescent="0.25">
      <c r="A67" s="921"/>
      <c r="B67" s="922"/>
    </row>
    <row r="68" spans="1:2" x14ac:dyDescent="0.25">
      <c r="A68" s="921"/>
      <c r="B68" s="922"/>
    </row>
    <row r="69" spans="1:2" x14ac:dyDescent="0.25">
      <c r="A69" s="921"/>
      <c r="B69" s="922"/>
    </row>
    <row r="70" spans="1:2" x14ac:dyDescent="0.25">
      <c r="A70" s="921"/>
      <c r="B70" s="922"/>
    </row>
    <row r="71" spans="1:2" x14ac:dyDescent="0.25">
      <c r="A71" s="921"/>
      <c r="B71" s="922"/>
    </row>
    <row r="72" spans="1:2" x14ac:dyDescent="0.25">
      <c r="A72" s="921"/>
      <c r="B72" s="922"/>
    </row>
    <row r="73" spans="1:2" x14ac:dyDescent="0.25">
      <c r="A73" s="921"/>
      <c r="B73" s="922"/>
    </row>
    <row r="74" spans="1:2" x14ac:dyDescent="0.25">
      <c r="A74" s="912"/>
      <c r="B74" s="912"/>
    </row>
  </sheetData>
  <mergeCells count="17">
    <mergeCell ref="A40:A42"/>
    <mergeCell ref="C40:C42"/>
    <mergeCell ref="A20:A30"/>
    <mergeCell ref="C20:C30"/>
    <mergeCell ref="D25:D26"/>
    <mergeCell ref="E25:E26"/>
    <mergeCell ref="A33:A35"/>
    <mergeCell ref="C33:C35"/>
    <mergeCell ref="D33:D34"/>
    <mergeCell ref="E33:E34"/>
    <mergeCell ref="A1:E1"/>
    <mergeCell ref="A13:A16"/>
    <mergeCell ref="C13:C16"/>
    <mergeCell ref="A17:A19"/>
    <mergeCell ref="C17:C19"/>
    <mergeCell ref="D18:D19"/>
    <mergeCell ref="E18:E19"/>
  </mergeCells>
  <pageMargins left="0.98425196850393704" right="0.98425196850393704" top="0.98425196850393704" bottom="0.98425196850393704" header="0.51181102362204722" footer="0.51181102362204722"/>
  <pageSetup paperSize="9" scale="70" orientation="portrait" r:id="rId1"/>
  <headerFooter>
    <oddHeader>&amp;R&amp;"Times New Roman CE,Félkövér dőlt"&amp;11 2. számú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3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75" t="s">
        <v>871</v>
      </c>
      <c r="C1" s="1375"/>
      <c r="D1" s="1375"/>
    </row>
    <row r="2" spans="1:4" s="81" customFormat="1" ht="16.5" thickBot="1" x14ac:dyDescent="0.3">
      <c r="A2" s="80"/>
      <c r="B2" s="400"/>
      <c r="D2" s="47" t="s">
        <v>11</v>
      </c>
    </row>
    <row r="3" spans="1:4" s="83" customFormat="1" ht="48" customHeight="1" thickBot="1" x14ac:dyDescent="0.25">
      <c r="A3" s="82" t="s">
        <v>883</v>
      </c>
      <c r="B3" s="199" t="s">
        <v>884</v>
      </c>
      <c r="C3" s="199" t="s">
        <v>19</v>
      </c>
      <c r="D3" s="200" t="s">
        <v>20</v>
      </c>
    </row>
    <row r="4" spans="1:4" s="83" customFormat="1" ht="14.1" customHeight="1" thickBot="1" x14ac:dyDescent="0.25">
      <c r="A4" s="40">
        <v>1</v>
      </c>
      <c r="B4" s="202">
        <v>2</v>
      </c>
      <c r="C4" s="202">
        <v>3</v>
      </c>
      <c r="D4" s="203">
        <v>4</v>
      </c>
    </row>
    <row r="5" spans="1:4" ht="18" customHeight="1" x14ac:dyDescent="0.2">
      <c r="A5" s="135" t="s">
        <v>885</v>
      </c>
      <c r="B5" s="204" t="s">
        <v>119</v>
      </c>
      <c r="C5" s="133">
        <v>0</v>
      </c>
      <c r="D5" s="84"/>
    </row>
    <row r="6" spans="1:4" ht="18" customHeight="1" x14ac:dyDescent="0.2">
      <c r="A6" s="85" t="s">
        <v>886</v>
      </c>
      <c r="B6" s="205" t="s">
        <v>120</v>
      </c>
      <c r="C6" s="134">
        <v>0</v>
      </c>
      <c r="D6" s="87"/>
    </row>
    <row r="7" spans="1:4" ht="18" customHeight="1" x14ac:dyDescent="0.2">
      <c r="A7" s="85" t="s">
        <v>887</v>
      </c>
      <c r="B7" s="205" t="s">
        <v>79</v>
      </c>
      <c r="C7" s="134">
        <v>0</v>
      </c>
      <c r="D7" s="87"/>
    </row>
    <row r="8" spans="1:4" ht="18" customHeight="1" x14ac:dyDescent="0.2">
      <c r="A8" s="85" t="s">
        <v>888</v>
      </c>
      <c r="B8" s="205" t="s">
        <v>80</v>
      </c>
      <c r="C8" s="134">
        <v>0</v>
      </c>
      <c r="D8" s="87"/>
    </row>
    <row r="9" spans="1:4" ht="18" customHeight="1" x14ac:dyDescent="0.2">
      <c r="A9" s="85" t="s">
        <v>889</v>
      </c>
      <c r="B9" s="205" t="s">
        <v>111</v>
      </c>
      <c r="C9" s="134"/>
      <c r="D9" s="87"/>
    </row>
    <row r="10" spans="1:4" ht="18" customHeight="1" x14ac:dyDescent="0.2">
      <c r="A10" s="85" t="s">
        <v>890</v>
      </c>
      <c r="B10" s="205" t="s">
        <v>112</v>
      </c>
      <c r="C10" s="134">
        <f>3310+16057+292+154+109</f>
        <v>19922</v>
      </c>
      <c r="D10" s="87">
        <v>19922</v>
      </c>
    </row>
    <row r="11" spans="1:4" ht="18" customHeight="1" x14ac:dyDescent="0.2">
      <c r="A11" s="85" t="s">
        <v>891</v>
      </c>
      <c r="B11" s="206" t="s">
        <v>113</v>
      </c>
      <c r="C11" s="134"/>
      <c r="D11" s="87"/>
    </row>
    <row r="12" spans="1:4" ht="18" customHeight="1" x14ac:dyDescent="0.2">
      <c r="A12" s="85" t="s">
        <v>892</v>
      </c>
      <c r="B12" s="206" t="s">
        <v>114</v>
      </c>
      <c r="C12" s="134"/>
      <c r="D12" s="87"/>
    </row>
    <row r="13" spans="1:4" ht="18" customHeight="1" x14ac:dyDescent="0.2">
      <c r="A13" s="85" t="s">
        <v>893</v>
      </c>
      <c r="B13" s="206" t="s">
        <v>115</v>
      </c>
      <c r="C13" s="134"/>
      <c r="D13" s="87"/>
    </row>
    <row r="14" spans="1:4" ht="18" customHeight="1" x14ac:dyDescent="0.2">
      <c r="A14" s="85" t="s">
        <v>894</v>
      </c>
      <c r="B14" s="206" t="s">
        <v>116</v>
      </c>
      <c r="C14" s="134"/>
      <c r="D14" s="87"/>
    </row>
    <row r="15" spans="1:4" ht="18" customHeight="1" x14ac:dyDescent="0.2">
      <c r="A15" s="85" t="s">
        <v>895</v>
      </c>
      <c r="B15" s="206" t="s">
        <v>117</v>
      </c>
      <c r="C15" s="134"/>
      <c r="D15" s="87"/>
    </row>
    <row r="16" spans="1:4" ht="22.5" customHeight="1" x14ac:dyDescent="0.2">
      <c r="A16" s="85" t="s">
        <v>896</v>
      </c>
      <c r="B16" s="206" t="s">
        <v>118</v>
      </c>
      <c r="C16" s="134"/>
      <c r="D16" s="87"/>
    </row>
    <row r="17" spans="1:8" ht="18" customHeight="1" x14ac:dyDescent="0.2">
      <c r="A17" s="85" t="s">
        <v>897</v>
      </c>
      <c r="B17" s="205" t="s">
        <v>81</v>
      </c>
      <c r="C17" s="134"/>
      <c r="D17" s="87"/>
    </row>
    <row r="18" spans="1:8" ht="22.5" x14ac:dyDescent="0.2">
      <c r="A18" s="85" t="s">
        <v>898</v>
      </c>
      <c r="B18" s="205" t="s">
        <v>669</v>
      </c>
      <c r="C18" s="134">
        <f>SUM(C19:C29)</f>
        <v>1665.3000000000002</v>
      </c>
      <c r="D18" s="87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5"/>
      <c r="B19" s="206" t="s">
        <v>658</v>
      </c>
      <c r="C19" s="134">
        <f>H19</f>
        <v>660.66</v>
      </c>
      <c r="D19" s="87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5"/>
      <c r="B20" s="206" t="s">
        <v>659</v>
      </c>
      <c r="C20" s="134">
        <f t="shared" ref="C20:C29" si="0">H20</f>
        <v>305.76</v>
      </c>
      <c r="D20" s="87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5"/>
      <c r="B21" s="206" t="s">
        <v>660</v>
      </c>
      <c r="C21" s="134">
        <f t="shared" si="0"/>
        <v>145.6</v>
      </c>
      <c r="D21" s="87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5"/>
      <c r="B22" s="206" t="s">
        <v>661</v>
      </c>
      <c r="C22" s="134">
        <f t="shared" si="0"/>
        <v>72.8</v>
      </c>
      <c r="D22" s="87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5"/>
      <c r="B23" s="206" t="s">
        <v>662</v>
      </c>
      <c r="C23" s="134">
        <f t="shared" si="0"/>
        <v>182</v>
      </c>
      <c r="D23" s="87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5"/>
      <c r="B24" s="206" t="s">
        <v>663</v>
      </c>
      <c r="C24" s="134">
        <f t="shared" si="0"/>
        <v>141.96</v>
      </c>
      <c r="D24" s="87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5"/>
      <c r="B25" s="206" t="s">
        <v>664</v>
      </c>
      <c r="C25" s="134">
        <f t="shared" si="0"/>
        <v>61.88</v>
      </c>
      <c r="D25" s="87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5"/>
      <c r="B26" s="206" t="s">
        <v>665</v>
      </c>
      <c r="C26" s="134">
        <f t="shared" si="0"/>
        <v>36.4</v>
      </c>
      <c r="D26" s="87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5"/>
      <c r="B27" s="206" t="s">
        <v>666</v>
      </c>
      <c r="C27" s="134">
        <f t="shared" si="0"/>
        <v>36.4</v>
      </c>
      <c r="D27" s="87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5"/>
      <c r="B28" s="206" t="s">
        <v>667</v>
      </c>
      <c r="C28" s="134">
        <f t="shared" si="0"/>
        <v>7.28</v>
      </c>
      <c r="D28" s="87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5"/>
      <c r="B29" s="206" t="s">
        <v>668</v>
      </c>
      <c r="C29" s="134">
        <f t="shared" si="0"/>
        <v>14.56</v>
      </c>
      <c r="D29" s="87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5"/>
      <c r="B30" s="205"/>
      <c r="C30" s="134"/>
      <c r="D30" s="87"/>
    </row>
    <row r="31" spans="1:8" ht="18" customHeight="1" x14ac:dyDescent="0.2">
      <c r="A31" s="85" t="s">
        <v>899</v>
      </c>
      <c r="B31" s="205" t="s">
        <v>872</v>
      </c>
      <c r="C31" s="134"/>
      <c r="D31" s="87"/>
    </row>
    <row r="32" spans="1:8" ht="18" customHeight="1" x14ac:dyDescent="0.2">
      <c r="A32" s="85" t="s">
        <v>900</v>
      </c>
      <c r="B32" s="205" t="s">
        <v>82</v>
      </c>
      <c r="C32" s="134"/>
      <c r="D32" s="87"/>
    </row>
    <row r="33" spans="1:4" ht="18" customHeight="1" x14ac:dyDescent="0.2">
      <c r="A33" s="85" t="s">
        <v>901</v>
      </c>
      <c r="B33" s="205" t="s">
        <v>83</v>
      </c>
      <c r="C33" s="134"/>
      <c r="D33" s="87"/>
    </row>
    <row r="34" spans="1:4" ht="18" customHeight="1" x14ac:dyDescent="0.2">
      <c r="A34" s="85" t="s">
        <v>909</v>
      </c>
      <c r="B34" s="88"/>
      <c r="C34" s="86"/>
      <c r="D34" s="87"/>
    </row>
    <row r="35" spans="1:4" ht="18" customHeight="1" thickBot="1" x14ac:dyDescent="0.25">
      <c r="A35" s="136" t="s">
        <v>910</v>
      </c>
      <c r="B35" s="89"/>
      <c r="C35" s="90"/>
      <c r="D35" s="91"/>
    </row>
    <row r="36" spans="1:4" ht="18" customHeight="1" thickBot="1" x14ac:dyDescent="0.25">
      <c r="A36" s="41" t="s">
        <v>911</v>
      </c>
      <c r="B36" s="210" t="s">
        <v>920</v>
      </c>
      <c r="C36" s="211">
        <f>SUM(C5:C35)-C18</f>
        <v>21587.3</v>
      </c>
      <c r="D36" s="211">
        <f>SUM(D5:D35)-D18</f>
        <v>21587.3</v>
      </c>
    </row>
    <row r="37" spans="1:4" ht="8.25" customHeight="1" x14ac:dyDescent="0.2">
      <c r="A37" s="92"/>
      <c r="B37" s="1374"/>
      <c r="C37" s="1374"/>
      <c r="D37" s="1374"/>
    </row>
  </sheetData>
  <mergeCells count="2">
    <mergeCell ref="B37:D37"/>
    <mergeCell ref="B1:D1"/>
  </mergeCells>
  <phoneticPr fontId="32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4"/>
  <sheetViews>
    <sheetView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4" customWidth="1"/>
    <col min="5" max="5" width="14.33203125" bestFit="1" customWidth="1"/>
  </cols>
  <sheetData>
    <row r="1" spans="1:7" ht="15" x14ac:dyDescent="0.25">
      <c r="A1" s="1377" t="s">
        <v>955</v>
      </c>
      <c r="B1" s="1377"/>
      <c r="C1" s="1377"/>
      <c r="D1" s="1377"/>
      <c r="E1" s="1377"/>
    </row>
    <row r="2" spans="1:7" ht="35.25" customHeight="1" x14ac:dyDescent="0.25">
      <c r="A2" s="1376" t="s">
        <v>1150</v>
      </c>
      <c r="B2" s="1376"/>
      <c r="C2" s="1376"/>
      <c r="D2" s="1376"/>
      <c r="E2" s="1376"/>
    </row>
    <row r="3" spans="1:7" ht="17.25" customHeight="1" x14ac:dyDescent="0.25">
      <c r="A3" s="401"/>
      <c r="B3" s="401"/>
      <c r="C3" s="401"/>
    </row>
    <row r="4" spans="1:7" ht="13.5" thickBot="1" x14ac:dyDescent="0.25">
      <c r="A4" s="212"/>
      <c r="B4" s="212"/>
      <c r="C4" s="706"/>
      <c r="D4" s="1378" t="s">
        <v>923</v>
      </c>
      <c r="E4" s="1378"/>
    </row>
    <row r="5" spans="1:7" ht="42.75" customHeight="1" thickBot="1" x14ac:dyDescent="0.25">
      <c r="A5" s="402" t="s">
        <v>17</v>
      </c>
      <c r="B5" s="403" t="s">
        <v>84</v>
      </c>
      <c r="C5" s="403" t="s">
        <v>85</v>
      </c>
      <c r="D5" s="670" t="s">
        <v>1151</v>
      </c>
      <c r="E5" s="574" t="s">
        <v>1072</v>
      </c>
    </row>
    <row r="6" spans="1:7" ht="15.95" customHeight="1" thickBot="1" x14ac:dyDescent="0.25">
      <c r="A6" s="772" t="s">
        <v>885</v>
      </c>
      <c r="B6" s="773" t="s">
        <v>573</v>
      </c>
      <c r="C6" s="773" t="s">
        <v>574</v>
      </c>
      <c r="D6" s="774">
        <v>500</v>
      </c>
      <c r="E6" s="775">
        <v>425</v>
      </c>
    </row>
    <row r="7" spans="1:7" ht="15.95" customHeight="1" thickBot="1" x14ac:dyDescent="0.25">
      <c r="A7" s="1382" t="s">
        <v>974</v>
      </c>
      <c r="B7" s="1383"/>
      <c r="C7" s="1384"/>
      <c r="D7" s="777">
        <f>SUM(D6)</f>
        <v>500</v>
      </c>
      <c r="E7" s="777">
        <f>SUM(E6)</f>
        <v>425</v>
      </c>
    </row>
    <row r="8" spans="1:7" ht="15.95" customHeight="1" x14ac:dyDescent="0.2">
      <c r="A8" s="769" t="s">
        <v>886</v>
      </c>
      <c r="B8" s="770" t="s">
        <v>578</v>
      </c>
      <c r="C8" s="770" t="s">
        <v>575</v>
      </c>
      <c r="D8" s="776">
        <v>734</v>
      </c>
      <c r="E8" s="771">
        <v>725</v>
      </c>
      <c r="G8" s="484"/>
    </row>
    <row r="9" spans="1:7" ht="15.95" customHeight="1" x14ac:dyDescent="0.2">
      <c r="A9" s="769" t="s">
        <v>887</v>
      </c>
      <c r="B9" s="37" t="s">
        <v>576</v>
      </c>
      <c r="C9" s="37" t="s">
        <v>577</v>
      </c>
      <c r="D9" s="704">
        <v>480</v>
      </c>
      <c r="E9" s="575">
        <v>480</v>
      </c>
    </row>
    <row r="10" spans="1:7" s="705" customFormat="1" ht="15.95" customHeight="1" x14ac:dyDescent="0.2">
      <c r="A10" s="769" t="s">
        <v>888</v>
      </c>
      <c r="B10" s="810" t="s">
        <v>1152</v>
      </c>
      <c r="C10" s="810" t="s">
        <v>1153</v>
      </c>
      <c r="D10" s="811">
        <v>1000</v>
      </c>
      <c r="E10" s="812">
        <v>1000</v>
      </c>
    </row>
    <row r="11" spans="1:7" s="705" customFormat="1" ht="15.95" customHeight="1" x14ac:dyDescent="0.2">
      <c r="A11" s="769" t="s">
        <v>889</v>
      </c>
      <c r="B11" s="834" t="s">
        <v>1034</v>
      </c>
      <c r="C11" s="834" t="s">
        <v>1154</v>
      </c>
      <c r="D11" s="835">
        <v>386</v>
      </c>
      <c r="E11" s="836">
        <v>250</v>
      </c>
    </row>
    <row r="12" spans="1:7" s="705" customFormat="1" ht="15.95" customHeight="1" thickBot="1" x14ac:dyDescent="0.25">
      <c r="A12" s="769" t="s">
        <v>890</v>
      </c>
      <c r="B12" s="814" t="s">
        <v>1067</v>
      </c>
      <c r="C12" s="814" t="s">
        <v>1068</v>
      </c>
      <c r="D12" s="813">
        <v>240</v>
      </c>
      <c r="E12" s="837">
        <v>240</v>
      </c>
    </row>
    <row r="13" spans="1:7" s="779" customFormat="1" ht="15.95" customHeight="1" thickBot="1" x14ac:dyDescent="0.25">
      <c r="A13" s="1382" t="s">
        <v>975</v>
      </c>
      <c r="B13" s="1383"/>
      <c r="C13" s="1384"/>
      <c r="D13" s="777">
        <f>SUM(D8:D12)</f>
        <v>2840</v>
      </c>
      <c r="E13" s="778">
        <f>SUM(E8:E12)</f>
        <v>2695</v>
      </c>
    </row>
    <row r="14" spans="1:7" ht="15.95" customHeight="1" thickBot="1" x14ac:dyDescent="0.25">
      <c r="A14" s="1379" t="s">
        <v>920</v>
      </c>
      <c r="B14" s="1380"/>
      <c r="C14" s="1381"/>
      <c r="D14" s="671">
        <f>D7+D13</f>
        <v>3340</v>
      </c>
      <c r="E14" s="576">
        <f>E7+E13</f>
        <v>3120</v>
      </c>
      <c r="F14" s="484"/>
    </row>
  </sheetData>
  <mergeCells count="6">
    <mergeCell ref="A2:E2"/>
    <mergeCell ref="A1:E1"/>
    <mergeCell ref="D4:E4"/>
    <mergeCell ref="A14:C14"/>
    <mergeCell ref="A7:C7"/>
    <mergeCell ref="A13:C13"/>
  </mergeCells>
  <phoneticPr fontId="32" type="noConversion"/>
  <conditionalFormatting sqref="D14">
    <cfRule type="cellIs" dxfId="1" priority="2" stopIfTrue="1" operator="equal">
      <formula>0</formula>
    </cfRule>
  </conditionalFormatting>
  <conditionalFormatting sqref="E1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6.1640625" style="103" customWidth="1"/>
    <col min="2" max="2" width="30.33203125" style="121" bestFit="1" customWidth="1"/>
    <col min="3" max="3" width="12" style="121" bestFit="1" customWidth="1"/>
    <col min="4" max="4" width="13.6640625" style="121" customWidth="1"/>
    <col min="5" max="5" width="12" style="121" bestFit="1" customWidth="1"/>
    <col min="6" max="16384" width="9.33203125" style="121"/>
  </cols>
  <sheetData>
    <row r="1" spans="1:5" x14ac:dyDescent="0.25">
      <c r="A1" s="1385" t="s">
        <v>954</v>
      </c>
      <c r="B1" s="1385"/>
      <c r="C1" s="1385"/>
      <c r="D1" s="1385"/>
      <c r="E1" s="1385"/>
    </row>
    <row r="2" spans="1:5" ht="27.75" customHeight="1" x14ac:dyDescent="0.25">
      <c r="A2" s="1354" t="s">
        <v>1155</v>
      </c>
      <c r="B2" s="1354"/>
      <c r="C2" s="1354"/>
      <c r="D2" s="1354"/>
      <c r="E2" s="1354"/>
    </row>
    <row r="3" spans="1:5" ht="16.5" thickBot="1" x14ac:dyDescent="0.3">
      <c r="D3" s="5"/>
      <c r="E3" s="5" t="s">
        <v>923</v>
      </c>
    </row>
    <row r="4" spans="1:5" s="103" customFormat="1" ht="33" customHeight="1" thickBot="1" x14ac:dyDescent="0.3">
      <c r="A4" s="100" t="s">
        <v>883</v>
      </c>
      <c r="B4" s="101" t="s">
        <v>12</v>
      </c>
      <c r="C4" s="923" t="s">
        <v>1072</v>
      </c>
      <c r="D4" s="923" t="s">
        <v>1156</v>
      </c>
      <c r="E4" s="924" t="s">
        <v>1157</v>
      </c>
    </row>
    <row r="5" spans="1:5" s="105" customFormat="1" ht="15" customHeight="1" thickBot="1" x14ac:dyDescent="0.25">
      <c r="A5" s="104" t="s">
        <v>885</v>
      </c>
      <c r="B5" s="1351" t="s">
        <v>926</v>
      </c>
      <c r="C5" s="1352"/>
      <c r="D5" s="1352"/>
      <c r="E5" s="1353"/>
    </row>
    <row r="6" spans="1:5" s="105" customFormat="1" ht="15" customHeight="1" x14ac:dyDescent="0.2">
      <c r="A6" s="106" t="s">
        <v>886</v>
      </c>
      <c r="B6" s="107" t="s">
        <v>142</v>
      </c>
      <c r="C6" s="108">
        <f>'1.1.sz.mell.'!C6</f>
        <v>98900</v>
      </c>
      <c r="D6" s="108">
        <v>98000</v>
      </c>
      <c r="E6" s="807">
        <v>98000</v>
      </c>
    </row>
    <row r="7" spans="1:5" s="113" customFormat="1" ht="14.1" customHeight="1" x14ac:dyDescent="0.2">
      <c r="A7" s="110" t="s">
        <v>887</v>
      </c>
      <c r="B7" s="299" t="s">
        <v>927</v>
      </c>
      <c r="C7" s="111">
        <f>'1.1.sz.mell.'!C11</f>
        <v>19617</v>
      </c>
      <c r="D7" s="111">
        <v>20000</v>
      </c>
      <c r="E7" s="808">
        <v>20000</v>
      </c>
    </row>
    <row r="8" spans="1:5" s="113" customFormat="1" x14ac:dyDescent="0.2">
      <c r="A8" s="110" t="s">
        <v>888</v>
      </c>
      <c r="B8" s="300" t="s">
        <v>0</v>
      </c>
      <c r="C8" s="114">
        <f>'1.1.sz.mell.'!C20</f>
        <v>7800</v>
      </c>
      <c r="D8" s="114">
        <v>7500</v>
      </c>
      <c r="E8" s="809">
        <v>7500</v>
      </c>
    </row>
    <row r="9" spans="1:5" s="113" customFormat="1" ht="14.1" customHeight="1" x14ac:dyDescent="0.2">
      <c r="A9" s="110" t="s">
        <v>889</v>
      </c>
      <c r="B9" s="299" t="s">
        <v>873</v>
      </c>
      <c r="C9" s="111">
        <f>'1.1.sz.mell.'!C21</f>
        <v>192240</v>
      </c>
      <c r="D9" s="111">
        <v>201500</v>
      </c>
      <c r="E9" s="808">
        <v>210500</v>
      </c>
    </row>
    <row r="10" spans="1:5" s="113" customFormat="1" ht="14.1" customHeight="1" x14ac:dyDescent="0.2">
      <c r="A10" s="110" t="s">
        <v>890</v>
      </c>
      <c r="B10" s="299" t="s">
        <v>874</v>
      </c>
      <c r="C10" s="111">
        <f>'1.1.sz.mell.'!C30</f>
        <v>19900</v>
      </c>
      <c r="D10" s="111">
        <v>4000</v>
      </c>
      <c r="E10" s="808">
        <v>4000</v>
      </c>
    </row>
    <row r="11" spans="1:5" s="113" customFormat="1" ht="14.1" customHeight="1" x14ac:dyDescent="0.2">
      <c r="A11" s="110" t="s">
        <v>891</v>
      </c>
      <c r="B11" s="299" t="s">
        <v>875</v>
      </c>
      <c r="C11" s="111">
        <f>'1.1.sz.mell.'!C43</f>
        <v>7000</v>
      </c>
      <c r="D11" s="111"/>
      <c r="E11" s="808"/>
    </row>
    <row r="12" spans="1:5" s="113" customFormat="1" ht="14.1" customHeight="1" x14ac:dyDescent="0.2">
      <c r="A12" s="110" t="s">
        <v>892</v>
      </c>
      <c r="B12" s="299" t="s">
        <v>876</v>
      </c>
      <c r="C12" s="111">
        <f>'1.1.sz.mell.'!C46</f>
        <v>414</v>
      </c>
      <c r="D12" s="111"/>
      <c r="E12" s="808"/>
    </row>
    <row r="13" spans="1:5" s="113" customFormat="1" x14ac:dyDescent="0.2">
      <c r="A13" s="110" t="s">
        <v>893</v>
      </c>
      <c r="B13" s="301" t="s">
        <v>877</v>
      </c>
      <c r="C13" s="111"/>
      <c r="D13" s="111"/>
      <c r="E13" s="808"/>
    </row>
    <row r="14" spans="1:5" s="113" customFormat="1" ht="14.1" customHeight="1" thickBot="1" x14ac:dyDescent="0.25">
      <c r="A14" s="110" t="s">
        <v>894</v>
      </c>
      <c r="B14" s="299" t="s">
        <v>878</v>
      </c>
      <c r="C14" s="111"/>
      <c r="D14" s="111"/>
      <c r="E14" s="808"/>
    </row>
    <row r="15" spans="1:5" s="105" customFormat="1" ht="15.95" customHeight="1" thickBot="1" x14ac:dyDescent="0.25">
      <c r="A15" s="104" t="s">
        <v>895</v>
      </c>
      <c r="B15" s="42" t="s">
        <v>68</v>
      </c>
      <c r="C15" s="115">
        <f>SUM(C6:C14)</f>
        <v>345871</v>
      </c>
      <c r="D15" s="115">
        <f>SUM(D6:D14)</f>
        <v>331000</v>
      </c>
      <c r="E15" s="116">
        <f>SUM(E6:E14)</f>
        <v>340000</v>
      </c>
    </row>
    <row r="16" spans="1:5" s="105" customFormat="1" ht="15" customHeight="1" thickBot="1" x14ac:dyDescent="0.25">
      <c r="A16" s="104" t="s">
        <v>896</v>
      </c>
      <c r="B16" s="1351" t="s">
        <v>1</v>
      </c>
      <c r="C16" s="1352"/>
      <c r="D16" s="1352"/>
      <c r="E16" s="1353"/>
    </row>
    <row r="17" spans="1:5" s="113" customFormat="1" ht="14.1" customHeight="1" x14ac:dyDescent="0.2">
      <c r="A17" s="117" t="s">
        <v>897</v>
      </c>
      <c r="B17" s="302" t="s">
        <v>13</v>
      </c>
      <c r="C17" s="114">
        <f>'1.1.sz.mell.'!C74</f>
        <v>136029</v>
      </c>
      <c r="D17" s="114">
        <v>142000</v>
      </c>
      <c r="E17" s="809">
        <v>146000</v>
      </c>
    </row>
    <row r="18" spans="1:5" s="113" customFormat="1" ht="22.5" x14ac:dyDescent="0.2">
      <c r="A18" s="110" t="s">
        <v>898</v>
      </c>
      <c r="B18" s="301" t="s">
        <v>164</v>
      </c>
      <c r="C18" s="111">
        <f>'1.1.sz.mell.'!C75</f>
        <v>32103</v>
      </c>
      <c r="D18" s="111">
        <f>D17*0.22</f>
        <v>31240</v>
      </c>
      <c r="E18" s="808">
        <f>E17*0.22</f>
        <v>32120</v>
      </c>
    </row>
    <row r="19" spans="1:5" s="113" customFormat="1" x14ac:dyDescent="0.2">
      <c r="A19" s="110" t="s">
        <v>899</v>
      </c>
      <c r="B19" s="299" t="s">
        <v>88</v>
      </c>
      <c r="C19" s="111">
        <f>'1.1.sz.mell.'!C76</f>
        <v>96220</v>
      </c>
      <c r="D19" s="111">
        <v>99260</v>
      </c>
      <c r="E19" s="808">
        <v>101380</v>
      </c>
    </row>
    <row r="20" spans="1:5" s="113" customFormat="1" x14ac:dyDescent="0.2">
      <c r="A20" s="110" t="s">
        <v>900</v>
      </c>
      <c r="B20" s="299" t="s">
        <v>165</v>
      </c>
      <c r="C20" s="111">
        <f>'1.1.sz.mell.'!C77</f>
        <v>19559</v>
      </c>
      <c r="D20" s="111">
        <v>19500</v>
      </c>
      <c r="E20" s="808">
        <v>19500</v>
      </c>
    </row>
    <row r="21" spans="1:5" s="113" customFormat="1" x14ac:dyDescent="0.2">
      <c r="A21" s="110" t="s">
        <v>901</v>
      </c>
      <c r="B21" s="299" t="s">
        <v>879</v>
      </c>
      <c r="C21" s="111">
        <f>'1.1.sz.mell.'!C78</f>
        <v>3120</v>
      </c>
      <c r="D21" s="111">
        <v>3000</v>
      </c>
      <c r="E21" s="808">
        <v>3000</v>
      </c>
    </row>
    <row r="22" spans="1:5" s="113" customFormat="1" x14ac:dyDescent="0.2">
      <c r="A22" s="110" t="s">
        <v>902</v>
      </c>
      <c r="B22" s="299" t="s">
        <v>279</v>
      </c>
      <c r="C22" s="111">
        <f>'1.1.sz.mell.'!C87</f>
        <v>32500</v>
      </c>
      <c r="D22" s="111">
        <v>36000</v>
      </c>
      <c r="E22" s="808">
        <v>38000</v>
      </c>
    </row>
    <row r="23" spans="1:5" s="113" customFormat="1" x14ac:dyDescent="0.2">
      <c r="A23" s="110" t="s">
        <v>903</v>
      </c>
      <c r="B23" s="301" t="s">
        <v>168</v>
      </c>
      <c r="C23" s="111">
        <f>'1.1.sz.mell.'!C88</f>
        <v>2050</v>
      </c>
      <c r="D23" s="111"/>
      <c r="E23" s="808"/>
    </row>
    <row r="24" spans="1:5" s="113" customFormat="1" x14ac:dyDescent="0.2">
      <c r="A24" s="110" t="s">
        <v>904</v>
      </c>
      <c r="B24" s="299" t="s">
        <v>310</v>
      </c>
      <c r="C24" s="111">
        <v>0</v>
      </c>
      <c r="D24" s="111"/>
      <c r="E24" s="808"/>
    </row>
    <row r="25" spans="1:5" s="113" customFormat="1" x14ac:dyDescent="0.2">
      <c r="A25" s="110" t="s">
        <v>905</v>
      </c>
      <c r="B25" s="299" t="s">
        <v>917</v>
      </c>
      <c r="C25" s="111">
        <f>'1.1.sz.mell.'!C97</f>
        <v>25616</v>
      </c>
      <c r="D25" s="111"/>
      <c r="E25" s="808"/>
    </row>
    <row r="26" spans="1:5" s="113" customFormat="1" x14ac:dyDescent="0.2">
      <c r="A26" s="110" t="s">
        <v>906</v>
      </c>
      <c r="B26" s="299" t="s">
        <v>880</v>
      </c>
      <c r="C26" s="111"/>
      <c r="D26" s="111"/>
      <c r="E26" s="808"/>
    </row>
    <row r="27" spans="1:5" s="113" customFormat="1" ht="16.5" thickBot="1" x14ac:dyDescent="0.25">
      <c r="A27" s="110" t="s">
        <v>907</v>
      </c>
      <c r="B27" s="299" t="s">
        <v>881</v>
      </c>
      <c r="C27" s="111"/>
      <c r="D27" s="111"/>
      <c r="E27" s="808"/>
    </row>
    <row r="28" spans="1:5" s="105" customFormat="1" ht="16.5" thickBot="1" x14ac:dyDescent="0.25">
      <c r="A28" s="118" t="s">
        <v>908</v>
      </c>
      <c r="B28" s="42" t="s">
        <v>69</v>
      </c>
      <c r="C28" s="115">
        <f>SUM(C17:C27)</f>
        <v>347197</v>
      </c>
      <c r="D28" s="115">
        <f>SUM(D17:D27)</f>
        <v>331000</v>
      </c>
      <c r="E28" s="116">
        <f>SUM(E17:E27)</f>
        <v>340000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4 C24 C17:C23 C25:C27" unlocked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14"/>
  <sheetViews>
    <sheetView view="pageBreakPreview" zoomScaleNormal="100" zoomScaleSheetLayoutView="100" workbookViewId="0">
      <selection activeCell="I19" sqref="I19"/>
    </sheetView>
  </sheetViews>
  <sheetFormatPr defaultColWidth="9.33203125" defaultRowHeight="12.75" x14ac:dyDescent="0.2"/>
  <cols>
    <col min="1" max="1" width="3.83203125" style="925" bestFit="1" customWidth="1"/>
    <col min="2" max="2" width="2.33203125" style="925" bestFit="1" customWidth="1"/>
    <col min="3" max="3" width="4.5" style="1000" customWidth="1"/>
    <col min="4" max="4" width="64.1640625" style="925" customWidth="1"/>
    <col min="5" max="6" width="12.6640625" style="925" bestFit="1" customWidth="1"/>
    <col min="7" max="7" width="12.6640625" style="925" customWidth="1"/>
    <col min="8" max="8" width="9.33203125" style="925"/>
    <col min="9" max="9" width="10.1640625" style="925" bestFit="1" customWidth="1"/>
    <col min="10" max="11" width="9.33203125" style="925"/>
    <col min="12" max="12" width="9.33203125" style="925" customWidth="1"/>
    <col min="13" max="16384" width="9.33203125" style="925"/>
  </cols>
  <sheetData>
    <row r="1" spans="1:7" ht="15" x14ac:dyDescent="0.25">
      <c r="A1" s="1385" t="s">
        <v>1029</v>
      </c>
      <c r="B1" s="1385"/>
      <c r="C1" s="1385"/>
      <c r="D1" s="1385"/>
      <c r="E1" s="1385"/>
      <c r="F1" s="1385"/>
      <c r="G1" s="1385"/>
    </row>
    <row r="2" spans="1:7" ht="32.25" customHeight="1" x14ac:dyDescent="0.2">
      <c r="A2" s="1386" t="s">
        <v>957</v>
      </c>
      <c r="B2" s="1386"/>
      <c r="C2" s="1386"/>
      <c r="D2" s="1386"/>
      <c r="E2" s="1386"/>
      <c r="F2" s="1386"/>
      <c r="G2" s="1386"/>
    </row>
    <row r="3" spans="1:7" s="928" customFormat="1" ht="13.5" thickBot="1" x14ac:dyDescent="0.25">
      <c r="A3" s="926"/>
      <c r="B3" s="926"/>
      <c r="C3" s="927"/>
      <c r="D3" s="926"/>
    </row>
    <row r="4" spans="1:7" s="930" customFormat="1" ht="26.25" thickBot="1" x14ac:dyDescent="0.25">
      <c r="A4" s="1387" t="s">
        <v>919</v>
      </c>
      <c r="B4" s="1388"/>
      <c r="C4" s="1388"/>
      <c r="D4" s="1389"/>
      <c r="E4" s="929" t="s">
        <v>956</v>
      </c>
      <c r="F4" s="929" t="s">
        <v>1037</v>
      </c>
      <c r="G4" s="929" t="s">
        <v>1158</v>
      </c>
    </row>
    <row r="5" spans="1:7" ht="14.25" customHeight="1" x14ac:dyDescent="0.2">
      <c r="A5" s="1390" t="s">
        <v>579</v>
      </c>
      <c r="B5" s="1394">
        <v>1</v>
      </c>
      <c r="C5" s="1396" t="s">
        <v>580</v>
      </c>
      <c r="D5" s="1397"/>
      <c r="E5" s="931">
        <f>E6+E9+E10+E13+E14</f>
        <v>77091476</v>
      </c>
      <c r="F5" s="931">
        <f>F6+F9+F10+F13+F14</f>
        <v>72143011</v>
      </c>
      <c r="G5" s="931">
        <f>G6+G9+G10+G13+G14+G16</f>
        <v>80935457</v>
      </c>
    </row>
    <row r="6" spans="1:7" ht="25.5" customHeight="1" x14ac:dyDescent="0.2">
      <c r="A6" s="1391"/>
      <c r="B6" s="1395"/>
      <c r="C6" s="932" t="s">
        <v>581</v>
      </c>
      <c r="D6" s="933" t="s">
        <v>582</v>
      </c>
      <c r="E6" s="934">
        <v>40166600</v>
      </c>
      <c r="F6" s="934">
        <v>40853600</v>
      </c>
      <c r="G6" s="934">
        <v>41403200</v>
      </c>
    </row>
    <row r="7" spans="1:7" ht="153" hidden="1" customHeight="1" x14ac:dyDescent="0.2">
      <c r="A7" s="1391"/>
      <c r="B7" s="1395"/>
      <c r="C7" s="932"/>
      <c r="D7" s="935" t="s">
        <v>583</v>
      </c>
      <c r="E7" s="936"/>
      <c r="F7" s="936"/>
      <c r="G7" s="936"/>
    </row>
    <row r="8" spans="1:7" ht="102" hidden="1" customHeight="1" x14ac:dyDescent="0.2">
      <c r="A8" s="1391"/>
      <c r="B8" s="1395"/>
      <c r="C8" s="932"/>
      <c r="D8" s="935" t="s">
        <v>584</v>
      </c>
      <c r="E8" s="936"/>
      <c r="F8" s="936"/>
      <c r="G8" s="936"/>
    </row>
    <row r="9" spans="1:7" x14ac:dyDescent="0.2">
      <c r="A9" s="1391"/>
      <c r="B9" s="1395"/>
      <c r="C9" s="932" t="s">
        <v>585</v>
      </c>
      <c r="D9" s="933" t="s">
        <v>586</v>
      </c>
      <c r="E9" s="934">
        <v>18067916</v>
      </c>
      <c r="F9" s="934">
        <v>23624650</v>
      </c>
      <c r="G9" s="934">
        <v>18141770</v>
      </c>
    </row>
    <row r="10" spans="1:7" x14ac:dyDescent="0.2">
      <c r="A10" s="1391"/>
      <c r="B10" s="1395"/>
      <c r="C10" s="932"/>
      <c r="D10" s="933" t="s">
        <v>958</v>
      </c>
      <c r="E10" s="934"/>
      <c r="F10" s="934"/>
      <c r="G10" s="934"/>
    </row>
    <row r="11" spans="1:7" ht="165.75" hidden="1" customHeight="1" x14ac:dyDescent="0.2">
      <c r="A11" s="1391"/>
      <c r="B11" s="1395"/>
      <c r="C11" s="937"/>
      <c r="D11" s="938" t="s">
        <v>588</v>
      </c>
      <c r="E11" s="939"/>
      <c r="F11" s="939"/>
      <c r="G11" s="939"/>
    </row>
    <row r="12" spans="1:7" ht="63.75" hidden="1" customHeight="1" x14ac:dyDescent="0.2">
      <c r="A12" s="1391"/>
      <c r="B12" s="1395"/>
      <c r="C12" s="937"/>
      <c r="D12" s="938" t="s">
        <v>589</v>
      </c>
      <c r="E12" s="939"/>
      <c r="F12" s="939"/>
      <c r="G12" s="939"/>
    </row>
    <row r="13" spans="1:7" x14ac:dyDescent="0.2">
      <c r="A13" s="1391"/>
      <c r="B13" s="1395"/>
      <c r="C13" s="940" t="s">
        <v>587</v>
      </c>
      <c r="D13" s="941" t="s">
        <v>591</v>
      </c>
      <c r="E13" s="942">
        <v>18849310</v>
      </c>
      <c r="F13" s="942">
        <v>7654561</v>
      </c>
      <c r="G13" s="942">
        <v>9034200</v>
      </c>
    </row>
    <row r="14" spans="1:7" x14ac:dyDescent="0.2">
      <c r="A14" s="1391"/>
      <c r="B14" s="943"/>
      <c r="C14" s="944" t="s">
        <v>590</v>
      </c>
      <c r="D14" s="945" t="s">
        <v>655</v>
      </c>
      <c r="E14" s="946">
        <v>7650</v>
      </c>
      <c r="F14" s="946">
        <v>10200</v>
      </c>
      <c r="G14" s="946">
        <v>10200</v>
      </c>
    </row>
    <row r="15" spans="1:7" x14ac:dyDescent="0.2">
      <c r="A15" s="1391"/>
      <c r="B15" s="947">
        <v>6</v>
      </c>
      <c r="C15" s="1398" t="s">
        <v>1058</v>
      </c>
      <c r="D15" s="1398"/>
      <c r="E15" s="942">
        <v>62611</v>
      </c>
      <c r="F15" s="942">
        <v>65532</v>
      </c>
      <c r="G15" s="942"/>
    </row>
    <row r="16" spans="1:7" x14ac:dyDescent="0.2">
      <c r="A16" s="1392"/>
      <c r="B16" s="947"/>
      <c r="C16" s="1398" t="s">
        <v>1159</v>
      </c>
      <c r="D16" s="1398"/>
      <c r="E16" s="946">
        <v>0</v>
      </c>
      <c r="F16" s="946">
        <v>0</v>
      </c>
      <c r="G16" s="946">
        <v>12346087</v>
      </c>
    </row>
    <row r="17" spans="1:9" ht="31.5" customHeight="1" thickBot="1" x14ac:dyDescent="0.25">
      <c r="A17" s="1393"/>
      <c r="B17" s="1399" t="s">
        <v>1032</v>
      </c>
      <c r="C17" s="1400"/>
      <c r="D17" s="1401"/>
      <c r="E17" s="948">
        <f>E5+E15</f>
        <v>77154087</v>
      </c>
      <c r="F17" s="948">
        <f>F5+F15</f>
        <v>72208543</v>
      </c>
      <c r="G17" s="948">
        <f>G5+G15</f>
        <v>80935457</v>
      </c>
      <c r="I17" s="949"/>
    </row>
    <row r="18" spans="1:9" x14ac:dyDescent="0.2">
      <c r="A18" s="1402" t="s">
        <v>592</v>
      </c>
      <c r="B18" s="1405">
        <v>1</v>
      </c>
      <c r="C18" s="1408" t="s">
        <v>937</v>
      </c>
      <c r="D18" s="1408"/>
      <c r="E18" s="950">
        <f>E19+E22</f>
        <v>53376800</v>
      </c>
      <c r="F18" s="950">
        <f>F19+F22+F25</f>
        <v>56898600</v>
      </c>
      <c r="G18" s="950">
        <f>G19+G22+G25</f>
        <v>60836670</v>
      </c>
    </row>
    <row r="19" spans="1:9" x14ac:dyDescent="0.2">
      <c r="A19" s="1403"/>
      <c r="B19" s="1406"/>
      <c r="C19" s="940" t="s">
        <v>959</v>
      </c>
      <c r="D19" s="941" t="s">
        <v>593</v>
      </c>
      <c r="E19" s="942">
        <f>26019200+14393600+364000</f>
        <v>40776800</v>
      </c>
      <c r="F19" s="942">
        <v>37694400</v>
      </c>
      <c r="G19" s="942">
        <f>31885287+15942643</f>
        <v>47827930</v>
      </c>
      <c r="I19" s="949">
        <f>G19-F19</f>
        <v>10133530</v>
      </c>
    </row>
    <row r="20" spans="1:9" s="954" customFormat="1" ht="12.75" hidden="1" customHeight="1" x14ac:dyDescent="0.2">
      <c r="A20" s="1403"/>
      <c r="B20" s="1406"/>
      <c r="C20" s="951"/>
      <c r="D20" s="952" t="s">
        <v>595</v>
      </c>
      <c r="E20" s="953"/>
      <c r="F20" s="953"/>
      <c r="G20" s="953"/>
      <c r="I20" s="949">
        <f t="shared" ref="I20:I25" si="0">G20-F20</f>
        <v>0</v>
      </c>
    </row>
    <row r="21" spans="1:9" s="954" customFormat="1" ht="12.75" hidden="1" customHeight="1" x14ac:dyDescent="0.2">
      <c r="A21" s="1403"/>
      <c r="B21" s="1406"/>
      <c r="C21" s="951"/>
      <c r="D21" s="952" t="s">
        <v>946</v>
      </c>
      <c r="E21" s="953"/>
      <c r="F21" s="953"/>
      <c r="G21" s="953"/>
      <c r="I21" s="949">
        <f t="shared" si="0"/>
        <v>0</v>
      </c>
    </row>
    <row r="22" spans="1:9" ht="25.5" x14ac:dyDescent="0.2">
      <c r="A22" s="1403"/>
      <c r="B22" s="1406"/>
      <c r="C22" s="940" t="s">
        <v>960</v>
      </c>
      <c r="D22" s="941" t="s">
        <v>940</v>
      </c>
      <c r="E22" s="942">
        <f>8400000+4200000</f>
        <v>12600000</v>
      </c>
      <c r="F22" s="942">
        <v>19204200</v>
      </c>
      <c r="G22" s="942">
        <f>8400000+4200000</f>
        <v>12600000</v>
      </c>
      <c r="I22" s="949">
        <f t="shared" si="0"/>
        <v>-6604200</v>
      </c>
    </row>
    <row r="23" spans="1:9" s="954" customFormat="1" ht="12.75" hidden="1" customHeight="1" x14ac:dyDescent="0.2">
      <c r="A23" s="1403"/>
      <c r="B23" s="1406"/>
      <c r="C23" s="951"/>
      <c r="D23" s="952" t="s">
        <v>595</v>
      </c>
      <c r="E23" s="953"/>
      <c r="F23" s="953"/>
      <c r="G23" s="953"/>
      <c r="I23" s="949">
        <f t="shared" si="0"/>
        <v>0</v>
      </c>
    </row>
    <row r="24" spans="1:9" s="954" customFormat="1" ht="12.75" hidden="1" customHeight="1" x14ac:dyDescent="0.2">
      <c r="A24" s="1403"/>
      <c r="B24" s="1406"/>
      <c r="C24" s="951"/>
      <c r="D24" s="952" t="s">
        <v>946</v>
      </c>
      <c r="E24" s="953"/>
      <c r="F24" s="953"/>
      <c r="G24" s="953"/>
      <c r="I24" s="949">
        <f t="shared" si="0"/>
        <v>0</v>
      </c>
    </row>
    <row r="25" spans="1:9" s="955" customFormat="1" x14ac:dyDescent="0.2">
      <c r="A25" s="1403"/>
      <c r="B25" s="1407"/>
      <c r="C25" s="940" t="s">
        <v>961</v>
      </c>
      <c r="D25" s="941" t="s">
        <v>1160</v>
      </c>
      <c r="E25" s="939"/>
      <c r="F25" s="942"/>
      <c r="G25" s="942">
        <v>408740</v>
      </c>
      <c r="I25" s="949">
        <f t="shared" si="0"/>
        <v>408740</v>
      </c>
    </row>
    <row r="26" spans="1:9" ht="12.75" customHeight="1" x14ac:dyDescent="0.2">
      <c r="A26" s="1403"/>
      <c r="B26" s="1409">
        <v>2</v>
      </c>
      <c r="C26" s="956" t="s">
        <v>962</v>
      </c>
      <c r="D26" s="957" t="s">
        <v>938</v>
      </c>
      <c r="E26" s="948">
        <f>4806667+2683333</f>
        <v>7490000</v>
      </c>
      <c r="F26" s="948">
        <v>10251000</v>
      </c>
      <c r="G26" s="948">
        <v>9722300</v>
      </c>
    </row>
    <row r="27" spans="1:9" s="960" customFormat="1" ht="12.75" hidden="1" customHeight="1" x14ac:dyDescent="0.2">
      <c r="A27" s="1403"/>
      <c r="B27" s="1409"/>
      <c r="C27" s="956"/>
      <c r="D27" s="958" t="s">
        <v>595</v>
      </c>
      <c r="E27" s="959"/>
      <c r="F27" s="959"/>
      <c r="G27" s="959"/>
    </row>
    <row r="28" spans="1:9" s="954" customFormat="1" ht="12.75" hidden="1" customHeight="1" x14ac:dyDescent="0.2">
      <c r="A28" s="1403"/>
      <c r="B28" s="1409"/>
      <c r="C28" s="956"/>
      <c r="D28" s="958" t="s">
        <v>946</v>
      </c>
      <c r="E28" s="959"/>
      <c r="F28" s="959"/>
      <c r="G28" s="959"/>
    </row>
    <row r="29" spans="1:9" s="954" customFormat="1" ht="12.75" customHeight="1" x14ac:dyDescent="0.2">
      <c r="A29" s="1403"/>
      <c r="B29" s="961">
        <v>4</v>
      </c>
      <c r="C29" s="956"/>
      <c r="D29" s="957" t="s">
        <v>1059</v>
      </c>
      <c r="E29" s="948">
        <v>475000</v>
      </c>
      <c r="F29" s="959"/>
      <c r="G29" s="959"/>
    </row>
    <row r="30" spans="1:9" s="962" customFormat="1" x14ac:dyDescent="0.2">
      <c r="A30" s="1403"/>
      <c r="B30" s="961">
        <v>5</v>
      </c>
      <c r="C30" s="956" t="s">
        <v>959</v>
      </c>
      <c r="D30" s="957" t="s">
        <v>963</v>
      </c>
      <c r="E30" s="948">
        <v>352000</v>
      </c>
      <c r="F30" s="948"/>
      <c r="G30" s="948">
        <v>837800</v>
      </c>
    </row>
    <row r="31" spans="1:9" x14ac:dyDescent="0.2">
      <c r="A31" s="1403"/>
      <c r="B31" s="1410">
        <v>3</v>
      </c>
      <c r="C31" s="1411" t="s">
        <v>939</v>
      </c>
      <c r="D31" s="1411"/>
      <c r="E31" s="942"/>
      <c r="F31" s="942"/>
      <c r="G31" s="942"/>
    </row>
    <row r="32" spans="1:9" ht="25.5" hidden="1" x14ac:dyDescent="0.2">
      <c r="A32" s="1403"/>
      <c r="B32" s="1406"/>
      <c r="C32" s="940" t="s">
        <v>581</v>
      </c>
      <c r="D32" s="941" t="s">
        <v>596</v>
      </c>
      <c r="E32" s="942">
        <v>0</v>
      </c>
      <c r="F32" s="942">
        <v>0</v>
      </c>
      <c r="G32" s="942"/>
    </row>
    <row r="33" spans="1:7" x14ac:dyDescent="0.2">
      <c r="A33" s="1403"/>
      <c r="B33" s="1407"/>
      <c r="C33" s="940" t="s">
        <v>585</v>
      </c>
      <c r="D33" s="941" t="s">
        <v>597</v>
      </c>
      <c r="E33" s="942"/>
      <c r="F33" s="942"/>
      <c r="G33" s="942"/>
    </row>
    <row r="34" spans="1:7" s="955" customFormat="1" ht="13.5" thickBot="1" x14ac:dyDescent="0.25">
      <c r="A34" s="1403"/>
      <c r="B34" s="1412">
        <v>4</v>
      </c>
      <c r="C34" s="1414" t="s">
        <v>949</v>
      </c>
      <c r="D34" s="1414"/>
      <c r="E34" s="963">
        <f>E35+E36</f>
        <v>0</v>
      </c>
      <c r="F34" s="963">
        <f>F35+F36</f>
        <v>0</v>
      </c>
      <c r="G34" s="963"/>
    </row>
    <row r="35" spans="1:7" s="954" customFormat="1" ht="38.25" hidden="1" customHeight="1" x14ac:dyDescent="0.2">
      <c r="A35" s="1403"/>
      <c r="B35" s="1412"/>
      <c r="C35" s="964"/>
      <c r="D35" s="952" t="s">
        <v>594</v>
      </c>
      <c r="E35" s="953">
        <v>0</v>
      </c>
      <c r="F35" s="953">
        <v>0</v>
      </c>
      <c r="G35" s="953"/>
    </row>
    <row r="36" spans="1:7" s="954" customFormat="1" ht="39" hidden="1" customHeight="1" thickBot="1" x14ac:dyDescent="0.25">
      <c r="A36" s="1403"/>
      <c r="B36" s="1413"/>
      <c r="C36" s="965"/>
      <c r="D36" s="966" t="s">
        <v>595</v>
      </c>
      <c r="E36" s="967">
        <v>0</v>
      </c>
      <c r="F36" s="967">
        <v>0</v>
      </c>
      <c r="G36" s="967"/>
    </row>
    <row r="37" spans="1:7" ht="28.5" customHeight="1" thickBot="1" x14ac:dyDescent="0.25">
      <c r="A37" s="1404"/>
      <c r="B37" s="1415" t="s">
        <v>598</v>
      </c>
      <c r="C37" s="1416"/>
      <c r="D37" s="1417"/>
      <c r="E37" s="968">
        <f>E18+E26+E31+E34+E29+E30</f>
        <v>61693800</v>
      </c>
      <c r="F37" s="968">
        <f>F18+F26+F31+F34+F30</f>
        <v>67149600</v>
      </c>
      <c r="G37" s="968">
        <f>G18+G26+G31+G34+G30</f>
        <v>71396770</v>
      </c>
    </row>
    <row r="38" spans="1:7" s="970" customFormat="1" x14ac:dyDescent="0.2">
      <c r="A38" s="1418" t="s">
        <v>599</v>
      </c>
      <c r="B38" s="969">
        <v>2</v>
      </c>
      <c r="C38" s="1422" t="s">
        <v>466</v>
      </c>
      <c r="D38" s="1423"/>
      <c r="E38" s="950">
        <f>12494470+1189440+833875+575776+150000</f>
        <v>15243561</v>
      </c>
      <c r="F38" s="950">
        <v>19689566</v>
      </c>
      <c r="G38" s="950">
        <v>19559000</v>
      </c>
    </row>
    <row r="39" spans="1:7" s="970" customFormat="1" x14ac:dyDescent="0.2">
      <c r="A39" s="1419"/>
      <c r="B39" s="1424">
        <v>3</v>
      </c>
      <c r="C39" s="1425" t="s">
        <v>600</v>
      </c>
      <c r="D39" s="1426"/>
      <c r="E39" s="948">
        <f>SUM(E40:E51)</f>
        <v>2736098</v>
      </c>
      <c r="F39" s="948">
        <f>SUM(F40:F51)</f>
        <v>3000000</v>
      </c>
      <c r="G39" s="948">
        <f>SUM(G40:G51)</f>
        <v>3125000</v>
      </c>
    </row>
    <row r="40" spans="1:7" x14ac:dyDescent="0.2">
      <c r="A40" s="1419"/>
      <c r="B40" s="1424"/>
      <c r="C40" s="940" t="s">
        <v>581</v>
      </c>
      <c r="D40" s="941" t="s">
        <v>601</v>
      </c>
      <c r="E40" s="942">
        <f>2573030+163068</f>
        <v>2736098</v>
      </c>
      <c r="F40" s="942">
        <v>3000000</v>
      </c>
      <c r="G40" s="942">
        <v>3000000</v>
      </c>
    </row>
    <row r="41" spans="1:7" x14ac:dyDescent="0.2">
      <c r="A41" s="1419"/>
      <c r="B41" s="1424"/>
      <c r="C41" s="940" t="s">
        <v>585</v>
      </c>
      <c r="D41" s="941" t="s">
        <v>602</v>
      </c>
      <c r="E41" s="942">
        <v>0</v>
      </c>
      <c r="F41" s="942">
        <v>0</v>
      </c>
      <c r="G41" s="942">
        <v>0</v>
      </c>
    </row>
    <row r="42" spans="1:7" x14ac:dyDescent="0.2">
      <c r="A42" s="1419"/>
      <c r="B42" s="1424"/>
      <c r="C42" s="940" t="s">
        <v>587</v>
      </c>
      <c r="D42" s="941" t="s">
        <v>603</v>
      </c>
      <c r="E42" s="942">
        <v>0</v>
      </c>
      <c r="F42" s="942">
        <v>0</v>
      </c>
      <c r="G42" s="942">
        <v>0</v>
      </c>
    </row>
    <row r="43" spans="1:7" x14ac:dyDescent="0.2">
      <c r="A43" s="1419"/>
      <c r="B43" s="1424"/>
      <c r="C43" s="940" t="s">
        <v>590</v>
      </c>
      <c r="D43" s="941" t="s">
        <v>604</v>
      </c>
      <c r="E43" s="942">
        <v>0</v>
      </c>
      <c r="F43" s="942">
        <v>0</v>
      </c>
      <c r="G43" s="942">
        <v>125000</v>
      </c>
    </row>
    <row r="44" spans="1:7" x14ac:dyDescent="0.2">
      <c r="A44" s="1419"/>
      <c r="B44" s="1424"/>
      <c r="C44" s="940" t="s">
        <v>605</v>
      </c>
      <c r="D44" s="941" t="s">
        <v>606</v>
      </c>
      <c r="E44" s="942">
        <v>0</v>
      </c>
      <c r="F44" s="942">
        <v>0</v>
      </c>
      <c r="G44" s="942">
        <v>0</v>
      </c>
    </row>
    <row r="45" spans="1:7" x14ac:dyDescent="0.2">
      <c r="A45" s="1419"/>
      <c r="B45" s="1424"/>
      <c r="C45" s="940" t="s">
        <v>607</v>
      </c>
      <c r="D45" s="941" t="s">
        <v>608</v>
      </c>
      <c r="E45" s="942">
        <v>0</v>
      </c>
      <c r="F45" s="942">
        <v>0</v>
      </c>
      <c r="G45" s="942">
        <v>0</v>
      </c>
    </row>
    <row r="46" spans="1:7" x14ac:dyDescent="0.2">
      <c r="A46" s="1419"/>
      <c r="B46" s="1424"/>
      <c r="C46" s="940" t="s">
        <v>609</v>
      </c>
      <c r="D46" s="941" t="s">
        <v>610</v>
      </c>
      <c r="E46" s="942">
        <v>0</v>
      </c>
      <c r="F46" s="942">
        <v>0</v>
      </c>
      <c r="G46" s="942">
        <v>0</v>
      </c>
    </row>
    <row r="47" spans="1:7" x14ac:dyDescent="0.2">
      <c r="A47" s="1419"/>
      <c r="B47" s="1424"/>
      <c r="C47" s="940" t="s">
        <v>611</v>
      </c>
      <c r="D47" s="941" t="s">
        <v>612</v>
      </c>
      <c r="E47" s="942">
        <v>0</v>
      </c>
      <c r="F47" s="942">
        <v>0</v>
      </c>
      <c r="G47" s="942">
        <v>0</v>
      </c>
    </row>
    <row r="48" spans="1:7" x14ac:dyDescent="0.2">
      <c r="A48" s="1419"/>
      <c r="B48" s="1424"/>
      <c r="C48" s="940" t="s">
        <v>613</v>
      </c>
      <c r="D48" s="941" t="s">
        <v>614</v>
      </c>
      <c r="E48" s="942">
        <v>0</v>
      </c>
      <c r="F48" s="942">
        <v>0</v>
      </c>
      <c r="G48" s="942">
        <v>0</v>
      </c>
    </row>
    <row r="49" spans="1:7" x14ac:dyDescent="0.2">
      <c r="A49" s="1419"/>
      <c r="B49" s="1424"/>
      <c r="C49" s="940" t="s">
        <v>615</v>
      </c>
      <c r="D49" s="941" t="s">
        <v>616</v>
      </c>
      <c r="E49" s="942">
        <v>0</v>
      </c>
      <c r="F49" s="942">
        <v>0</v>
      </c>
      <c r="G49" s="942">
        <v>0</v>
      </c>
    </row>
    <row r="50" spans="1:7" x14ac:dyDescent="0.2">
      <c r="A50" s="1419"/>
      <c r="B50" s="1424"/>
      <c r="C50" s="940" t="s">
        <v>617</v>
      </c>
      <c r="D50" s="941" t="s">
        <v>618</v>
      </c>
      <c r="E50" s="942">
        <v>0</v>
      </c>
      <c r="F50" s="942">
        <v>0</v>
      </c>
      <c r="G50" s="942">
        <v>0</v>
      </c>
    </row>
    <row r="51" spans="1:7" x14ac:dyDescent="0.2">
      <c r="A51" s="1419"/>
      <c r="B51" s="1424"/>
      <c r="C51" s="940" t="s">
        <v>619</v>
      </c>
      <c r="D51" s="941" t="s">
        <v>620</v>
      </c>
      <c r="E51" s="942">
        <v>0</v>
      </c>
      <c r="F51" s="942">
        <v>0</v>
      </c>
      <c r="G51" s="942">
        <v>0</v>
      </c>
    </row>
    <row r="52" spans="1:7" x14ac:dyDescent="0.2">
      <c r="A52" s="1419"/>
      <c r="B52" s="1427">
        <v>5</v>
      </c>
      <c r="C52" s="1429" t="s">
        <v>947</v>
      </c>
      <c r="D52" s="1430"/>
      <c r="E52" s="971">
        <f>E53+E54</f>
        <v>12696979</v>
      </c>
      <c r="F52" s="971">
        <v>12951936</v>
      </c>
      <c r="G52" s="971">
        <f>SUM(G53:G55)</f>
        <v>13409618</v>
      </c>
    </row>
    <row r="53" spans="1:7" x14ac:dyDescent="0.2">
      <c r="A53" s="1419"/>
      <c r="B53" s="1428"/>
      <c r="C53" s="972" t="s">
        <v>581</v>
      </c>
      <c r="D53" s="973" t="s">
        <v>948</v>
      </c>
      <c r="E53" s="963">
        <f>7507200</f>
        <v>7507200</v>
      </c>
      <c r="F53" s="963">
        <v>7507200</v>
      </c>
      <c r="G53" s="963">
        <v>7017600</v>
      </c>
    </row>
    <row r="54" spans="1:7" x14ac:dyDescent="0.2">
      <c r="A54" s="1419"/>
      <c r="B54" s="1428"/>
      <c r="C54" s="972" t="s">
        <v>585</v>
      </c>
      <c r="D54" s="973" t="s">
        <v>621</v>
      </c>
      <c r="E54" s="974">
        <v>5189779</v>
      </c>
      <c r="F54" s="963">
        <v>4315566</v>
      </c>
      <c r="G54" s="963">
        <v>6090488</v>
      </c>
    </row>
    <row r="55" spans="1:7" ht="26.25" thickBot="1" x14ac:dyDescent="0.25">
      <c r="A55" s="1420"/>
      <c r="B55" s="975"/>
      <c r="C55" s="976" t="s">
        <v>587</v>
      </c>
      <c r="D55" s="977" t="s">
        <v>1069</v>
      </c>
      <c r="E55" s="978"/>
      <c r="F55" s="979">
        <v>1129170</v>
      </c>
      <c r="G55" s="979">
        <v>301530</v>
      </c>
    </row>
    <row r="56" spans="1:7" ht="37.9" customHeight="1" thickBot="1" x14ac:dyDescent="0.25">
      <c r="A56" s="1421"/>
      <c r="B56" s="1415" t="s">
        <v>965</v>
      </c>
      <c r="C56" s="1416"/>
      <c r="D56" s="1417"/>
      <c r="E56" s="968">
        <f>E38+E39+E52</f>
        <v>30676638</v>
      </c>
      <c r="F56" s="968">
        <f>F38+F39+F52</f>
        <v>35641502</v>
      </c>
      <c r="G56" s="968">
        <f>G38+G39+G52</f>
        <v>36093618</v>
      </c>
    </row>
    <row r="57" spans="1:7" x14ac:dyDescent="0.2">
      <c r="A57" s="1418" t="s">
        <v>622</v>
      </c>
      <c r="B57" s="1432">
        <v>1</v>
      </c>
      <c r="C57" s="1434" t="s">
        <v>624</v>
      </c>
      <c r="D57" s="1435"/>
      <c r="E57" s="980">
        <f>SUM(E58:E65)</f>
        <v>3712980</v>
      </c>
      <c r="F57" s="980">
        <f>SUM(F58:F65)</f>
        <v>3769980</v>
      </c>
      <c r="G57" s="980">
        <f>SUM(G58:G65)</f>
        <v>3814440</v>
      </c>
    </row>
    <row r="58" spans="1:7" ht="191.25" hidden="1" customHeight="1" x14ac:dyDescent="0.2">
      <c r="A58" s="1419"/>
      <c r="B58" s="1433"/>
      <c r="C58" s="972" t="s">
        <v>581</v>
      </c>
      <c r="D58" s="973" t="s">
        <v>625</v>
      </c>
      <c r="E58" s="963">
        <v>0</v>
      </c>
      <c r="F58" s="963">
        <v>0</v>
      </c>
      <c r="G58" s="963"/>
    </row>
    <row r="59" spans="1:7" ht="140.25" hidden="1" customHeight="1" x14ac:dyDescent="0.2">
      <c r="A59" s="1419"/>
      <c r="B59" s="1433"/>
      <c r="C59" s="972" t="s">
        <v>585</v>
      </c>
      <c r="D59" s="973" t="s">
        <v>626</v>
      </c>
      <c r="E59" s="963">
        <v>0</v>
      </c>
      <c r="F59" s="963">
        <v>0</v>
      </c>
      <c r="G59" s="963"/>
    </row>
    <row r="60" spans="1:7" ht="178.5" hidden="1" customHeight="1" x14ac:dyDescent="0.2">
      <c r="A60" s="1419"/>
      <c r="B60" s="1433"/>
      <c r="C60" s="972" t="s">
        <v>587</v>
      </c>
      <c r="D60" s="973" t="s">
        <v>627</v>
      </c>
      <c r="E60" s="963">
        <v>0</v>
      </c>
      <c r="F60" s="963">
        <v>0</v>
      </c>
      <c r="G60" s="963"/>
    </row>
    <row r="61" spans="1:7" ht="26.25" thickBot="1" x14ac:dyDescent="0.25">
      <c r="A61" s="1419"/>
      <c r="B61" s="1433"/>
      <c r="C61" s="972" t="s">
        <v>590</v>
      </c>
      <c r="D61" s="973" t="s">
        <v>628</v>
      </c>
      <c r="E61" s="963">
        <v>3712980</v>
      </c>
      <c r="F61" s="963">
        <v>3769980</v>
      </c>
      <c r="G61" s="963">
        <v>3814440</v>
      </c>
    </row>
    <row r="62" spans="1:7" ht="140.25" hidden="1" customHeight="1" x14ac:dyDescent="0.2">
      <c r="A62" s="1419"/>
      <c r="B62" s="1433"/>
      <c r="C62" s="972" t="s">
        <v>605</v>
      </c>
      <c r="D62" s="973" t="s">
        <v>629</v>
      </c>
      <c r="E62" s="963">
        <v>0</v>
      </c>
      <c r="F62" s="963">
        <v>0</v>
      </c>
      <c r="G62" s="963"/>
    </row>
    <row r="63" spans="1:7" ht="153" hidden="1" customHeight="1" x14ac:dyDescent="0.2">
      <c r="A63" s="1419"/>
      <c r="B63" s="1433"/>
      <c r="C63" s="972" t="s">
        <v>607</v>
      </c>
      <c r="D63" s="973" t="s">
        <v>630</v>
      </c>
      <c r="E63" s="963">
        <v>0</v>
      </c>
      <c r="F63" s="963">
        <v>0</v>
      </c>
      <c r="G63" s="963"/>
    </row>
    <row r="64" spans="1:7" ht="76.5" hidden="1" customHeight="1" x14ac:dyDescent="0.2">
      <c r="A64" s="1419"/>
      <c r="B64" s="1433"/>
      <c r="C64" s="972" t="s">
        <v>609</v>
      </c>
      <c r="D64" s="973" t="s">
        <v>631</v>
      </c>
      <c r="E64" s="963">
        <v>0</v>
      </c>
      <c r="F64" s="963">
        <v>0</v>
      </c>
      <c r="G64" s="963"/>
    </row>
    <row r="65" spans="1:7" ht="216.75" hidden="1" customHeight="1" x14ac:dyDescent="0.2">
      <c r="A65" s="1419"/>
      <c r="B65" s="1433"/>
      <c r="C65" s="972" t="s">
        <v>611</v>
      </c>
      <c r="D65" s="973" t="s">
        <v>632</v>
      </c>
      <c r="E65" s="963">
        <v>0</v>
      </c>
      <c r="F65" s="963">
        <v>0</v>
      </c>
      <c r="G65" s="963"/>
    </row>
    <row r="66" spans="1:7" ht="13.5" hidden="1" thickBot="1" x14ac:dyDescent="0.25">
      <c r="A66" s="1419"/>
      <c r="B66" s="1433">
        <v>2</v>
      </c>
      <c r="C66" s="1429" t="s">
        <v>633</v>
      </c>
      <c r="D66" s="1430"/>
      <c r="E66" s="971">
        <f>E67+E74+E79</f>
        <v>0</v>
      </c>
      <c r="F66" s="971">
        <f>F67+F74+F79</f>
        <v>0</v>
      </c>
      <c r="G66" s="971"/>
    </row>
    <row r="67" spans="1:7" ht="409.5" hidden="1" customHeight="1" x14ac:dyDescent="0.2">
      <c r="A67" s="1419"/>
      <c r="B67" s="1433"/>
      <c r="C67" s="972" t="s">
        <v>581</v>
      </c>
      <c r="D67" s="973" t="s">
        <v>634</v>
      </c>
      <c r="E67" s="963">
        <f>E68+E71</f>
        <v>0</v>
      </c>
      <c r="F67" s="963">
        <f>F68+F71</f>
        <v>0</v>
      </c>
      <c r="G67" s="963"/>
    </row>
    <row r="68" spans="1:7" ht="216.75" hidden="1" customHeight="1" x14ac:dyDescent="0.2">
      <c r="A68" s="1419"/>
      <c r="B68" s="1433"/>
      <c r="C68" s="972"/>
      <c r="D68" s="981" t="s">
        <v>635</v>
      </c>
      <c r="E68" s="982">
        <f>E69+E70</f>
        <v>0</v>
      </c>
      <c r="F68" s="982">
        <f>F69+F70</f>
        <v>0</v>
      </c>
      <c r="G68" s="982"/>
    </row>
    <row r="69" spans="1:7" ht="409.5" hidden="1" customHeight="1" x14ac:dyDescent="0.2">
      <c r="A69" s="1419"/>
      <c r="B69" s="1433"/>
      <c r="C69" s="972"/>
      <c r="D69" s="983" t="s">
        <v>636</v>
      </c>
      <c r="E69" s="982">
        <v>0</v>
      </c>
      <c r="F69" s="982">
        <v>0</v>
      </c>
      <c r="G69" s="982"/>
    </row>
    <row r="70" spans="1:7" ht="409.5" hidden="1" customHeight="1" x14ac:dyDescent="0.2">
      <c r="A70" s="1419"/>
      <c r="B70" s="1433"/>
      <c r="C70" s="972"/>
      <c r="D70" s="983" t="s">
        <v>637</v>
      </c>
      <c r="E70" s="982">
        <v>0</v>
      </c>
      <c r="F70" s="982">
        <v>0</v>
      </c>
      <c r="G70" s="982"/>
    </row>
    <row r="71" spans="1:7" ht="76.5" hidden="1" customHeight="1" x14ac:dyDescent="0.2">
      <c r="A71" s="1419"/>
      <c r="B71" s="1433"/>
      <c r="C71" s="972"/>
      <c r="D71" s="981" t="s">
        <v>638</v>
      </c>
      <c r="E71" s="982">
        <f>E72+E73</f>
        <v>0</v>
      </c>
      <c r="F71" s="982">
        <f>F72+F73</f>
        <v>0</v>
      </c>
      <c r="G71" s="982"/>
    </row>
    <row r="72" spans="1:7" ht="216.75" hidden="1" customHeight="1" x14ac:dyDescent="0.2">
      <c r="A72" s="1419"/>
      <c r="B72" s="1433"/>
      <c r="C72" s="972"/>
      <c r="D72" s="983" t="s">
        <v>639</v>
      </c>
      <c r="E72" s="982">
        <v>0</v>
      </c>
      <c r="F72" s="982">
        <v>0</v>
      </c>
      <c r="G72" s="982"/>
    </row>
    <row r="73" spans="1:7" ht="318.75" hidden="1" customHeight="1" x14ac:dyDescent="0.2">
      <c r="A73" s="1419"/>
      <c r="B73" s="1433"/>
      <c r="C73" s="972"/>
      <c r="D73" s="983" t="s">
        <v>640</v>
      </c>
      <c r="E73" s="982">
        <v>0</v>
      </c>
      <c r="F73" s="982">
        <v>0</v>
      </c>
      <c r="G73" s="982"/>
    </row>
    <row r="74" spans="1:7" ht="216.75" hidden="1" customHeight="1" x14ac:dyDescent="0.2">
      <c r="A74" s="1419"/>
      <c r="B74" s="1433"/>
      <c r="C74" s="972" t="s">
        <v>585</v>
      </c>
      <c r="D74" s="973" t="s">
        <v>641</v>
      </c>
      <c r="E74" s="963">
        <f>SUM(E75:E78)</f>
        <v>0</v>
      </c>
      <c r="F74" s="963">
        <f>SUM(F75:F78)</f>
        <v>0</v>
      </c>
      <c r="G74" s="963"/>
    </row>
    <row r="75" spans="1:7" ht="318.75" hidden="1" customHeight="1" x14ac:dyDescent="0.2">
      <c r="A75" s="1419"/>
      <c r="B75" s="1433"/>
      <c r="C75" s="972"/>
      <c r="D75" s="981" t="s">
        <v>642</v>
      </c>
      <c r="E75" s="982">
        <v>0</v>
      </c>
      <c r="F75" s="982">
        <v>0</v>
      </c>
      <c r="G75" s="982"/>
    </row>
    <row r="76" spans="1:7" ht="76.5" hidden="1" customHeight="1" x14ac:dyDescent="0.2">
      <c r="A76" s="1419"/>
      <c r="B76" s="1433"/>
      <c r="C76" s="972"/>
      <c r="D76" s="981" t="s">
        <v>643</v>
      </c>
      <c r="E76" s="982">
        <v>0</v>
      </c>
      <c r="F76" s="982">
        <v>0</v>
      </c>
      <c r="G76" s="982"/>
    </row>
    <row r="77" spans="1:7" ht="76.5" hidden="1" customHeight="1" x14ac:dyDescent="0.2">
      <c r="A77" s="1419"/>
      <c r="B77" s="1433"/>
      <c r="C77" s="972"/>
      <c r="D77" s="981" t="s">
        <v>644</v>
      </c>
      <c r="E77" s="982">
        <v>0</v>
      </c>
      <c r="F77" s="982">
        <v>0</v>
      </c>
      <c r="G77" s="982"/>
    </row>
    <row r="78" spans="1:7" ht="369.75" hidden="1" customHeight="1" x14ac:dyDescent="0.2">
      <c r="A78" s="1419"/>
      <c r="B78" s="1433"/>
      <c r="C78" s="972"/>
      <c r="D78" s="981" t="s">
        <v>645</v>
      </c>
      <c r="E78" s="982">
        <v>0</v>
      </c>
      <c r="F78" s="982">
        <v>0</v>
      </c>
      <c r="G78" s="982"/>
    </row>
    <row r="79" spans="1:7" ht="369.75" hidden="1" customHeight="1" x14ac:dyDescent="0.2">
      <c r="A79" s="1419"/>
      <c r="B79" s="1433"/>
      <c r="C79" s="972" t="s">
        <v>587</v>
      </c>
      <c r="D79" s="973" t="s">
        <v>646</v>
      </c>
      <c r="E79" s="963">
        <f>E80+E83</f>
        <v>0</v>
      </c>
      <c r="F79" s="963">
        <f>F80+F83</f>
        <v>0</v>
      </c>
      <c r="G79" s="963"/>
    </row>
    <row r="80" spans="1:7" ht="76.5" hidden="1" customHeight="1" x14ac:dyDescent="0.2">
      <c r="A80" s="1419"/>
      <c r="B80" s="1433"/>
      <c r="C80" s="972"/>
      <c r="D80" s="981" t="s">
        <v>647</v>
      </c>
      <c r="E80" s="982">
        <f>E81+E82</f>
        <v>0</v>
      </c>
      <c r="F80" s="982">
        <f>F81+F82</f>
        <v>0</v>
      </c>
      <c r="G80" s="982"/>
    </row>
    <row r="81" spans="1:7" ht="382.5" hidden="1" customHeight="1" x14ac:dyDescent="0.2">
      <c r="A81" s="1419"/>
      <c r="B81" s="1433"/>
      <c r="C81" s="972"/>
      <c r="D81" s="983" t="s">
        <v>648</v>
      </c>
      <c r="E81" s="982">
        <v>0</v>
      </c>
      <c r="F81" s="982">
        <v>0</v>
      </c>
      <c r="G81" s="982"/>
    </row>
    <row r="82" spans="1:7" ht="382.5" hidden="1" customHeight="1" x14ac:dyDescent="0.2">
      <c r="A82" s="1419"/>
      <c r="B82" s="1433"/>
      <c r="C82" s="972"/>
      <c r="D82" s="983" t="s">
        <v>649</v>
      </c>
      <c r="E82" s="982">
        <v>0</v>
      </c>
      <c r="F82" s="982">
        <v>0</v>
      </c>
      <c r="G82" s="982"/>
    </row>
    <row r="83" spans="1:7" ht="230.25" hidden="1" customHeight="1" thickBot="1" x14ac:dyDescent="0.25">
      <c r="A83" s="1419"/>
      <c r="B83" s="1433"/>
      <c r="C83" s="972"/>
      <c r="D83" s="981" t="s">
        <v>650</v>
      </c>
      <c r="E83" s="982">
        <f>E84+E85</f>
        <v>0</v>
      </c>
      <c r="F83" s="982">
        <f>F84+F85</f>
        <v>0</v>
      </c>
      <c r="G83" s="982"/>
    </row>
    <row r="84" spans="1:7" ht="178.5" hidden="1" customHeight="1" x14ac:dyDescent="0.2">
      <c r="A84" s="1419"/>
      <c r="B84" s="1433"/>
      <c r="C84" s="972"/>
      <c r="D84" s="983" t="s">
        <v>651</v>
      </c>
      <c r="E84" s="982">
        <v>0</v>
      </c>
      <c r="F84" s="982">
        <v>0</v>
      </c>
      <c r="G84" s="982"/>
    </row>
    <row r="85" spans="1:7" ht="14.25" hidden="1" customHeight="1" thickBot="1" x14ac:dyDescent="0.25">
      <c r="A85" s="1419"/>
      <c r="B85" s="1427"/>
      <c r="C85" s="984"/>
      <c r="D85" s="985" t="s">
        <v>652</v>
      </c>
      <c r="E85" s="986">
        <v>0</v>
      </c>
      <c r="F85" s="986">
        <v>0</v>
      </c>
      <c r="G85" s="986"/>
    </row>
    <row r="86" spans="1:7" ht="13.5" thickBot="1" x14ac:dyDescent="0.25">
      <c r="A86" s="1421"/>
      <c r="B86" s="1415" t="s">
        <v>653</v>
      </c>
      <c r="C86" s="1416"/>
      <c r="D86" s="1417"/>
      <c r="E86" s="968">
        <f>E57+E66</f>
        <v>3712980</v>
      </c>
      <c r="F86" s="968">
        <f>F57+F66</f>
        <v>3769980</v>
      </c>
      <c r="G86" s="968">
        <f>G57+G66</f>
        <v>3814440</v>
      </c>
    </row>
    <row r="87" spans="1:7" ht="13.5" thickBot="1" x14ac:dyDescent="0.25">
      <c r="A87" s="987"/>
      <c r="B87" s="988"/>
      <c r="C87" s="989"/>
      <c r="D87" s="988"/>
      <c r="E87" s="990"/>
      <c r="F87" s="990"/>
      <c r="G87" s="929"/>
    </row>
    <row r="88" spans="1:7" ht="13.5" customHeight="1" thickBot="1" x14ac:dyDescent="0.25">
      <c r="A88" s="1436" t="s">
        <v>656</v>
      </c>
      <c r="B88" s="1437"/>
      <c r="C88" s="1437"/>
      <c r="D88" s="1438"/>
      <c r="E88" s="991">
        <f>E86+E56+E37+E17</f>
        <v>173237505</v>
      </c>
      <c r="F88" s="991">
        <f>F86+F56+F37+F17</f>
        <v>178769625</v>
      </c>
      <c r="G88" s="991">
        <f>G86+G56+G37+G17</f>
        <v>192240285</v>
      </c>
    </row>
    <row r="89" spans="1:7" x14ac:dyDescent="0.2">
      <c r="A89" s="987"/>
      <c r="B89" s="988"/>
      <c r="C89" s="989"/>
      <c r="D89" s="988"/>
      <c r="E89" s="949"/>
      <c r="F89" s="949"/>
    </row>
    <row r="90" spans="1:7" ht="46.5" customHeight="1" x14ac:dyDescent="0.2">
      <c r="A90" s="1439" t="s">
        <v>964</v>
      </c>
      <c r="B90" s="1439"/>
      <c r="C90" s="1439"/>
      <c r="D90" s="1439"/>
      <c r="E90" s="1439"/>
      <c r="F90" s="1439"/>
      <c r="G90" s="1439"/>
    </row>
    <row r="91" spans="1:7" ht="14.25" customHeight="1" thickBot="1" x14ac:dyDescent="0.25">
      <c r="A91" s="987"/>
      <c r="B91" s="987"/>
      <c r="C91" s="992"/>
      <c r="D91" s="993"/>
    </row>
    <row r="92" spans="1:7" ht="26.25" thickBot="1" x14ac:dyDescent="0.25">
      <c r="A92" s="1387" t="s">
        <v>12</v>
      </c>
      <c r="B92" s="1388"/>
      <c r="C92" s="1388"/>
      <c r="D92" s="1389"/>
      <c r="E92" s="929" t="s">
        <v>956</v>
      </c>
      <c r="F92" s="929" t="s">
        <v>1037</v>
      </c>
      <c r="G92" s="929" t="s">
        <v>1158</v>
      </c>
    </row>
    <row r="93" spans="1:7" x14ac:dyDescent="0.2">
      <c r="A93" s="994">
        <v>15</v>
      </c>
      <c r="B93" s="1434" t="s">
        <v>654</v>
      </c>
      <c r="C93" s="1440"/>
      <c r="D93" s="1435"/>
      <c r="E93" s="980">
        <v>0</v>
      </c>
      <c r="F93" s="980">
        <v>0</v>
      </c>
      <c r="G93" s="980">
        <v>0</v>
      </c>
    </row>
    <row r="94" spans="1:7" x14ac:dyDescent="0.2">
      <c r="A94" s="995">
        <v>16</v>
      </c>
      <c r="B94" s="1429" t="s">
        <v>953</v>
      </c>
      <c r="C94" s="1431"/>
      <c r="D94" s="1430"/>
      <c r="E94" s="996">
        <v>0</v>
      </c>
      <c r="F94" s="996">
        <v>0</v>
      </c>
      <c r="G94" s="996">
        <v>0</v>
      </c>
    </row>
    <row r="95" spans="1:7" x14ac:dyDescent="0.2">
      <c r="A95" s="997">
        <v>17</v>
      </c>
      <c r="B95" s="1429" t="s">
        <v>655</v>
      </c>
      <c r="C95" s="1431"/>
      <c r="D95" s="1430"/>
      <c r="E95" s="948">
        <v>0</v>
      </c>
      <c r="F95" s="948">
        <v>0</v>
      </c>
      <c r="G95" s="948">
        <v>0</v>
      </c>
    </row>
    <row r="96" spans="1:7" x14ac:dyDescent="0.2">
      <c r="A96" s="997"/>
      <c r="B96" s="1429" t="s">
        <v>1035</v>
      </c>
      <c r="C96" s="1431"/>
      <c r="D96" s="1430"/>
      <c r="E96" s="948">
        <v>0</v>
      </c>
      <c r="F96" s="948">
        <v>0</v>
      </c>
      <c r="G96" s="948">
        <v>0</v>
      </c>
    </row>
    <row r="97" spans="1:7" ht="13.5" thickBot="1" x14ac:dyDescent="0.25">
      <c r="A97" s="998"/>
      <c r="B97" s="1443" t="s">
        <v>1036</v>
      </c>
      <c r="C97" s="1444"/>
      <c r="D97" s="1445"/>
      <c r="E97" s="999">
        <v>0</v>
      </c>
      <c r="F97" s="999">
        <v>0</v>
      </c>
      <c r="G97" s="999">
        <v>0</v>
      </c>
    </row>
    <row r="100" spans="1:7" ht="15.75" customHeight="1" x14ac:dyDescent="0.2">
      <c r="A100" s="1439" t="s">
        <v>1060</v>
      </c>
      <c r="B100" s="1439"/>
      <c r="C100" s="1439"/>
      <c r="D100" s="1439"/>
      <c r="E100" s="1439"/>
      <c r="F100" s="1439"/>
      <c r="G100" s="1439"/>
    </row>
    <row r="101" spans="1:7" ht="13.5" thickBot="1" x14ac:dyDescent="0.25"/>
    <row r="102" spans="1:7" ht="26.25" thickBot="1" x14ac:dyDescent="0.25">
      <c r="A102" s="1387" t="s">
        <v>12</v>
      </c>
      <c r="B102" s="1388"/>
      <c r="C102" s="1388"/>
      <c r="D102" s="1389"/>
      <c r="E102" s="929" t="s">
        <v>956</v>
      </c>
      <c r="F102" s="929" t="s">
        <v>1037</v>
      </c>
      <c r="G102" s="929" t="s">
        <v>1158</v>
      </c>
    </row>
    <row r="103" spans="1:7" x14ac:dyDescent="0.2">
      <c r="A103" s="994"/>
      <c r="B103" s="1434" t="s">
        <v>1061</v>
      </c>
      <c r="C103" s="1440"/>
      <c r="D103" s="1435"/>
      <c r="E103" s="980">
        <v>0</v>
      </c>
      <c r="F103" s="980">
        <v>0</v>
      </c>
      <c r="G103" s="980">
        <v>0</v>
      </c>
    </row>
    <row r="104" spans="1:7" x14ac:dyDescent="0.2">
      <c r="A104" s="995"/>
      <c r="B104" s="1429" t="s">
        <v>1062</v>
      </c>
      <c r="C104" s="1431"/>
      <c r="D104" s="1430"/>
      <c r="E104" s="996">
        <v>777113</v>
      </c>
      <c r="F104" s="996">
        <v>0</v>
      </c>
      <c r="G104" s="996">
        <v>0</v>
      </c>
    </row>
    <row r="105" spans="1:7" x14ac:dyDescent="0.2">
      <c r="A105" s="997"/>
      <c r="B105" s="1429" t="s">
        <v>1063</v>
      </c>
      <c r="C105" s="1431"/>
      <c r="D105" s="1430"/>
      <c r="E105" s="948">
        <v>746760</v>
      </c>
      <c r="F105" s="948">
        <v>0</v>
      </c>
      <c r="G105" s="948">
        <v>0</v>
      </c>
    </row>
    <row r="106" spans="1:7" x14ac:dyDescent="0.2">
      <c r="A106" s="997"/>
      <c r="B106" s="1429" t="s">
        <v>1064</v>
      </c>
      <c r="C106" s="1431"/>
      <c r="D106" s="1430"/>
      <c r="E106" s="948">
        <v>244845</v>
      </c>
      <c r="F106" s="948">
        <v>0</v>
      </c>
      <c r="G106" s="948">
        <v>0</v>
      </c>
    </row>
    <row r="107" spans="1:7" ht="13.5" customHeight="1" thickBot="1" x14ac:dyDescent="0.25">
      <c r="A107" s="998"/>
      <c r="B107" s="1001" t="s">
        <v>1065</v>
      </c>
      <c r="C107" s="1002"/>
      <c r="D107" s="1003"/>
      <c r="E107" s="999">
        <f>SUM(E103:E106)</f>
        <v>1768718</v>
      </c>
      <c r="F107" s="999">
        <v>0</v>
      </c>
      <c r="G107" s="999">
        <v>0</v>
      </c>
    </row>
    <row r="110" spans="1:7" ht="15.75" x14ac:dyDescent="0.2">
      <c r="A110" s="1439" t="s">
        <v>1066</v>
      </c>
      <c r="B110" s="1439"/>
      <c r="C110" s="1439"/>
      <c r="D110" s="1439"/>
      <c r="E110" s="1439"/>
      <c r="F110" s="1439"/>
    </row>
    <row r="111" spans="1:7" ht="13.5" thickBot="1" x14ac:dyDescent="0.25"/>
    <row r="112" spans="1:7" ht="26.25" thickBot="1" x14ac:dyDescent="0.25">
      <c r="A112" s="1387" t="s">
        <v>12</v>
      </c>
      <c r="B112" s="1388"/>
      <c r="C112" s="1388"/>
      <c r="D112" s="1389"/>
      <c r="E112" s="929" t="s">
        <v>956</v>
      </c>
      <c r="F112" s="929" t="s">
        <v>1037</v>
      </c>
      <c r="G112" s="929" t="s">
        <v>1158</v>
      </c>
    </row>
    <row r="113" spans="1:7" x14ac:dyDescent="0.2">
      <c r="A113" s="994"/>
      <c r="B113" s="1434" t="s">
        <v>241</v>
      </c>
      <c r="C113" s="1440"/>
      <c r="D113" s="1435"/>
      <c r="E113" s="980">
        <v>139000</v>
      </c>
      <c r="F113" s="980">
        <v>0</v>
      </c>
      <c r="G113" s="980">
        <v>0</v>
      </c>
    </row>
    <row r="114" spans="1:7" ht="13.5" thickBot="1" x14ac:dyDescent="0.25">
      <c r="A114" s="1421" t="s">
        <v>1065</v>
      </c>
      <c r="B114" s="1441"/>
      <c r="C114" s="1441"/>
      <c r="D114" s="1442"/>
      <c r="E114" s="999">
        <f>SUM(E113:E113)</f>
        <v>139000</v>
      </c>
      <c r="F114" s="999">
        <v>0</v>
      </c>
      <c r="G114" s="999">
        <v>0</v>
      </c>
    </row>
  </sheetData>
  <mergeCells count="49">
    <mergeCell ref="A114:D114"/>
    <mergeCell ref="B96:D96"/>
    <mergeCell ref="B97:D97"/>
    <mergeCell ref="A100:G100"/>
    <mergeCell ref="A102:D102"/>
    <mergeCell ref="B103:D103"/>
    <mergeCell ref="B104:D104"/>
    <mergeCell ref="B105:D105"/>
    <mergeCell ref="B106:D106"/>
    <mergeCell ref="A110:F110"/>
    <mergeCell ref="A112:D112"/>
    <mergeCell ref="B113:D113"/>
    <mergeCell ref="B95:D95"/>
    <mergeCell ref="A57:A86"/>
    <mergeCell ref="B57:B65"/>
    <mergeCell ref="C57:D57"/>
    <mergeCell ref="B66:B85"/>
    <mergeCell ref="C66:D66"/>
    <mergeCell ref="B86:D86"/>
    <mergeCell ref="A88:D88"/>
    <mergeCell ref="A90:G90"/>
    <mergeCell ref="A92:D92"/>
    <mergeCell ref="B93:D93"/>
    <mergeCell ref="B94:D94"/>
    <mergeCell ref="A38:A56"/>
    <mergeCell ref="C38:D38"/>
    <mergeCell ref="B39:B51"/>
    <mergeCell ref="C39:D39"/>
    <mergeCell ref="B52:B54"/>
    <mergeCell ref="C52:D52"/>
    <mergeCell ref="B56:D56"/>
    <mergeCell ref="A18:A37"/>
    <mergeCell ref="B18:B25"/>
    <mergeCell ref="C18:D18"/>
    <mergeCell ref="B26:B28"/>
    <mergeCell ref="B31:B33"/>
    <mergeCell ref="C31:D31"/>
    <mergeCell ref="B34:B36"/>
    <mergeCell ref="C34:D34"/>
    <mergeCell ref="B37:D37"/>
    <mergeCell ref="A1:G1"/>
    <mergeCell ref="A2:G2"/>
    <mergeCell ref="A4:D4"/>
    <mergeCell ref="A5:A17"/>
    <mergeCell ref="B5:B13"/>
    <mergeCell ref="C5:D5"/>
    <mergeCell ref="C15:D15"/>
    <mergeCell ref="C16:D16"/>
    <mergeCell ref="B17:D1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F142"/>
  <sheetViews>
    <sheetView view="pageLayout" topLeftCell="B1" zoomScale="150" zoomScaleNormal="120" zoomScaleSheetLayoutView="120" zoomScalePageLayoutView="150" workbookViewId="0">
      <selection activeCell="D114" sqref="D114"/>
    </sheetView>
  </sheetViews>
  <sheetFormatPr defaultColWidth="9.33203125" defaultRowHeight="15.75" x14ac:dyDescent="0.25"/>
  <cols>
    <col min="1" max="1" width="9.6640625" style="420" bestFit="1" customWidth="1"/>
    <col min="2" max="2" width="84.83203125" style="420" customWidth="1"/>
    <col min="3" max="6" width="14.83203125" style="43" customWidth="1"/>
    <col min="7" max="16384" width="9.33203125" style="43"/>
  </cols>
  <sheetData>
    <row r="1" spans="1:6" ht="15.95" customHeight="1" x14ac:dyDescent="0.25">
      <c r="A1" s="1276" t="s">
        <v>882</v>
      </c>
      <c r="B1" s="1276"/>
      <c r="C1" s="1276"/>
      <c r="D1" s="1276"/>
      <c r="E1" s="1276"/>
      <c r="F1" s="1276"/>
    </row>
    <row r="2" spans="1:6" ht="15.95" customHeight="1" thickBot="1" x14ac:dyDescent="0.3">
      <c r="A2" s="1274" t="s">
        <v>99</v>
      </c>
      <c r="B2" s="1274"/>
      <c r="F2" s="332" t="s">
        <v>299</v>
      </c>
    </row>
    <row r="3" spans="1:6" ht="38.1" customHeight="1" thickBot="1" x14ac:dyDescent="0.3">
      <c r="A3" s="28" t="s">
        <v>17</v>
      </c>
      <c r="B3" s="29" t="s">
        <v>884</v>
      </c>
      <c r="C3" s="580" t="s">
        <v>1185</v>
      </c>
      <c r="D3" s="580" t="s">
        <v>1165</v>
      </c>
      <c r="E3" s="1154" t="s">
        <v>1208</v>
      </c>
      <c r="F3" s="1073" t="s">
        <v>1209</v>
      </c>
    </row>
    <row r="4" spans="1:6" s="44" customFormat="1" ht="12" customHeight="1" thickBot="1" x14ac:dyDescent="0.25">
      <c r="A4" s="38">
        <v>1</v>
      </c>
      <c r="B4" s="39">
        <v>2</v>
      </c>
      <c r="C4" s="39">
        <v>3</v>
      </c>
      <c r="D4" s="39">
        <v>4</v>
      </c>
      <c r="E4" s="1171">
        <v>5</v>
      </c>
      <c r="F4" s="1170">
        <v>6</v>
      </c>
    </row>
    <row r="5" spans="1:6" s="1" customFormat="1" ht="12" customHeight="1" thickBot="1" x14ac:dyDescent="0.25">
      <c r="A5" s="25" t="s">
        <v>885</v>
      </c>
      <c r="B5" s="24" t="s">
        <v>125</v>
      </c>
      <c r="C5" s="582">
        <f>+C6+C11+C20</f>
        <v>126317</v>
      </c>
      <c r="D5" s="582">
        <f>+D6+D11+D20</f>
        <v>142194</v>
      </c>
      <c r="E5" s="582">
        <f>+E6+E11+E20</f>
        <v>143000</v>
      </c>
      <c r="F5" s="1174">
        <f>E5/D5</f>
        <v>1.0056683123057231</v>
      </c>
    </row>
    <row r="6" spans="1:6" s="1" customFormat="1" ht="12" customHeight="1" thickBot="1" x14ac:dyDescent="0.25">
      <c r="A6" s="23" t="s">
        <v>886</v>
      </c>
      <c r="B6" s="311" t="s">
        <v>374</v>
      </c>
      <c r="C6" s="584">
        <f>+C7+C8+C9+C10</f>
        <v>98900</v>
      </c>
      <c r="D6" s="584">
        <f>+D7+D8+D9+D10</f>
        <v>105329</v>
      </c>
      <c r="E6" s="584">
        <f>+E7+E8+E9+E10</f>
        <v>105362</v>
      </c>
      <c r="F6" s="1175">
        <f>E6/D6</f>
        <v>1.0003133040283303</v>
      </c>
    </row>
    <row r="7" spans="1:6" s="1" customFormat="1" ht="12" customHeight="1" x14ac:dyDescent="0.2">
      <c r="A7" s="16" t="s">
        <v>63</v>
      </c>
      <c r="B7" s="404" t="s">
        <v>928</v>
      </c>
      <c r="C7" s="587">
        <f>'1.2.sz.mell. _köt'!C7+'1.4.sz.mell._állig'!E7+'1.3.sz.mell._önk'!C6</f>
        <v>97000</v>
      </c>
      <c r="D7" s="587">
        <f>'1.2.sz.mell. _köt'!D7+'1.4.sz.mell._állig'!F7+'1.3.sz.mell._önk'!D6</f>
        <v>100859</v>
      </c>
      <c r="E7" s="587">
        <f>'1.2.sz.mell. _köt'!E7+'1.3.sz.mell._önk'!E7</f>
        <v>100840</v>
      </c>
      <c r="F7" s="1176">
        <f>E7/D7</f>
        <v>0.99981161819966491</v>
      </c>
    </row>
    <row r="8" spans="1:6" s="1" customFormat="1" ht="12" customHeight="1" x14ac:dyDescent="0.2">
      <c r="A8" s="16" t="s">
        <v>64</v>
      </c>
      <c r="B8" s="325" t="s">
        <v>33</v>
      </c>
      <c r="C8" s="587">
        <f>'1.2.sz.mell. _köt'!C8+'1.3.sz.mell._önk'!C8+'1.4.sz.mell._állig'!E8</f>
        <v>0</v>
      </c>
      <c r="D8" s="587">
        <f>'1.2.sz.mell. _köt'!D8+'1.3.sz.mell._önk'!D8+'1.4.sz.mell._állig'!F8</f>
        <v>0</v>
      </c>
      <c r="E8" s="587"/>
      <c r="F8" s="1176"/>
    </row>
    <row r="9" spans="1:6" s="1" customFormat="1" ht="12" customHeight="1" x14ac:dyDescent="0.2">
      <c r="A9" s="16" t="s">
        <v>65</v>
      </c>
      <c r="B9" s="325" t="s">
        <v>126</v>
      </c>
      <c r="C9" s="587">
        <f>'1.2.sz.mell. _köt'!C9+'1.3.sz.mell._önk'!C9+'1.4.sz.mell._állig'!E9</f>
        <v>1500</v>
      </c>
      <c r="D9" s="587">
        <f>'1.2.sz.mell. _köt'!D9+'1.3.sz.mell._önk'!D9+'1.4.sz.mell._állig'!F9</f>
        <v>2439</v>
      </c>
      <c r="E9" s="587">
        <f>'1.2.sz.mell. _köt'!E9</f>
        <v>2747</v>
      </c>
      <c r="F9" s="1176">
        <f>E9/D9</f>
        <v>1.1262812628126282</v>
      </c>
    </row>
    <row r="10" spans="1:6" s="1" customFormat="1" ht="12" customHeight="1" thickBot="1" x14ac:dyDescent="0.25">
      <c r="A10" s="16" t="s">
        <v>66</v>
      </c>
      <c r="B10" s="405" t="s">
        <v>127</v>
      </c>
      <c r="C10" s="587">
        <f>'1.2.sz.mell. _köt'!C10+'1.3.sz.mell._önk'!C10+'1.4.sz.mell._állig'!E10</f>
        <v>400</v>
      </c>
      <c r="D10" s="587">
        <f>'1.2.sz.mell. _köt'!D10+'1.3.sz.mell._önk'!D10+'1.4.sz.mell._állig'!F10</f>
        <v>2031</v>
      </c>
      <c r="E10" s="587">
        <f>'1.2.sz.mell. _köt'!E10</f>
        <v>1775</v>
      </c>
      <c r="F10" s="1176">
        <f>E10/D10</f>
        <v>0.87395371738060068</v>
      </c>
    </row>
    <row r="11" spans="1:6" s="1" customFormat="1" ht="12" customHeight="1" thickBot="1" x14ac:dyDescent="0.25">
      <c r="A11" s="23" t="s">
        <v>887</v>
      </c>
      <c r="B11" s="24" t="s">
        <v>128</v>
      </c>
      <c r="C11" s="584">
        <f>+C12+C13+C14+C15+C16+C17+C18+C19</f>
        <v>19617</v>
      </c>
      <c r="D11" s="584">
        <f>+D12+D13+D14+D15+D16+D17+D18+D19</f>
        <v>29065</v>
      </c>
      <c r="E11" s="584">
        <f>+E12+E13+E14+E15+E16+E17+E18+E19</f>
        <v>29614</v>
      </c>
      <c r="F11" s="1175">
        <f>E11/D11</f>
        <v>1.0188886977464304</v>
      </c>
    </row>
    <row r="12" spans="1:6" s="1" customFormat="1" ht="12" customHeight="1" x14ac:dyDescent="0.2">
      <c r="A12" s="20" t="s">
        <v>37</v>
      </c>
      <c r="B12" s="12" t="s">
        <v>133</v>
      </c>
      <c r="C12" s="587">
        <f>'1.2.sz.mell. _köt'!C12+'1.3.sz.mell._önk'!C12+'1.4.sz.mell._állig'!E12</f>
        <v>1815</v>
      </c>
      <c r="D12" s="587">
        <f>'1.2.sz.mell. _köt'!D12+'1.3.sz.mell._önk'!D12+'1.4.sz.mell._állig'!F12</f>
        <v>3318</v>
      </c>
      <c r="E12" s="587">
        <f>'1.2.sz.mell. _köt'!E12</f>
        <v>3310</v>
      </c>
      <c r="F12" s="1176">
        <f>E12/D12</f>
        <v>0.99758890898131403</v>
      </c>
    </row>
    <row r="13" spans="1:6" s="1" customFormat="1" ht="12" customHeight="1" x14ac:dyDescent="0.2">
      <c r="A13" s="16" t="s">
        <v>38</v>
      </c>
      <c r="B13" s="9" t="s">
        <v>134</v>
      </c>
      <c r="C13" s="587">
        <f>'1.2.sz.mell. _köt'!C13+'1.3.sz.mell._önk'!C13+'1.4.sz.mell._állig'!E13</f>
        <v>315</v>
      </c>
      <c r="D13" s="587">
        <f>'1.2.sz.mell. _köt'!D13+'1.3.sz.mell._önk'!D13+'1.4.sz.mell._állig'!F13</f>
        <v>2084</v>
      </c>
      <c r="E13" s="587">
        <f>'1.2.sz.mell. _köt'!E13</f>
        <v>1828</v>
      </c>
      <c r="F13" s="1176">
        <f>E13/D13</f>
        <v>0.87715930902111328</v>
      </c>
    </row>
    <row r="14" spans="1:6" s="1" customFormat="1" ht="12" customHeight="1" x14ac:dyDescent="0.2">
      <c r="A14" s="16" t="s">
        <v>39</v>
      </c>
      <c r="B14" s="9" t="s">
        <v>135</v>
      </c>
      <c r="C14" s="587">
        <f>'1.2.sz.mell. _köt'!C14+'1.3.sz.mell._önk'!C14+'1.4.sz.mell._állig'!E14</f>
        <v>15622</v>
      </c>
      <c r="D14" s="587">
        <f>'1.2.sz.mell. _köt'!D14+'1.3.sz.mell._önk'!D14+'1.4.sz.mell._állig'!F14</f>
        <v>21016</v>
      </c>
      <c r="E14" s="587">
        <f>'1.2.sz.mell. _köt'!E14</f>
        <v>21974</v>
      </c>
      <c r="F14" s="1176">
        <f t="shared" ref="F14:F19" si="0">E14/D14</f>
        <v>1.0455843167110772</v>
      </c>
    </row>
    <row r="15" spans="1:6" s="1" customFormat="1" ht="12" customHeight="1" x14ac:dyDescent="0.2">
      <c r="A15" s="16" t="s">
        <v>40</v>
      </c>
      <c r="B15" s="9" t="s">
        <v>136</v>
      </c>
      <c r="C15" s="587">
        <f>'1.2.sz.mell. _köt'!C15+'1.3.sz.mell._önk'!C15+'1.4.sz.mell._állig'!E15</f>
        <v>1255</v>
      </c>
      <c r="D15" s="587">
        <f>'1.2.sz.mell. _köt'!D15+'1.3.sz.mell._önk'!D15+'1.4.sz.mell._állig'!F15</f>
        <v>1466</v>
      </c>
      <c r="E15" s="587">
        <f>'1.2.sz.mell. _köt'!E15</f>
        <v>1427</v>
      </c>
      <c r="F15" s="1176">
        <f t="shared" si="0"/>
        <v>0.97339699863574347</v>
      </c>
    </row>
    <row r="16" spans="1:6" s="1" customFormat="1" ht="12" customHeight="1" x14ac:dyDescent="0.2">
      <c r="A16" s="15" t="s">
        <v>129</v>
      </c>
      <c r="B16" s="8" t="s">
        <v>137</v>
      </c>
      <c r="C16" s="587">
        <f>'1.2.sz.mell. _köt'!C16+'1.3.sz.mell._önk'!C16+'1.4.sz.mell._állig'!E16</f>
        <v>0</v>
      </c>
      <c r="D16" s="587">
        <f>'1.2.sz.mell. _köt'!D16+'1.3.sz.mell._önk'!D16+'1.4.sz.mell._állig'!F16</f>
        <v>0</v>
      </c>
      <c r="E16" s="587"/>
      <c r="F16" s="1176"/>
    </row>
    <row r="17" spans="1:6" s="1" customFormat="1" ht="12" customHeight="1" x14ac:dyDescent="0.2">
      <c r="A17" s="16" t="s">
        <v>130</v>
      </c>
      <c r="B17" s="9" t="s">
        <v>239</v>
      </c>
      <c r="C17" s="587">
        <f>'1.2.sz.mell. _köt'!C17+'1.3.sz.mell._önk'!C17+'1.4.sz.mell._állig'!E17</f>
        <v>610</v>
      </c>
      <c r="D17" s="587">
        <f>'1.2.sz.mell. _köt'!D17+'1.3.sz.mell._önk'!D17+'1.4.sz.mell._állig'!F17</f>
        <v>653</v>
      </c>
      <c r="E17" s="587">
        <f>'1.2.sz.mell. _köt'!E17</f>
        <v>547</v>
      </c>
      <c r="F17" s="1176">
        <f t="shared" si="0"/>
        <v>0.83767228177641651</v>
      </c>
    </row>
    <row r="18" spans="1:6" s="1" customFormat="1" ht="12" customHeight="1" x14ac:dyDescent="0.2">
      <c r="A18" s="16" t="s">
        <v>131</v>
      </c>
      <c r="B18" s="9" t="s">
        <v>139</v>
      </c>
      <c r="C18" s="587">
        <f>'1.2.sz.mell. _köt'!C18+'1.3.sz.mell._önk'!C18+'1.4.sz.mell._állig'!E18</f>
        <v>0</v>
      </c>
      <c r="D18" s="587">
        <f>'1.2.sz.mell. _köt'!D18+'1.3.sz.mell._önk'!D18+'1.4.sz.mell._állig'!F18</f>
        <v>6</v>
      </c>
      <c r="E18" s="587">
        <f>'1.2.sz.mell. _köt'!E18</f>
        <v>6</v>
      </c>
      <c r="F18" s="1176">
        <f t="shared" si="0"/>
        <v>1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587">
        <f>'1.2.sz.mell. _köt'!C19+'1.3.sz.mell._önk'!C19+'1.4.sz.mell._állig'!E19</f>
        <v>0</v>
      </c>
      <c r="D19" s="587">
        <f>'9. sz. mell.'!E16+'10. sz. mell.'!E16+'8. sz. mell'!E22</f>
        <v>522</v>
      </c>
      <c r="E19" s="587">
        <f>'1.2.sz.mell. _köt'!E19</f>
        <v>522</v>
      </c>
      <c r="F19" s="1176">
        <f t="shared" si="0"/>
        <v>1</v>
      </c>
    </row>
    <row r="20" spans="1:6" s="1" customFormat="1" ht="12" customHeight="1" thickBot="1" x14ac:dyDescent="0.25">
      <c r="A20" s="23" t="s">
        <v>141</v>
      </c>
      <c r="B20" s="24" t="s">
        <v>240</v>
      </c>
      <c r="C20" s="589">
        <f>'1.2.sz.mell. _köt'!C20+'1.3.sz.mell._önk'!C20+'1.4.sz.mell._állig'!E20</f>
        <v>7800</v>
      </c>
      <c r="D20" s="589">
        <f>'1.2.sz.mell. _köt'!D20+'1.3.sz.mell._önk'!D20+'1.4.sz.mell._állig'!F20</f>
        <v>7800</v>
      </c>
      <c r="E20" s="589">
        <f>'1.2.sz.mell. _köt'!E20</f>
        <v>8024</v>
      </c>
      <c r="F20" s="1177">
        <f>E20/D20</f>
        <v>1.0287179487179487</v>
      </c>
    </row>
    <row r="21" spans="1:6" s="1" customFormat="1" ht="12" customHeight="1" thickBot="1" x14ac:dyDescent="0.25">
      <c r="A21" s="23" t="s">
        <v>889</v>
      </c>
      <c r="B21" s="24" t="s">
        <v>143</v>
      </c>
      <c r="C21" s="584">
        <f>+C22+C23+C24+C25+C26+C27+C28+C29</f>
        <v>192240</v>
      </c>
      <c r="D21" s="584">
        <f>+D22+D23+D24+D25+D26+D27+D28+D29</f>
        <v>229493</v>
      </c>
      <c r="E21" s="584">
        <f>+E22+E23+E24+E25+E26+E27+E28+E29</f>
        <v>229492.155</v>
      </c>
      <c r="F21" s="1175">
        <f>E21/D21</f>
        <v>0.99999631797048272</v>
      </c>
    </row>
    <row r="22" spans="1:6" s="1" customFormat="1" ht="12" customHeight="1" x14ac:dyDescent="0.2">
      <c r="A22" s="18" t="s">
        <v>41</v>
      </c>
      <c r="B22" s="11" t="s">
        <v>819</v>
      </c>
      <c r="C22" s="587">
        <f>'1.2.sz.mell. _köt'!C22+'1.3.sz.mell._önk'!C22+'1.4.sz.mell._állig'!E22</f>
        <v>192240</v>
      </c>
      <c r="D22" s="587">
        <f>'1.2.sz.mell. _köt'!D22+'1.3.sz.mell._önk'!D22+'1.4.sz.mell._állig'!F22</f>
        <v>205071</v>
      </c>
      <c r="E22" s="587">
        <f>'1.2.sz.mell. _köt'!E22</f>
        <v>205071.155</v>
      </c>
      <c r="F22" s="1176">
        <f>E22/D22</f>
        <v>1.0000007558357837</v>
      </c>
    </row>
    <row r="23" spans="1:6" s="1" customFormat="1" ht="12" customHeight="1" x14ac:dyDescent="0.2">
      <c r="A23" s="16" t="s">
        <v>42</v>
      </c>
      <c r="B23" s="9" t="s">
        <v>149</v>
      </c>
      <c r="C23" s="587">
        <f>'1.2.sz.mell. _köt'!C23+'1.3.sz.mell._önk'!C23+'1.4.sz.mell._állig'!E23</f>
        <v>0</v>
      </c>
      <c r="D23" s="587">
        <f>'1.2.sz.mell. _köt'!D23+'1.3.sz.mell._önk'!D23+'1.4.sz.mell._állig'!F23</f>
        <v>0</v>
      </c>
      <c r="E23" s="587"/>
      <c r="F23" s="1176"/>
    </row>
    <row r="24" spans="1:6" s="1" customFormat="1" ht="12" customHeight="1" x14ac:dyDescent="0.2">
      <c r="A24" s="16" t="s">
        <v>43</v>
      </c>
      <c r="B24" s="9" t="s">
        <v>46</v>
      </c>
      <c r="C24" s="587">
        <f>'1.2.sz.mell. _köt'!C24+'1.3.sz.mell._önk'!C24+'1.4.sz.mell._állig'!E24</f>
        <v>0</v>
      </c>
      <c r="D24" s="587">
        <f>'8. sz. mell'!E27</f>
        <v>13648</v>
      </c>
      <c r="E24" s="587">
        <f>'1.2.sz.mell. _köt'!E24</f>
        <v>13647</v>
      </c>
      <c r="F24" s="1176">
        <f>E24/D24</f>
        <v>0.99992672919109027</v>
      </c>
    </row>
    <row r="25" spans="1:6" s="1" customFormat="1" ht="12" customHeight="1" x14ac:dyDescent="0.2">
      <c r="A25" s="19" t="s">
        <v>144</v>
      </c>
      <c r="B25" s="9" t="s">
        <v>150</v>
      </c>
      <c r="C25" s="587">
        <f>'1.2.sz.mell. _köt'!C25+'1.3.sz.mell._önk'!C25+'1.4.sz.mell._állig'!E25</f>
        <v>0</v>
      </c>
      <c r="D25" s="587">
        <f>'1.2.sz.mell. _köt'!D25+'1.3.sz.mell._önk'!D25+'1.4.sz.mell._állig'!F25</f>
        <v>0</v>
      </c>
      <c r="E25" s="587"/>
      <c r="F25" s="1176"/>
    </row>
    <row r="26" spans="1:6" s="1" customFormat="1" ht="12" customHeight="1" x14ac:dyDescent="0.2">
      <c r="A26" s="19" t="s">
        <v>145</v>
      </c>
      <c r="B26" s="9" t="s">
        <v>151</v>
      </c>
      <c r="C26" s="587">
        <f>'1.2.sz.mell. _köt'!C26+'1.3.sz.mell._önk'!C26+'1.4.sz.mell._állig'!E26</f>
        <v>0</v>
      </c>
      <c r="D26" s="587">
        <f>'1.2.sz.mell. _köt'!D26+'1.3.sz.mell._önk'!D26+'1.4.sz.mell._állig'!F26</f>
        <v>0</v>
      </c>
      <c r="E26" s="587"/>
      <c r="F26" s="1176"/>
    </row>
    <row r="27" spans="1:6" s="1" customFormat="1" ht="12" customHeight="1" x14ac:dyDescent="0.2">
      <c r="A27" s="16" t="s">
        <v>146</v>
      </c>
      <c r="B27" s="9" t="s">
        <v>152</v>
      </c>
      <c r="C27" s="587">
        <f>'1.2.sz.mell. _köt'!C27+'1.3.sz.mell._önk'!C27+'1.4.sz.mell._állig'!E27</f>
        <v>0</v>
      </c>
      <c r="D27" s="587">
        <f>'1.2.sz.mell. _köt'!D27+'1.3.sz.mell._önk'!D27+'1.4.sz.mell._állig'!F27</f>
        <v>0</v>
      </c>
      <c r="E27" s="587"/>
      <c r="F27" s="1176"/>
    </row>
    <row r="28" spans="1:6" s="1" customFormat="1" ht="12" customHeight="1" x14ac:dyDescent="0.2">
      <c r="A28" s="16" t="s">
        <v>147</v>
      </c>
      <c r="B28" s="9" t="s">
        <v>241</v>
      </c>
      <c r="C28" s="587">
        <f>'1.2.sz.mell. _köt'!C28+'1.3.sz.mell._önk'!C28+'1.4.sz.mell._állig'!E28</f>
        <v>0</v>
      </c>
      <c r="D28" s="587">
        <f>'8. sz. mell'!E31</f>
        <v>10398</v>
      </c>
      <c r="E28" s="587">
        <f>'1.2.sz.mell. _köt'!E28</f>
        <v>10398</v>
      </c>
      <c r="F28" s="1176">
        <v>1</v>
      </c>
    </row>
    <row r="29" spans="1:6" s="1" customFormat="1" ht="12" customHeight="1" thickBot="1" x14ac:dyDescent="0.25">
      <c r="A29" s="16" t="s">
        <v>148</v>
      </c>
      <c r="B29" s="14" t="s">
        <v>153</v>
      </c>
      <c r="C29" s="587">
        <f>'1.2.sz.mell. _köt'!C29+'1.3.sz.mell._önk'!C29+'1.4.sz.mell._állig'!E29</f>
        <v>0</v>
      </c>
      <c r="D29" s="587">
        <f>'8. sz. mell'!E32</f>
        <v>376</v>
      </c>
      <c r="E29" s="587">
        <f>'1.2.sz.mell. _köt'!E29</f>
        <v>376</v>
      </c>
      <c r="F29" s="1176">
        <v>1</v>
      </c>
    </row>
    <row r="30" spans="1:6" s="1" customFormat="1" ht="12" customHeight="1" thickBot="1" x14ac:dyDescent="0.25">
      <c r="A30" s="304" t="s">
        <v>890</v>
      </c>
      <c r="B30" s="24" t="s">
        <v>375</v>
      </c>
      <c r="C30" s="584">
        <f>+C31+C37</f>
        <v>19900</v>
      </c>
      <c r="D30" s="584">
        <f>+D31+D37</f>
        <v>28516</v>
      </c>
      <c r="E30" s="584">
        <f>+E31+E37</f>
        <v>15666</v>
      </c>
      <c r="F30" s="1175">
        <f>E30/D30</f>
        <v>0.5493757890307196</v>
      </c>
    </row>
    <row r="31" spans="1:6" s="1" customFormat="1" ht="12" customHeight="1" x14ac:dyDescent="0.2">
      <c r="A31" s="305" t="s">
        <v>44</v>
      </c>
      <c r="B31" s="406" t="s">
        <v>376</v>
      </c>
      <c r="C31" s="591">
        <f>+C32+C33+C34+C35</f>
        <v>5196</v>
      </c>
      <c r="D31" s="591">
        <f>+D32+D33+D34+D35+D36</f>
        <v>13812</v>
      </c>
      <c r="E31" s="591">
        <f>+E32+E33+E34+E35+E36</f>
        <v>15666</v>
      </c>
      <c r="F31" s="1178">
        <f>E31/D31</f>
        <v>1.1342311033883579</v>
      </c>
    </row>
    <row r="32" spans="1:6" s="1" customFormat="1" ht="12" customHeight="1" x14ac:dyDescent="0.2">
      <c r="A32" s="306" t="s">
        <v>47</v>
      </c>
      <c r="B32" s="312" t="s">
        <v>242</v>
      </c>
      <c r="C32" s="587">
        <f>'1.2.sz.mell. _köt'!C32+'1.3.sz.mell._önk'!C32+'1.4.sz.mell._állig'!E32</f>
        <v>5196</v>
      </c>
      <c r="D32" s="587">
        <f>'1.2.sz.mell. _köt'!D32+'1.3.sz.mell._önk'!D32+'1.4.sz.mell._állig'!F32</f>
        <v>5196</v>
      </c>
      <c r="E32" s="587">
        <f>'1.2.sz.mell. _köt'!E32</f>
        <v>5304</v>
      </c>
      <c r="F32" s="1176">
        <f>E32/D32</f>
        <v>1.0207852193995381</v>
      </c>
    </row>
    <row r="33" spans="1:6" s="1" customFormat="1" ht="12" customHeight="1" x14ac:dyDescent="0.2">
      <c r="A33" s="306" t="s">
        <v>48</v>
      </c>
      <c r="B33" s="312" t="s">
        <v>243</v>
      </c>
      <c r="C33" s="587">
        <f>'1.2.sz.mell. _köt'!C33+'1.3.sz.mell._önk'!C33+'1.4.sz.mell._állig'!E33</f>
        <v>0</v>
      </c>
      <c r="D33" s="587">
        <f>'1.2.sz.mell. _köt'!D33+'1.3.sz.mell._önk'!D33+'1.4.sz.mell._állig'!F33</f>
        <v>0</v>
      </c>
      <c r="E33" s="587"/>
      <c r="F33" s="1176"/>
    </row>
    <row r="34" spans="1:6" s="1" customFormat="1" ht="12" customHeight="1" x14ac:dyDescent="0.2">
      <c r="A34" s="306" t="s">
        <v>49</v>
      </c>
      <c r="B34" s="312" t="s">
        <v>244</v>
      </c>
      <c r="C34" s="587">
        <f>'1.2.sz.mell. _köt'!C34+'1.3.sz.mell._önk'!C34+'1.4.sz.mell._állig'!E34</f>
        <v>0</v>
      </c>
      <c r="D34" s="587">
        <f>'1.2.sz.mell. _köt'!D34+'1.3.sz.mell._önk'!D34+'1.4.sz.mell._állig'!F34</f>
        <v>0</v>
      </c>
      <c r="E34" s="587"/>
      <c r="F34" s="1176"/>
    </row>
    <row r="35" spans="1:6" s="1" customFormat="1" ht="12" customHeight="1" x14ac:dyDescent="0.2">
      <c r="A35" s="306" t="s">
        <v>50</v>
      </c>
      <c r="B35" s="312" t="s">
        <v>245</v>
      </c>
      <c r="C35" s="587">
        <f>'1.2.sz.mell. _köt'!C35+'1.3.sz.mell._önk'!C35+'1.4.sz.mell._állig'!E35</f>
        <v>0</v>
      </c>
      <c r="D35" s="587">
        <f>'1.2.sz.mell. _köt'!D35+'1.3.sz.mell._önk'!D35+'1.4.sz.mell._állig'!F35</f>
        <v>0</v>
      </c>
      <c r="E35" s="587"/>
      <c r="F35" s="1176"/>
    </row>
    <row r="36" spans="1:6" s="1" customFormat="1" ht="12" customHeight="1" x14ac:dyDescent="0.2">
      <c r="A36" s="306" t="s">
        <v>172</v>
      </c>
      <c r="B36" s="312" t="s">
        <v>1200</v>
      </c>
      <c r="C36" s="587"/>
      <c r="D36" s="587">
        <f>'8. sz. mell'!E39</f>
        <v>8616</v>
      </c>
      <c r="E36" s="587">
        <f>'1.2.sz.mell. _köt'!E36</f>
        <v>10362</v>
      </c>
      <c r="F36" s="1176">
        <f t="shared" ref="F36:F40" si="1">E36/D36</f>
        <v>1.2026462395543176</v>
      </c>
    </row>
    <row r="37" spans="1:6" s="1" customFormat="1" ht="12" customHeight="1" x14ac:dyDescent="0.2">
      <c r="A37" s="306" t="s">
        <v>45</v>
      </c>
      <c r="B37" s="313" t="s">
        <v>378</v>
      </c>
      <c r="C37" s="593">
        <f>+C38+C39+C40+C41+C42</f>
        <v>14704</v>
      </c>
      <c r="D37" s="593">
        <f>+D38+D39+D40+D41+D42</f>
        <v>14704</v>
      </c>
      <c r="E37" s="593"/>
      <c r="F37" s="1176">
        <f t="shared" si="1"/>
        <v>0</v>
      </c>
    </row>
    <row r="38" spans="1:6" s="1" customFormat="1" ht="12" customHeight="1" x14ac:dyDescent="0.2">
      <c r="A38" s="306" t="s">
        <v>53</v>
      </c>
      <c r="B38" s="312" t="s">
        <v>242</v>
      </c>
      <c r="C38" s="587">
        <f>'1.2.sz.mell. _köt'!C38+'1.3.sz.mell._önk'!C38+'1.4.sz.mell._állig'!E38</f>
        <v>0</v>
      </c>
      <c r="D38" s="587">
        <f>'1.2.sz.mell. _köt'!D38+'1.3.sz.mell._önk'!D38+'1.4.sz.mell._állig'!F38</f>
        <v>0</v>
      </c>
      <c r="E38" s="587"/>
      <c r="F38" s="1176"/>
    </row>
    <row r="39" spans="1:6" s="1" customFormat="1" ht="12" customHeight="1" x14ac:dyDescent="0.2">
      <c r="A39" s="306" t="s">
        <v>54</v>
      </c>
      <c r="B39" s="312" t="s">
        <v>243</v>
      </c>
      <c r="C39" s="587">
        <f>'1.2.sz.mell. _köt'!C39+'1.3.sz.mell._önk'!C39+'1.4.sz.mell._állig'!E39</f>
        <v>0</v>
      </c>
      <c r="D39" s="587">
        <f>'1.2.sz.mell. _köt'!D39+'1.3.sz.mell._önk'!D39+'1.4.sz.mell._állig'!F39</f>
        <v>0</v>
      </c>
      <c r="E39" s="587"/>
      <c r="F39" s="1176"/>
    </row>
    <row r="40" spans="1:6" s="1" customFormat="1" ht="12" customHeight="1" x14ac:dyDescent="0.2">
      <c r="A40" s="306" t="s">
        <v>55</v>
      </c>
      <c r="B40" s="312" t="s">
        <v>244</v>
      </c>
      <c r="C40" s="587">
        <f>'1.2.sz.mell. _köt'!C40+'1.3.sz.mell._önk'!C40+'1.4.sz.mell._állig'!E40</f>
        <v>14704</v>
      </c>
      <c r="D40" s="587">
        <f>'1.2.sz.mell. _köt'!D40+'1.3.sz.mell._önk'!D40+'1.4.sz.mell._állig'!F40</f>
        <v>14704</v>
      </c>
      <c r="E40" s="587"/>
      <c r="F40" s="1176">
        <f t="shared" si="1"/>
        <v>0</v>
      </c>
    </row>
    <row r="41" spans="1:6" s="1" customFormat="1" ht="12" customHeight="1" x14ac:dyDescent="0.2">
      <c r="A41" s="306" t="s">
        <v>56</v>
      </c>
      <c r="B41" s="314" t="s">
        <v>245</v>
      </c>
      <c r="C41" s="587">
        <f>'1.2.sz.mell. _köt'!C41+'1.3.sz.mell._önk'!C41+'1.4.sz.mell._állig'!E41</f>
        <v>0</v>
      </c>
      <c r="D41" s="587">
        <f>'1.2.sz.mell. _köt'!D41+'1.3.sz.mell._önk'!D41+'1.4.sz.mell._állig'!F41</f>
        <v>0</v>
      </c>
      <c r="E41" s="587"/>
      <c r="F41" s="1176"/>
    </row>
    <row r="42" spans="1:6" s="1" customFormat="1" ht="12" customHeight="1" thickBot="1" x14ac:dyDescent="0.25">
      <c r="A42" s="307" t="s">
        <v>155</v>
      </c>
      <c r="B42" s="315" t="s">
        <v>379</v>
      </c>
      <c r="C42" s="587">
        <f>'1.2.sz.mell. _köt'!C42+'1.3.sz.mell._önk'!C42+'1.4.sz.mell._állig'!E42</f>
        <v>0</v>
      </c>
      <c r="D42" s="587">
        <f>'1.2.sz.mell. _köt'!D42+'1.3.sz.mell._önk'!D42+'1.4.sz.mell._állig'!F42</f>
        <v>0</v>
      </c>
      <c r="E42" s="587"/>
      <c r="F42" s="1176"/>
    </row>
    <row r="43" spans="1:6" s="1" customFormat="1" ht="12" customHeight="1" thickBot="1" x14ac:dyDescent="0.25">
      <c r="A43" s="23" t="s">
        <v>156</v>
      </c>
      <c r="B43" s="407" t="s">
        <v>246</v>
      </c>
      <c r="C43" s="584">
        <f>+C44+C45</f>
        <v>7000</v>
      </c>
      <c r="D43" s="584">
        <f>+D44+D45</f>
        <v>7000</v>
      </c>
      <c r="E43" s="584">
        <f>+E44+E45</f>
        <v>7865</v>
      </c>
      <c r="F43" s="1175">
        <f>E43/D43</f>
        <v>1.1235714285714287</v>
      </c>
    </row>
    <row r="44" spans="1:6" s="1" customFormat="1" ht="12" customHeight="1" x14ac:dyDescent="0.2">
      <c r="A44" s="18" t="s">
        <v>51</v>
      </c>
      <c r="B44" s="325" t="s">
        <v>247</v>
      </c>
      <c r="C44" s="587"/>
      <c r="D44" s="587"/>
      <c r="E44" s="587"/>
      <c r="F44" s="1176"/>
    </row>
    <row r="45" spans="1:6" s="1" customFormat="1" ht="12" customHeight="1" thickBot="1" x14ac:dyDescent="0.25">
      <c r="A45" s="15" t="s">
        <v>52</v>
      </c>
      <c r="B45" s="320" t="s">
        <v>251</v>
      </c>
      <c r="C45" s="587">
        <f>'8. sz. mell'!D48</f>
        <v>7000</v>
      </c>
      <c r="D45" s="587">
        <f>'8. sz. mell'!E48</f>
        <v>7000</v>
      </c>
      <c r="E45" s="587">
        <f>'1.2.sz.mell. _köt'!E45</f>
        <v>7865</v>
      </c>
      <c r="F45" s="1176">
        <f>E45/D45</f>
        <v>1.1235714285714287</v>
      </c>
    </row>
    <row r="46" spans="1:6" s="1" customFormat="1" ht="12" customHeight="1" thickBot="1" x14ac:dyDescent="0.25">
      <c r="A46" s="23" t="s">
        <v>892</v>
      </c>
      <c r="B46" s="407" t="s">
        <v>250</v>
      </c>
      <c r="C46" s="584">
        <f>+C47+C48+C49</f>
        <v>414</v>
      </c>
      <c r="D46" s="584">
        <f>+D47+D48+D49</f>
        <v>564</v>
      </c>
      <c r="E46" s="584">
        <f>+E47+E48+E49</f>
        <v>563</v>
      </c>
      <c r="F46" s="1175">
        <f>E46/D46</f>
        <v>0.99822695035460995</v>
      </c>
    </row>
    <row r="47" spans="1:6" s="1" customFormat="1" ht="12" customHeight="1" x14ac:dyDescent="0.2">
      <c r="A47" s="18" t="s">
        <v>159</v>
      </c>
      <c r="B47" s="325" t="s">
        <v>157</v>
      </c>
      <c r="C47" s="587"/>
      <c r="D47" s="587"/>
      <c r="E47" s="587"/>
      <c r="F47" s="1176"/>
    </row>
    <row r="48" spans="1:6" s="1" customFormat="1" ht="12" customHeight="1" x14ac:dyDescent="0.2">
      <c r="A48" s="16" t="s">
        <v>160</v>
      </c>
      <c r="B48" s="312" t="s">
        <v>943</v>
      </c>
      <c r="C48" s="587">
        <f>'1.2.sz.mell. _köt'!C48+'1.3.sz.mell._önk'!C48+'1.4.sz.mell._állig'!E48</f>
        <v>414</v>
      </c>
      <c r="D48" s="587">
        <f>'1.2.sz.mell. _köt'!D48+'1.3.sz.mell._önk'!D48+'1.4.sz.mell._állig'!F48</f>
        <v>564</v>
      </c>
      <c r="E48" s="587">
        <f>'1.2.sz.mell. _köt'!E48</f>
        <v>563</v>
      </c>
      <c r="F48" s="1176">
        <f>E48/D48</f>
        <v>0.99822695035460995</v>
      </c>
    </row>
    <row r="49" spans="1:6" s="1" customFormat="1" ht="12" customHeight="1" thickBot="1" x14ac:dyDescent="0.25">
      <c r="A49" s="15" t="s">
        <v>308</v>
      </c>
      <c r="B49" s="320" t="s">
        <v>248</v>
      </c>
      <c r="C49" s="587"/>
      <c r="D49" s="587"/>
      <c r="E49" s="587"/>
      <c r="F49" s="1176"/>
    </row>
    <row r="50" spans="1:6" s="1" customFormat="1" ht="17.25" customHeight="1" thickBot="1" x14ac:dyDescent="0.25">
      <c r="A50" s="23" t="s">
        <v>161</v>
      </c>
      <c r="B50" s="408" t="s">
        <v>249</v>
      </c>
      <c r="C50" s="589"/>
      <c r="D50" s="589"/>
      <c r="E50" s="589"/>
      <c r="F50" s="1177"/>
    </row>
    <row r="51" spans="1:6" s="1" customFormat="1" ht="12" customHeight="1" thickBot="1" x14ac:dyDescent="0.25">
      <c r="A51" s="23" t="s">
        <v>894</v>
      </c>
      <c r="B51" s="27" t="s">
        <v>162</v>
      </c>
      <c r="C51" s="595">
        <f>+C6+C11+C20+C21+C30+C43+C46+C50</f>
        <v>345871</v>
      </c>
      <c r="D51" s="595">
        <f>+D6+D11+D20+D21+D30+D43+D46+D50</f>
        <v>407767</v>
      </c>
      <c r="E51" s="595">
        <f>+E6+E11+E20+E21+E30+E43+E46+E50</f>
        <v>396586.15500000003</v>
      </c>
      <c r="F51" s="1179">
        <f>E51/D51</f>
        <v>0.97258030934332607</v>
      </c>
    </row>
    <row r="52" spans="1:6" s="1" customFormat="1" ht="12" customHeight="1" thickBot="1" x14ac:dyDescent="0.25">
      <c r="A52" s="316" t="s">
        <v>895</v>
      </c>
      <c r="B52" s="311" t="s">
        <v>252</v>
      </c>
      <c r="C52" s="597"/>
      <c r="D52" s="597">
        <f>D53+D59</f>
        <v>188790</v>
      </c>
      <c r="E52" s="597">
        <f>E53+E59</f>
        <v>188790</v>
      </c>
      <c r="F52" s="1180">
        <f>E52/D52</f>
        <v>1</v>
      </c>
    </row>
    <row r="53" spans="1:6" s="1" customFormat="1" ht="12" customHeight="1" x14ac:dyDescent="0.2">
      <c r="A53" s="409" t="s">
        <v>92</v>
      </c>
      <c r="B53" s="406" t="s">
        <v>337</v>
      </c>
      <c r="C53" s="591"/>
      <c r="D53" s="591">
        <f>D54+D58</f>
        <v>188790</v>
      </c>
      <c r="E53" s="591">
        <f>E54+E58</f>
        <v>188790</v>
      </c>
      <c r="F53" s="1178">
        <f>E53/D53</f>
        <v>1</v>
      </c>
    </row>
    <row r="54" spans="1:6" s="1" customFormat="1" ht="12" customHeight="1" x14ac:dyDescent="0.2">
      <c r="A54" s="317" t="s">
        <v>268</v>
      </c>
      <c r="B54" s="312" t="s">
        <v>254</v>
      </c>
      <c r="C54" s="587"/>
      <c r="D54" s="587">
        <f>'1.2.sz.mell. _köt'!D54</f>
        <v>170365</v>
      </c>
      <c r="E54" s="587">
        <f>'1.2.sz.mell. _köt'!E54</f>
        <v>170365</v>
      </c>
      <c r="F54" s="1176">
        <f>E54/D54</f>
        <v>1</v>
      </c>
    </row>
    <row r="55" spans="1:6" s="1" customFormat="1" ht="12" customHeight="1" x14ac:dyDescent="0.2">
      <c r="A55" s="317" t="s">
        <v>269</v>
      </c>
      <c r="B55" s="312" t="s">
        <v>255</v>
      </c>
      <c r="C55" s="587"/>
      <c r="D55" s="587"/>
      <c r="E55" s="587"/>
      <c r="F55" s="1176"/>
    </row>
    <row r="56" spans="1:6" s="1" customFormat="1" ht="12" customHeight="1" x14ac:dyDescent="0.2">
      <c r="A56" s="317" t="s">
        <v>270</v>
      </c>
      <c r="B56" s="312" t="s">
        <v>256</v>
      </c>
      <c r="C56" s="587"/>
      <c r="D56" s="587"/>
      <c r="E56" s="587"/>
      <c r="F56" s="1176"/>
    </row>
    <row r="57" spans="1:6" s="1" customFormat="1" ht="12" customHeight="1" x14ac:dyDescent="0.2">
      <c r="A57" s="317" t="s">
        <v>271</v>
      </c>
      <c r="B57" s="312" t="s">
        <v>257</v>
      </c>
      <c r="C57" s="587"/>
      <c r="D57" s="587"/>
      <c r="E57" s="587"/>
      <c r="F57" s="1176"/>
    </row>
    <row r="58" spans="1:6" s="1" customFormat="1" ht="12" customHeight="1" x14ac:dyDescent="0.2">
      <c r="A58" s="317" t="s">
        <v>272</v>
      </c>
      <c r="B58" s="312" t="s">
        <v>258</v>
      </c>
      <c r="C58" s="587"/>
      <c r="D58" s="587">
        <f>'8. sz. mell'!E57</f>
        <v>18425</v>
      </c>
      <c r="E58" s="587">
        <f>'1.2.sz.mell. _köt'!E58</f>
        <v>18425</v>
      </c>
      <c r="F58" s="1176">
        <f t="shared" ref="F58" si="2">E58/D58</f>
        <v>1</v>
      </c>
    </row>
    <row r="59" spans="1:6" s="1" customFormat="1" ht="12" customHeight="1" x14ac:dyDescent="0.2">
      <c r="A59" s="318" t="s">
        <v>93</v>
      </c>
      <c r="B59" s="313" t="s">
        <v>336</v>
      </c>
      <c r="C59" s="593"/>
      <c r="D59" s="593"/>
      <c r="E59" s="593"/>
      <c r="F59" s="1181"/>
    </row>
    <row r="60" spans="1:6" s="1" customFormat="1" ht="12" customHeight="1" x14ac:dyDescent="0.2">
      <c r="A60" s="317" t="s">
        <v>273</v>
      </c>
      <c r="B60" s="312" t="s">
        <v>260</v>
      </c>
      <c r="C60" s="587"/>
      <c r="D60" s="587"/>
      <c r="E60" s="587"/>
      <c r="F60" s="1176"/>
    </row>
    <row r="61" spans="1:6" s="1" customFormat="1" ht="12" customHeight="1" x14ac:dyDescent="0.2">
      <c r="A61" s="317" t="s">
        <v>274</v>
      </c>
      <c r="B61" s="312" t="s">
        <v>261</v>
      </c>
      <c r="C61" s="587"/>
      <c r="D61" s="587"/>
      <c r="E61" s="587"/>
      <c r="F61" s="1176"/>
    </row>
    <row r="62" spans="1:6" s="1" customFormat="1" ht="12" customHeight="1" x14ac:dyDescent="0.2">
      <c r="A62" s="317" t="s">
        <v>275</v>
      </c>
      <c r="B62" s="312" t="s">
        <v>262</v>
      </c>
      <c r="C62" s="587"/>
      <c r="D62" s="587"/>
      <c r="E62" s="587"/>
      <c r="F62" s="1176"/>
    </row>
    <row r="63" spans="1:6" s="1" customFormat="1" ht="12" customHeight="1" x14ac:dyDescent="0.2">
      <c r="A63" s="317" t="s">
        <v>276</v>
      </c>
      <c r="B63" s="312" t="s">
        <v>263</v>
      </c>
      <c r="C63" s="587"/>
      <c r="D63" s="587"/>
      <c r="E63" s="587"/>
      <c r="F63" s="1176"/>
    </row>
    <row r="64" spans="1:6" s="1" customFormat="1" ht="12" customHeight="1" thickBot="1" x14ac:dyDescent="0.25">
      <c r="A64" s="319" t="s">
        <v>277</v>
      </c>
      <c r="B64" s="320" t="s">
        <v>264</v>
      </c>
      <c r="C64" s="587"/>
      <c r="D64" s="587"/>
      <c r="E64" s="587"/>
      <c r="F64" s="1176"/>
    </row>
    <row r="65" spans="1:6" s="1" customFormat="1" ht="12" customHeight="1" thickBot="1" x14ac:dyDescent="0.25">
      <c r="A65" s="321" t="s">
        <v>896</v>
      </c>
      <c r="B65" s="410" t="s">
        <v>334</v>
      </c>
      <c r="C65" s="597">
        <f>+C51+C52</f>
        <v>345871</v>
      </c>
      <c r="D65" s="597">
        <f>+D51+D52</f>
        <v>596557</v>
      </c>
      <c r="E65" s="597">
        <f>+E51+E52</f>
        <v>585376.15500000003</v>
      </c>
      <c r="F65" s="1180">
        <f>E65/D65</f>
        <v>0.98125770881910701</v>
      </c>
    </row>
    <row r="66" spans="1:6" s="1" customFormat="1" ht="13.5" customHeight="1" thickBot="1" x14ac:dyDescent="0.25">
      <c r="A66" s="322" t="s">
        <v>897</v>
      </c>
      <c r="B66" s="411" t="s">
        <v>266</v>
      </c>
      <c r="C66" s="587"/>
      <c r="D66" s="587"/>
      <c r="E66" s="587"/>
      <c r="F66" s="1176"/>
    </row>
    <row r="67" spans="1:6" s="1" customFormat="1" ht="12" customHeight="1" thickBot="1" x14ac:dyDescent="0.25">
      <c r="A67" s="321" t="s">
        <v>898</v>
      </c>
      <c r="B67" s="410" t="s">
        <v>335</v>
      </c>
      <c r="C67" s="597">
        <f>+C65+C66</f>
        <v>345871</v>
      </c>
      <c r="D67" s="597">
        <f>+D65+D66</f>
        <v>596557</v>
      </c>
      <c r="E67" s="597">
        <f>+E65+E66</f>
        <v>585376.15500000003</v>
      </c>
      <c r="F67" s="1180">
        <f>E67/D67</f>
        <v>0.98125770881910701</v>
      </c>
    </row>
    <row r="68" spans="1:6" s="1" customFormat="1" ht="83.25" customHeight="1" x14ac:dyDescent="0.2">
      <c r="A68" s="6"/>
      <c r="B68" s="7"/>
      <c r="C68" s="600"/>
    </row>
    <row r="69" spans="1:6" ht="16.5" customHeight="1" x14ac:dyDescent="0.25">
      <c r="A69" s="1276" t="s">
        <v>914</v>
      </c>
      <c r="B69" s="1276"/>
      <c r="C69" s="1276"/>
      <c r="D69" s="1276"/>
      <c r="E69" s="1276"/>
      <c r="F69" s="1276"/>
    </row>
    <row r="70" spans="1:6" s="334" customFormat="1" ht="16.5" customHeight="1" thickBot="1" x14ac:dyDescent="0.3">
      <c r="A70" s="1275" t="s">
        <v>100</v>
      </c>
      <c r="B70" s="1275"/>
      <c r="F70" s="141" t="s">
        <v>299</v>
      </c>
    </row>
    <row r="71" spans="1:6" ht="38.1" customHeight="1" thickBot="1" x14ac:dyDescent="0.3">
      <c r="A71" s="28" t="s">
        <v>883</v>
      </c>
      <c r="B71" s="29" t="s">
        <v>915</v>
      </c>
      <c r="C71" s="580" t="s">
        <v>1185</v>
      </c>
      <c r="D71" s="1164" t="s">
        <v>1165</v>
      </c>
      <c r="E71" s="1154" t="s">
        <v>1208</v>
      </c>
      <c r="F71" s="1073" t="s">
        <v>1209</v>
      </c>
    </row>
    <row r="72" spans="1:6" s="44" customFormat="1" ht="12" customHeight="1" thickBot="1" x14ac:dyDescent="0.25">
      <c r="A72" s="38">
        <v>1</v>
      </c>
      <c r="B72" s="39">
        <v>2</v>
      </c>
      <c r="C72" s="1172">
        <v>3</v>
      </c>
      <c r="D72" s="1173">
        <v>4</v>
      </c>
      <c r="E72" s="39">
        <v>5</v>
      </c>
      <c r="F72" s="1170">
        <v>6</v>
      </c>
    </row>
    <row r="73" spans="1:6" ht="12" customHeight="1" thickBot="1" x14ac:dyDescent="0.3">
      <c r="A73" s="25" t="s">
        <v>885</v>
      </c>
      <c r="B73" s="36" t="s">
        <v>163</v>
      </c>
      <c r="C73" s="1030">
        <f>+C74+C75+C76+C77+C78</f>
        <v>287031</v>
      </c>
      <c r="D73" s="1030">
        <f>+D74+D75+D76+D77+D78</f>
        <v>359263</v>
      </c>
      <c r="E73" s="1030">
        <f>+E74+E75+E76+E77+E78</f>
        <v>322456</v>
      </c>
      <c r="F73" s="1182">
        <f>E73/D73</f>
        <v>0.89754859253527364</v>
      </c>
    </row>
    <row r="74" spans="1:6" ht="12" customHeight="1" x14ac:dyDescent="0.25">
      <c r="A74" s="20" t="s">
        <v>57</v>
      </c>
      <c r="B74" s="12" t="s">
        <v>916</v>
      </c>
      <c r="C74" s="1031">
        <f>'1.2.sz.mell. _köt'!C74+'1.3.sz.mell._önk'!C74+'1.4.sz.mell._állig'!E74</f>
        <v>136029</v>
      </c>
      <c r="D74" s="1031">
        <f>'1.2.sz.mell. _köt'!D74+'1.3.sz.mell._önk'!D74+'1.4.sz.mell._állig'!F74</f>
        <v>146281</v>
      </c>
      <c r="E74" s="1031">
        <f>'1.2.sz.mell. _köt'!E74</f>
        <v>140015</v>
      </c>
      <c r="F74" s="1183">
        <f>E74/D74</f>
        <v>0.95716463518843864</v>
      </c>
    </row>
    <row r="75" spans="1:6" ht="12" customHeight="1" x14ac:dyDescent="0.25">
      <c r="A75" s="16" t="s">
        <v>58</v>
      </c>
      <c r="B75" s="9" t="s">
        <v>164</v>
      </c>
      <c r="C75" s="1032">
        <f>'1.2.sz.mell. _köt'!C75+'1.3.sz.mell._önk'!C75+'1.4.sz.mell._állig'!E75</f>
        <v>32103</v>
      </c>
      <c r="D75" s="1032">
        <f>'1.2.sz.mell. _köt'!D75+'1.3.sz.mell._önk'!D75+'1.4.sz.mell._állig'!F75</f>
        <v>34805</v>
      </c>
      <c r="E75" s="1032">
        <f>'1.2.sz.mell. _köt'!E75</f>
        <v>30853</v>
      </c>
      <c r="F75" s="1184">
        <f>E75/D75</f>
        <v>0.88645309581956611</v>
      </c>
    </row>
    <row r="76" spans="1:6" ht="12" customHeight="1" x14ac:dyDescent="0.25">
      <c r="A76" s="16" t="s">
        <v>59</v>
      </c>
      <c r="B76" s="9" t="s">
        <v>88</v>
      </c>
      <c r="C76" s="1026">
        <f>'1.2.sz.mell. _köt'!C76+'1.3.sz.mell._önk'!C76+'1.4.sz.mell._állig'!E76</f>
        <v>96220</v>
      </c>
      <c r="D76" s="1026">
        <f>'1.2.sz.mell. _köt'!D76+'1.3.sz.mell._önk'!D76+'1.4.sz.mell._állig'!F76</f>
        <v>124838</v>
      </c>
      <c r="E76" s="1026">
        <f>'1.2.sz.mell. _köt'!E76+'1.3.sz.mell._önk'!E76</f>
        <v>120456</v>
      </c>
      <c r="F76" s="1184">
        <f t="shared" ref="F76:F85" si="3">E76/D76</f>
        <v>0.96489850846697323</v>
      </c>
    </row>
    <row r="77" spans="1:6" ht="12" customHeight="1" x14ac:dyDescent="0.25">
      <c r="A77" s="16" t="s">
        <v>60</v>
      </c>
      <c r="B77" s="13" t="s">
        <v>165</v>
      </c>
      <c r="C77" s="1026">
        <f>'1.2.sz.mell. _köt'!C77+'1.3.sz.mell._önk'!C77+'1.4.sz.mell._állig'!E77</f>
        <v>19559</v>
      </c>
      <c r="D77" s="1026">
        <f>'1.2.sz.mell. _köt'!D77+'1.3.sz.mell._önk'!D77+'1.4.sz.mell._állig'!F77</f>
        <v>19559</v>
      </c>
      <c r="E77" s="1026">
        <f>'1.2.sz.mell. _köt'!E77</f>
        <v>16062</v>
      </c>
      <c r="F77" s="1184">
        <f t="shared" si="3"/>
        <v>0.82120762820185078</v>
      </c>
    </row>
    <row r="78" spans="1:6" ht="12" customHeight="1" x14ac:dyDescent="0.25">
      <c r="A78" s="16" t="s">
        <v>71</v>
      </c>
      <c r="B78" s="22" t="s">
        <v>166</v>
      </c>
      <c r="C78" s="1026">
        <f>'1.2.sz.mell. _köt'!C78+'1.3.sz.mell._önk'!C78+'1.4.sz.mell._állig'!E78</f>
        <v>3120</v>
      </c>
      <c r="D78" s="1026">
        <f>'1.2.sz.mell. _köt'!D78+'1.3.sz.mell._önk'!D78+'1.4.sz.mell._állig'!F78</f>
        <v>33780</v>
      </c>
      <c r="E78" s="1026">
        <f>'1.2.sz.mell. _köt'!E78+'1.3.sz.mell._önk'!E78+'1.4.sz.mell._állig'!G78</f>
        <v>15070</v>
      </c>
      <c r="F78" s="1184">
        <f t="shared" si="3"/>
        <v>0.44612196566015394</v>
      </c>
    </row>
    <row r="79" spans="1:6" ht="12" customHeight="1" x14ac:dyDescent="0.25">
      <c r="A79" s="16" t="s">
        <v>61</v>
      </c>
      <c r="B79" s="9" t="s">
        <v>188</v>
      </c>
      <c r="C79" s="1026">
        <f>'1.2.sz.mell. _köt'!C79+'1.3.sz.mell._önk'!C79+'1.4.sz.mell._állig'!E79</f>
        <v>0</v>
      </c>
      <c r="D79" s="1026">
        <f>'1.2.sz.mell. _köt'!D79+'1.3.sz.mell._önk'!D79+'1.4.sz.mell._állig'!F79</f>
        <v>0</v>
      </c>
      <c r="E79" s="1026"/>
      <c r="F79" s="1184"/>
    </row>
    <row r="80" spans="1:6" ht="12" customHeight="1" x14ac:dyDescent="0.25">
      <c r="A80" s="16" t="s">
        <v>62</v>
      </c>
      <c r="B80" s="144" t="s">
        <v>189</v>
      </c>
      <c r="C80" s="1026">
        <f>'1.2.sz.mell. _köt'!C80+'1.3.sz.mell._önk'!C80+'1.4.sz.mell._állig'!E80</f>
        <v>0</v>
      </c>
      <c r="D80" s="1026">
        <f>'1.2.sz.mell. _köt'!D80+'1.3.sz.mell._önk'!D80+'1.4.sz.mell._állig'!F80</f>
        <v>0</v>
      </c>
      <c r="E80" s="1026"/>
      <c r="F80" s="1184"/>
    </row>
    <row r="81" spans="1:6" ht="12" customHeight="1" x14ac:dyDescent="0.25">
      <c r="A81" s="16" t="s">
        <v>72</v>
      </c>
      <c r="B81" s="144" t="s">
        <v>278</v>
      </c>
      <c r="C81" s="1026">
        <f>'1.2.sz.mell. _köt'!C81+'1.3.sz.mell._önk'!C81+'1.4.sz.mell._állig'!E81</f>
        <v>0</v>
      </c>
      <c r="D81" s="1026">
        <f>'1.2.sz.mell. _köt'!D81+'1.3.sz.mell._önk'!D81+'1.4.sz.mell._állig'!F81</f>
        <v>0</v>
      </c>
      <c r="E81" s="1026"/>
      <c r="F81" s="1184"/>
    </row>
    <row r="82" spans="1:6" ht="12" customHeight="1" x14ac:dyDescent="0.25">
      <c r="A82" s="16" t="s">
        <v>73</v>
      </c>
      <c r="B82" s="145" t="s">
        <v>190</v>
      </c>
      <c r="C82" s="1026">
        <f>'1.2.sz.mell. _köt'!C82+'1.3.sz.mell._önk'!C81</f>
        <v>2120</v>
      </c>
      <c r="D82" s="1026">
        <f>'1.2.sz.mell. _köt'!D82+'1.3.sz.mell._önk'!D81</f>
        <v>14427</v>
      </c>
      <c r="E82" s="1026">
        <f>'1.2.sz.mell. _köt'!E82</f>
        <v>14420</v>
      </c>
      <c r="F82" s="1184">
        <f t="shared" si="3"/>
        <v>0.99951479864143622</v>
      </c>
    </row>
    <row r="83" spans="1:6" ht="12" customHeight="1" x14ac:dyDescent="0.25">
      <c r="A83" s="15" t="s">
        <v>74</v>
      </c>
      <c r="B83" s="146" t="s">
        <v>191</v>
      </c>
      <c r="C83" s="1026">
        <f>'1.3.sz.mell._önk'!C82</f>
        <v>1000</v>
      </c>
      <c r="D83" s="1026">
        <f>'1.3.sz.mell._önk'!D82</f>
        <v>850</v>
      </c>
      <c r="E83" s="1026">
        <f>'1.3.sz.mell._önk'!E82</f>
        <v>650</v>
      </c>
      <c r="F83" s="1184">
        <f t="shared" si="3"/>
        <v>0.76470588235294112</v>
      </c>
    </row>
    <row r="84" spans="1:6" ht="12" customHeight="1" x14ac:dyDescent="0.25">
      <c r="A84" s="16" t="s">
        <v>75</v>
      </c>
      <c r="B84" s="146" t="s">
        <v>192</v>
      </c>
      <c r="C84" s="1026">
        <f>'1.2.sz.mell. _köt'!C84+'1.3.sz.mell._önk'!C84+'1.4.sz.mell._állig'!E84</f>
        <v>0</v>
      </c>
      <c r="D84" s="1026">
        <f>'1.2.sz.mell. _köt'!D84+'1.3.sz.mell._önk'!D84+'1.4.sz.mell._állig'!F84</f>
        <v>0</v>
      </c>
      <c r="E84" s="1026"/>
      <c r="F84" s="1032"/>
    </row>
    <row r="85" spans="1:6" ht="12" customHeight="1" thickBot="1" x14ac:dyDescent="0.3">
      <c r="A85" s="21" t="s">
        <v>77</v>
      </c>
      <c r="B85" s="147" t="s">
        <v>193</v>
      </c>
      <c r="C85" s="1033">
        <f>'1.2.sz.mell. _köt'!C85+'1.3.sz.mell._önk'!C85+'1.4.sz.mell._állig'!E85</f>
        <v>0</v>
      </c>
      <c r="D85" s="1033">
        <f>'1.2.sz.mell. _köt'!D85+'1.3.sz.mell._önk'!D85+'1.4.sz.mell._állig'!F85</f>
        <v>18503</v>
      </c>
      <c r="E85" s="1033"/>
      <c r="F85" s="1032">
        <f t="shared" si="3"/>
        <v>0</v>
      </c>
    </row>
    <row r="86" spans="1:6" ht="12" customHeight="1" thickBot="1" x14ac:dyDescent="0.3">
      <c r="A86" s="23" t="s">
        <v>886</v>
      </c>
      <c r="B86" s="35" t="s">
        <v>309</v>
      </c>
      <c r="C86" s="1034">
        <f>+C87+C88+C89</f>
        <v>34550</v>
      </c>
      <c r="D86" s="1034">
        <f>+D87+D88+D89</f>
        <v>98306</v>
      </c>
      <c r="E86" s="1034">
        <f>+E87+E88+E89</f>
        <v>38958</v>
      </c>
      <c r="F86" s="1185">
        <f>E86/D86</f>
        <v>0.39629320692531483</v>
      </c>
    </row>
    <row r="87" spans="1:6" ht="12" customHeight="1" x14ac:dyDescent="0.25">
      <c r="A87" s="18" t="s">
        <v>63</v>
      </c>
      <c r="B87" s="9" t="s">
        <v>279</v>
      </c>
      <c r="C87" s="1035">
        <f>'1.2.sz.mell. _köt'!C87+'1.3.sz.mell._önk'!C87+'1.4.sz.mell._állig'!E87</f>
        <v>32500</v>
      </c>
      <c r="D87" s="1035">
        <f>'1.2.sz.mell. _köt'!D87+'1.3.sz.mell._önk'!D87+'1.4.sz.mell._állig'!F87</f>
        <v>84816</v>
      </c>
      <c r="E87" s="1035">
        <f>'1.2.sz.mell. _köt'!E87</f>
        <v>25142</v>
      </c>
      <c r="F87" s="1186">
        <f>E87/D87</f>
        <v>0.29642991888322956</v>
      </c>
    </row>
    <row r="88" spans="1:6" ht="12" customHeight="1" x14ac:dyDescent="0.25">
      <c r="A88" s="18" t="s">
        <v>64</v>
      </c>
      <c r="B88" s="14" t="s">
        <v>168</v>
      </c>
      <c r="C88" s="1032">
        <f>'1.2.sz.mell. _köt'!C88+'1.3.sz.mell._önk'!C88+'1.4.sz.mell._állig'!E88</f>
        <v>2050</v>
      </c>
      <c r="D88" s="1032">
        <f>'1.2.sz.mell. _köt'!D88+'1.3.sz.mell._önk'!D88+'1.4.sz.mell._állig'!F88</f>
        <v>13490</v>
      </c>
      <c r="E88" s="1032">
        <f>'1.2.sz.mell. _köt'!E88</f>
        <v>13816</v>
      </c>
      <c r="F88" s="1184">
        <f>E88/D88</f>
        <v>1.0241660489251296</v>
      </c>
    </row>
    <row r="89" spans="1:6" ht="12" customHeight="1" x14ac:dyDescent="0.25">
      <c r="A89" s="18" t="s">
        <v>65</v>
      </c>
      <c r="B89" s="312" t="s">
        <v>310</v>
      </c>
      <c r="C89" s="1032"/>
      <c r="D89" s="1032"/>
      <c r="E89" s="1032"/>
      <c r="F89" s="1032"/>
    </row>
    <row r="90" spans="1:6" ht="12" customHeight="1" x14ac:dyDescent="0.25">
      <c r="A90" s="18" t="s">
        <v>66</v>
      </c>
      <c r="B90" s="312" t="s">
        <v>380</v>
      </c>
      <c r="C90" s="1032"/>
      <c r="D90" s="1032"/>
      <c r="E90" s="1032"/>
      <c r="F90" s="1032"/>
    </row>
    <row r="91" spans="1:6" ht="12" customHeight="1" x14ac:dyDescent="0.25">
      <c r="A91" s="18" t="s">
        <v>67</v>
      </c>
      <c r="B91" s="312" t="s">
        <v>311</v>
      </c>
      <c r="C91" s="1032"/>
      <c r="D91" s="1032"/>
      <c r="E91" s="1032"/>
      <c r="F91" s="1032"/>
    </row>
    <row r="92" spans="1:6" x14ac:dyDescent="0.25">
      <c r="A92" s="18" t="s">
        <v>76</v>
      </c>
      <c r="B92" s="312" t="s">
        <v>312</v>
      </c>
      <c r="C92" s="1032"/>
      <c r="D92" s="1032"/>
      <c r="E92" s="1032"/>
      <c r="F92" s="1032"/>
    </row>
    <row r="93" spans="1:6" ht="12" customHeight="1" x14ac:dyDescent="0.25">
      <c r="A93" s="18" t="s">
        <v>78</v>
      </c>
      <c r="B93" s="412" t="s">
        <v>283</v>
      </c>
      <c r="C93" s="1032"/>
      <c r="D93" s="1032"/>
      <c r="E93" s="1032"/>
      <c r="F93" s="1032"/>
    </row>
    <row r="94" spans="1:6" ht="12" customHeight="1" x14ac:dyDescent="0.25">
      <c r="A94" s="18" t="s">
        <v>169</v>
      </c>
      <c r="B94" s="412" t="s">
        <v>284</v>
      </c>
      <c r="C94" s="1032"/>
      <c r="D94" s="1032"/>
      <c r="E94" s="1032"/>
      <c r="F94" s="1032"/>
    </row>
    <row r="95" spans="1:6" ht="12" customHeight="1" x14ac:dyDescent="0.25">
      <c r="A95" s="18" t="s">
        <v>170</v>
      </c>
      <c r="B95" s="412" t="s">
        <v>282</v>
      </c>
      <c r="C95" s="1032"/>
      <c r="D95" s="1032"/>
      <c r="E95" s="1032"/>
      <c r="F95" s="1032"/>
    </row>
    <row r="96" spans="1:6" ht="24" customHeight="1" thickBot="1" x14ac:dyDescent="0.3">
      <c r="A96" s="15" t="s">
        <v>171</v>
      </c>
      <c r="B96" s="413" t="s">
        <v>281</v>
      </c>
      <c r="C96" s="1026"/>
      <c r="D96" s="1026"/>
      <c r="E96" s="1026"/>
      <c r="F96" s="1026"/>
    </row>
    <row r="97" spans="1:6" ht="12" customHeight="1" thickBot="1" x14ac:dyDescent="0.3">
      <c r="A97" s="23" t="s">
        <v>887</v>
      </c>
      <c r="B97" s="126" t="s">
        <v>313</v>
      </c>
      <c r="C97" s="1034">
        <f>+C98+C99</f>
        <v>25616</v>
      </c>
      <c r="D97" s="1034">
        <f>+D98+D99</f>
        <v>121167</v>
      </c>
      <c r="E97" s="1034"/>
      <c r="F97" s="1034"/>
    </row>
    <row r="98" spans="1:6" ht="12" customHeight="1" x14ac:dyDescent="0.25">
      <c r="A98" s="18" t="s">
        <v>37</v>
      </c>
      <c r="B98" s="11" t="s">
        <v>3</v>
      </c>
      <c r="C98" s="1035">
        <f>'1.2.sz.mell. _köt'!C98</f>
        <v>17116</v>
      </c>
      <c r="D98" s="1035">
        <f>'1.2.sz.mell. _köt'!D98</f>
        <v>52087</v>
      </c>
      <c r="E98" s="1035"/>
      <c r="F98" s="1035"/>
    </row>
    <row r="99" spans="1:6" ht="12" customHeight="1" thickBot="1" x14ac:dyDescent="0.3">
      <c r="A99" s="19" t="s">
        <v>38</v>
      </c>
      <c r="B99" s="14" t="s">
        <v>4</v>
      </c>
      <c r="C99" s="1026">
        <f>'1.2.sz.mell. _köt'!C99</f>
        <v>8500</v>
      </c>
      <c r="D99" s="1026">
        <f>'1.2.sz.mell. _köt'!D99</f>
        <v>69080</v>
      </c>
      <c r="E99" s="1026"/>
      <c r="F99" s="1026"/>
    </row>
    <row r="100" spans="1:6" s="310" customFormat="1" ht="12" customHeight="1" thickBot="1" x14ac:dyDescent="0.25">
      <c r="A100" s="316" t="s">
        <v>888</v>
      </c>
      <c r="B100" s="311" t="s">
        <v>285</v>
      </c>
      <c r="C100" s="1036"/>
      <c r="D100" s="1036"/>
      <c r="E100" s="1036"/>
      <c r="F100" s="1036"/>
    </row>
    <row r="101" spans="1:6" ht="12" customHeight="1" thickBot="1" x14ac:dyDescent="0.3">
      <c r="A101" s="308" t="s">
        <v>889</v>
      </c>
      <c r="B101" s="309" t="s">
        <v>105</v>
      </c>
      <c r="C101" s="1030">
        <f>+C73+C86+C97+C100</f>
        <v>347197</v>
      </c>
      <c r="D101" s="1030">
        <f>+D73+D86+D97+D100</f>
        <v>578736</v>
      </c>
      <c r="E101" s="1030">
        <f>+E73+E86+E97+E100</f>
        <v>361414</v>
      </c>
      <c r="F101" s="1182">
        <f>E101/D101</f>
        <v>0.62448854054352931</v>
      </c>
    </row>
    <row r="102" spans="1:6" ht="12" customHeight="1" thickBot="1" x14ac:dyDescent="0.3">
      <c r="A102" s="316" t="s">
        <v>890</v>
      </c>
      <c r="B102" s="311" t="s">
        <v>381</v>
      </c>
      <c r="C102" s="1034"/>
      <c r="D102" s="1034">
        <f>D103</f>
        <v>17821</v>
      </c>
      <c r="E102" s="1034">
        <f>E103</f>
        <v>17822</v>
      </c>
      <c r="F102" s="1185">
        <f>E102/D102</f>
        <v>1.0000561135738735</v>
      </c>
    </row>
    <row r="103" spans="1:6" ht="12" customHeight="1" thickBot="1" x14ac:dyDescent="0.3">
      <c r="A103" s="331" t="s">
        <v>44</v>
      </c>
      <c r="B103" s="414" t="s">
        <v>382</v>
      </c>
      <c r="C103" s="1037"/>
      <c r="D103" s="1043">
        <f>SUM(D104:D110)</f>
        <v>17821</v>
      </c>
      <c r="E103" s="1043">
        <f>SUM(E104:E110)</f>
        <v>17822</v>
      </c>
      <c r="F103" s="1187">
        <v>1</v>
      </c>
    </row>
    <row r="104" spans="1:6" ht="12" customHeight="1" x14ac:dyDescent="0.25">
      <c r="A104" s="324" t="s">
        <v>47</v>
      </c>
      <c r="B104" s="325" t="s">
        <v>286</v>
      </c>
      <c r="C104" s="1038"/>
      <c r="D104" s="1038"/>
      <c r="E104" s="1038"/>
      <c r="F104" s="1188"/>
    </row>
    <row r="105" spans="1:6" ht="12" customHeight="1" x14ac:dyDescent="0.25">
      <c r="A105" s="317" t="s">
        <v>48</v>
      </c>
      <c r="B105" s="312" t="s">
        <v>287</v>
      </c>
      <c r="C105" s="1039"/>
      <c r="D105" s="1039"/>
      <c r="E105" s="1039"/>
      <c r="F105" s="1189"/>
    </row>
    <row r="106" spans="1:6" ht="12" customHeight="1" x14ac:dyDescent="0.25">
      <c r="A106" s="317" t="s">
        <v>49</v>
      </c>
      <c r="B106" s="312" t="s">
        <v>288</v>
      </c>
      <c r="C106" s="1039"/>
      <c r="D106" s="1039"/>
      <c r="E106" s="1039"/>
      <c r="F106" s="1189"/>
    </row>
    <row r="107" spans="1:6" ht="12" customHeight="1" x14ac:dyDescent="0.25">
      <c r="A107" s="317" t="s">
        <v>50</v>
      </c>
      <c r="B107" s="312" t="s">
        <v>289</v>
      </c>
      <c r="C107" s="1039"/>
      <c r="D107" s="1039"/>
      <c r="E107" s="1039"/>
      <c r="F107" s="1189"/>
    </row>
    <row r="108" spans="1:6" ht="12" customHeight="1" x14ac:dyDescent="0.25">
      <c r="A108" s="317" t="s">
        <v>154</v>
      </c>
      <c r="B108" s="312" t="s">
        <v>290</v>
      </c>
      <c r="C108" s="1039"/>
      <c r="D108" s="1039"/>
      <c r="E108" s="1039"/>
      <c r="F108" s="1189"/>
    </row>
    <row r="109" spans="1:6" ht="12" customHeight="1" x14ac:dyDescent="0.25">
      <c r="A109" s="317" t="s">
        <v>172</v>
      </c>
      <c r="B109" s="312" t="s">
        <v>291</v>
      </c>
      <c r="C109" s="1039"/>
      <c r="D109" s="1039"/>
      <c r="E109" s="1039"/>
      <c r="F109" s="1189"/>
    </row>
    <row r="110" spans="1:6" ht="12" customHeight="1" thickBot="1" x14ac:dyDescent="0.3">
      <c r="A110" s="326" t="s">
        <v>173</v>
      </c>
      <c r="B110" s="327" t="s">
        <v>1187</v>
      </c>
      <c r="C110" s="1040"/>
      <c r="D110" s="1053">
        <f>'1.2.sz.mell. _köt'!D110</f>
        <v>17821</v>
      </c>
      <c r="E110" s="1053">
        <f>'1.2.sz.mell. _köt'!E110</f>
        <v>17822</v>
      </c>
      <c r="F110" s="1190">
        <v>1</v>
      </c>
    </row>
    <row r="111" spans="1:6" ht="12" customHeight="1" thickBot="1" x14ac:dyDescent="0.3">
      <c r="A111" s="331" t="s">
        <v>45</v>
      </c>
      <c r="B111" s="414" t="s">
        <v>383</v>
      </c>
      <c r="C111" s="1037"/>
      <c r="D111" s="1037"/>
      <c r="E111" s="1037"/>
      <c r="F111" s="1191"/>
    </row>
    <row r="112" spans="1:6" ht="12" customHeight="1" x14ac:dyDescent="0.25">
      <c r="A112" s="324" t="s">
        <v>53</v>
      </c>
      <c r="B112" s="325" t="s">
        <v>286</v>
      </c>
      <c r="C112" s="1038"/>
      <c r="D112" s="1038"/>
      <c r="E112" s="1038"/>
      <c r="F112" s="1038"/>
    </row>
    <row r="113" spans="1:6" ht="12" customHeight="1" x14ac:dyDescent="0.25">
      <c r="A113" s="317" t="s">
        <v>54</v>
      </c>
      <c r="B113" s="312" t="s">
        <v>293</v>
      </c>
      <c r="C113" s="1039"/>
      <c r="D113" s="1039"/>
      <c r="E113" s="1039"/>
      <c r="F113" s="1039"/>
    </row>
    <row r="114" spans="1:6" ht="12" customHeight="1" x14ac:dyDescent="0.25">
      <c r="A114" s="317" t="s">
        <v>55</v>
      </c>
      <c r="B114" s="312" t="s">
        <v>288</v>
      </c>
      <c r="C114" s="1039"/>
      <c r="D114" s="1039"/>
      <c r="E114" s="1039"/>
      <c r="F114" s="1039"/>
    </row>
    <row r="115" spans="1:6" ht="12" customHeight="1" x14ac:dyDescent="0.25">
      <c r="A115" s="317" t="s">
        <v>56</v>
      </c>
      <c r="B115" s="312" t="s">
        <v>289</v>
      </c>
      <c r="C115" s="1039"/>
      <c r="D115" s="1039"/>
      <c r="E115" s="1039"/>
      <c r="F115" s="1039"/>
    </row>
    <row r="116" spans="1:6" ht="12" customHeight="1" x14ac:dyDescent="0.25">
      <c r="A116" s="317" t="s">
        <v>155</v>
      </c>
      <c r="B116" s="312" t="s">
        <v>290</v>
      </c>
      <c r="C116" s="1039"/>
      <c r="D116" s="1039"/>
      <c r="E116" s="1039"/>
      <c r="F116" s="1039"/>
    </row>
    <row r="117" spans="1:6" ht="12" customHeight="1" x14ac:dyDescent="0.25">
      <c r="A117" s="317" t="s">
        <v>174</v>
      </c>
      <c r="B117" s="312" t="s">
        <v>294</v>
      </c>
      <c r="C117" s="1039"/>
      <c r="D117" s="1039"/>
      <c r="E117" s="1039"/>
      <c r="F117" s="1039"/>
    </row>
    <row r="118" spans="1:6" ht="12" customHeight="1" x14ac:dyDescent="0.25">
      <c r="A118" s="317" t="s">
        <v>175</v>
      </c>
      <c r="B118" s="312" t="s">
        <v>292</v>
      </c>
      <c r="C118" s="1039"/>
      <c r="D118" s="1039"/>
      <c r="E118" s="1039"/>
      <c r="F118" s="1039"/>
    </row>
    <row r="119" spans="1:6" ht="12" customHeight="1" thickBot="1" x14ac:dyDescent="0.3">
      <c r="A119" s="326" t="s">
        <v>176</v>
      </c>
      <c r="B119" s="327" t="s">
        <v>384</v>
      </c>
      <c r="C119" s="1040"/>
      <c r="D119" s="1040"/>
      <c r="E119" s="1040"/>
      <c r="F119" s="1190"/>
    </row>
    <row r="120" spans="1:6" ht="12" customHeight="1" thickBot="1" x14ac:dyDescent="0.3">
      <c r="A120" s="316" t="s">
        <v>891</v>
      </c>
      <c r="B120" s="410" t="s">
        <v>295</v>
      </c>
      <c r="C120" s="1041">
        <f>+C101+C102</f>
        <v>347197</v>
      </c>
      <c r="D120" s="1041">
        <f>+D101+D102</f>
        <v>596557</v>
      </c>
      <c r="E120" s="1041">
        <f>+E101+E102</f>
        <v>379236</v>
      </c>
      <c r="F120" s="1192">
        <f>E120/D120</f>
        <v>0.63570790385495435</v>
      </c>
    </row>
    <row r="121" spans="1:6" ht="15" customHeight="1" thickBot="1" x14ac:dyDescent="0.3">
      <c r="A121" s="316" t="s">
        <v>892</v>
      </c>
      <c r="B121" s="410" t="s">
        <v>296</v>
      </c>
      <c r="C121" s="1042"/>
      <c r="D121" s="1042"/>
      <c r="E121" s="1042"/>
      <c r="F121" s="1193"/>
    </row>
    <row r="122" spans="1:6" s="1" customFormat="1" ht="12.95" customHeight="1" thickBot="1" x14ac:dyDescent="0.25">
      <c r="A122" s="328" t="s">
        <v>893</v>
      </c>
      <c r="B122" s="411" t="s">
        <v>297</v>
      </c>
      <c r="C122" s="1043">
        <f>+C120+C121</f>
        <v>347197</v>
      </c>
      <c r="D122" s="1043">
        <f>+D120+D121</f>
        <v>596557</v>
      </c>
      <c r="E122" s="1043">
        <f>+E120+E121</f>
        <v>379236</v>
      </c>
      <c r="F122" s="1187">
        <f>E122/D122</f>
        <v>0.63570790385495435</v>
      </c>
    </row>
    <row r="123" spans="1:6" ht="19.5" customHeight="1" x14ac:dyDescent="0.25">
      <c r="A123" s="415"/>
      <c r="B123" s="415"/>
      <c r="C123" s="623"/>
      <c r="D123" s="740"/>
    </row>
    <row r="124" spans="1:6" x14ac:dyDescent="0.25">
      <c r="A124" s="1277" t="s">
        <v>108</v>
      </c>
      <c r="B124" s="1277"/>
      <c r="C124" s="1277"/>
      <c r="D124" s="1277"/>
      <c r="E124" s="1277"/>
      <c r="F124" s="1277"/>
    </row>
    <row r="125" spans="1:6" ht="15" customHeight="1" thickBot="1" x14ac:dyDescent="0.3">
      <c r="A125" s="1274" t="s">
        <v>101</v>
      </c>
      <c r="B125" s="1274"/>
      <c r="C125" s="332"/>
    </row>
    <row r="126" spans="1:6" ht="13.5" customHeight="1" thickBot="1" x14ac:dyDescent="0.3">
      <c r="A126" s="23">
        <v>1</v>
      </c>
      <c r="B126" s="35" t="s">
        <v>183</v>
      </c>
      <c r="C126" s="624">
        <f>+C51-C101</f>
        <v>-1326</v>
      </c>
      <c r="D126" s="624">
        <f t="shared" ref="D126:E126" si="4">+D51-D101</f>
        <v>-170969</v>
      </c>
      <c r="E126" s="624">
        <f t="shared" si="4"/>
        <v>35172.155000000028</v>
      </c>
      <c r="F126" s="1025"/>
    </row>
    <row r="127" spans="1:6" ht="7.5" customHeight="1" x14ac:dyDescent="0.25">
      <c r="A127" s="415"/>
      <c r="B127" s="415"/>
      <c r="C127" s="623"/>
    </row>
    <row r="128" spans="1:6" x14ac:dyDescent="0.25">
      <c r="A128" s="1278" t="s">
        <v>298</v>
      </c>
      <c r="B128" s="1278"/>
      <c r="C128" s="1278"/>
      <c r="D128" s="1278"/>
      <c r="E128" s="1278"/>
      <c r="F128" s="1278"/>
    </row>
    <row r="129" spans="1:6" ht="12.75" customHeight="1" thickBot="1" x14ac:dyDescent="0.3">
      <c r="A129" s="1273" t="s">
        <v>102</v>
      </c>
      <c r="B129" s="1273"/>
      <c r="C129" s="333"/>
    </row>
    <row r="130" spans="1:6" ht="13.5" customHeight="1" thickBot="1" x14ac:dyDescent="0.3">
      <c r="A130" s="316" t="s">
        <v>885</v>
      </c>
      <c r="B130" s="329" t="s">
        <v>995</v>
      </c>
      <c r="C130" s="625"/>
      <c r="D130" s="1025"/>
      <c r="E130" s="1025"/>
      <c r="F130" s="1025"/>
    </row>
    <row r="131" spans="1:6" ht="13.5" customHeight="1" thickBot="1" x14ac:dyDescent="0.3">
      <c r="A131" s="316" t="s">
        <v>886</v>
      </c>
      <c r="B131" s="329" t="s">
        <v>996</v>
      </c>
      <c r="C131" s="625">
        <f>IF('2.2.sz.mell  '!C36&lt;&gt;"-",'2.2.sz.mell  '!C36,0)</f>
        <v>20932</v>
      </c>
      <c r="D131" s="625">
        <f>IF('2.2.sz.mell  '!D36&lt;&gt;"-",'2.2.sz.mell  '!D36,0)</f>
        <v>50411</v>
      </c>
      <c r="E131" s="625">
        <f>IF('2.2.sz.mell  '!E36&lt;&gt;"-",'2.2.sz.mell  '!E36,0)</f>
        <v>-64177</v>
      </c>
      <c r="F131" s="625"/>
    </row>
    <row r="132" spans="1:6" ht="13.5" customHeight="1" thickBot="1" x14ac:dyDescent="0.3">
      <c r="A132" s="316" t="s">
        <v>887</v>
      </c>
      <c r="B132" s="329" t="s">
        <v>997</v>
      </c>
      <c r="C132" s="625"/>
      <c r="D132" s="1025"/>
      <c r="E132" s="1025"/>
      <c r="F132" s="1025"/>
    </row>
    <row r="133" spans="1:6" ht="7.5" customHeight="1" x14ac:dyDescent="0.25">
      <c r="A133" s="416"/>
      <c r="B133" s="417"/>
      <c r="C133" s="578"/>
    </row>
    <row r="134" spans="1:6" x14ac:dyDescent="0.25">
      <c r="A134" s="1278" t="s">
        <v>300</v>
      </c>
      <c r="B134" s="1278"/>
      <c r="C134" s="1278"/>
      <c r="D134" s="1278"/>
      <c r="E134" s="1278"/>
      <c r="F134" s="1278"/>
    </row>
    <row r="135" spans="1:6" ht="12.75" customHeight="1" thickBot="1" x14ac:dyDescent="0.3">
      <c r="A135" s="1273" t="s">
        <v>301</v>
      </c>
      <c r="B135" s="1273"/>
      <c r="C135" s="333"/>
    </row>
    <row r="136" spans="1:6" ht="12.75" customHeight="1" thickBot="1" x14ac:dyDescent="0.3">
      <c r="A136" s="316" t="s">
        <v>885</v>
      </c>
      <c r="B136" s="329" t="s">
        <v>385</v>
      </c>
      <c r="C136" s="738">
        <f t="shared" ref="C136" si="5">+C137-C140</f>
        <v>0</v>
      </c>
      <c r="D136" s="1025"/>
      <c r="E136" s="1025"/>
      <c r="F136" s="1025"/>
    </row>
    <row r="137" spans="1:6" ht="12.75" customHeight="1" thickBot="1" x14ac:dyDescent="0.3">
      <c r="A137" s="330" t="s">
        <v>57</v>
      </c>
      <c r="B137" s="418" t="s">
        <v>302</v>
      </c>
      <c r="C137" s="739">
        <f t="shared" ref="C137" si="6">+C52</f>
        <v>0</v>
      </c>
      <c r="D137" s="1025"/>
      <c r="E137" s="1025"/>
      <c r="F137" s="1025"/>
    </row>
    <row r="138" spans="1:6" s="489" customFormat="1" ht="12.75" customHeight="1" thickBot="1" x14ac:dyDescent="0.25">
      <c r="A138" s="488" t="s">
        <v>184</v>
      </c>
      <c r="B138" s="419" t="s">
        <v>303</v>
      </c>
      <c r="C138" s="627"/>
      <c r="D138" s="1044"/>
      <c r="E138" s="1044"/>
      <c r="F138" s="1044"/>
    </row>
    <row r="139" spans="1:6" s="489" customFormat="1" ht="12.75" customHeight="1" thickBot="1" x14ac:dyDescent="0.25">
      <c r="A139" s="488" t="s">
        <v>185</v>
      </c>
      <c r="B139" s="419" t="s">
        <v>304</v>
      </c>
      <c r="C139" s="628"/>
      <c r="D139" s="1044"/>
      <c r="E139" s="1044"/>
      <c r="F139" s="1044"/>
    </row>
    <row r="140" spans="1:6" ht="12.75" customHeight="1" thickBot="1" x14ac:dyDescent="0.3">
      <c r="A140" s="330" t="s">
        <v>58</v>
      </c>
      <c r="B140" s="418" t="s">
        <v>305</v>
      </c>
      <c r="C140" s="626"/>
      <c r="D140" s="1025"/>
      <c r="E140" s="1025"/>
      <c r="F140" s="1025"/>
    </row>
    <row r="141" spans="1:6" s="489" customFormat="1" ht="12.75" customHeight="1" thickBot="1" x14ac:dyDescent="0.25">
      <c r="A141" s="488" t="s">
        <v>186</v>
      </c>
      <c r="B141" s="419" t="s">
        <v>306</v>
      </c>
      <c r="C141" s="629"/>
      <c r="D141" s="1044"/>
      <c r="E141" s="1044"/>
      <c r="F141" s="1044"/>
    </row>
    <row r="142" spans="1:6" s="489" customFormat="1" ht="12.75" customHeight="1" thickBot="1" x14ac:dyDescent="0.25">
      <c r="A142" s="488" t="s">
        <v>187</v>
      </c>
      <c r="B142" s="419" t="s">
        <v>307</v>
      </c>
      <c r="C142" s="629"/>
      <c r="D142" s="1044"/>
      <c r="E142" s="1044"/>
      <c r="F142" s="1044"/>
    </row>
  </sheetData>
  <mergeCells count="10">
    <mergeCell ref="A1:F1"/>
    <mergeCell ref="A69:F69"/>
    <mergeCell ref="A124:F124"/>
    <mergeCell ref="A128:F128"/>
    <mergeCell ref="A134:F134"/>
    <mergeCell ref="A135:B135"/>
    <mergeCell ref="A129:B129"/>
    <mergeCell ref="A2:B2"/>
    <mergeCell ref="A70:B70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69" fitToHeight="2" orientation="portrait" r:id="rId1"/>
  <headerFooter alignWithMargins="0">
    <oddHeader>&amp;C&amp;"Times New Roman CE,Félkövér"&amp;12
Csobánka Község Önkormányzat
2017. ÉVI KÖLTSÉGVETÉSÉNEK ÖSSZEVONT MÉRLEGE&amp;R&amp;"Times New Roman CE,Félkövér dőlt"&amp;11 &amp;"Times New Roman CE,Félkövér"1.1. melléklet 4/2018. (IV.27.) önkormányzati rendelethez</oddHeader>
  </headerFooter>
  <rowBreaks count="1" manualBreakCount="1">
    <brk id="6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zoomScaleNormal="120" zoomScaleSheetLayoutView="100" workbookViewId="0">
      <selection activeCell="C25" sqref="C25"/>
    </sheetView>
  </sheetViews>
  <sheetFormatPr defaultColWidth="7" defaultRowHeight="15.75" x14ac:dyDescent="0.25"/>
  <cols>
    <col min="1" max="1" width="9" style="420" customWidth="1"/>
    <col min="2" max="2" width="84.83203125" style="420" customWidth="1"/>
    <col min="3" max="6" width="14.83203125" style="43" customWidth="1"/>
    <col min="7" max="16384" width="7" style="43"/>
  </cols>
  <sheetData>
    <row r="1" spans="1:6" ht="15.95" customHeight="1" x14ac:dyDescent="0.25">
      <c r="A1" s="1276" t="s">
        <v>882</v>
      </c>
      <c r="B1" s="1276"/>
      <c r="C1" s="1276"/>
      <c r="D1" s="1276"/>
      <c r="E1" s="1276"/>
      <c r="F1" s="1276"/>
    </row>
    <row r="2" spans="1:6" ht="15.95" customHeight="1" thickBot="1" x14ac:dyDescent="0.3">
      <c r="A2" s="1274" t="s">
        <v>99</v>
      </c>
      <c r="B2" s="1274"/>
      <c r="F2" s="332" t="s">
        <v>299</v>
      </c>
    </row>
    <row r="3" spans="1:6" ht="38.1" customHeight="1" thickBot="1" x14ac:dyDescent="0.3">
      <c r="A3" s="28" t="s">
        <v>17</v>
      </c>
      <c r="B3" s="29" t="s">
        <v>884</v>
      </c>
      <c r="C3" s="580" t="s">
        <v>1185</v>
      </c>
      <c r="D3" s="580" t="s">
        <v>1165</v>
      </c>
      <c r="E3" s="1154" t="s">
        <v>1208</v>
      </c>
      <c r="F3" s="1073" t="s">
        <v>1209</v>
      </c>
    </row>
    <row r="4" spans="1:6" s="44" customFormat="1" ht="12" customHeight="1" thickBot="1" x14ac:dyDescent="0.25">
      <c r="A4" s="38">
        <v>1</v>
      </c>
      <c r="B4" s="39">
        <v>2</v>
      </c>
      <c r="C4" s="39">
        <v>3</v>
      </c>
      <c r="D4" s="39">
        <v>4</v>
      </c>
      <c r="E4" s="39">
        <v>5</v>
      </c>
      <c r="F4" s="1170">
        <v>6</v>
      </c>
    </row>
    <row r="5" spans="1:6" s="1" customFormat="1" ht="12" customHeight="1" thickBot="1" x14ac:dyDescent="0.25">
      <c r="A5" s="25" t="s">
        <v>885</v>
      </c>
      <c r="B5" s="24" t="s">
        <v>125</v>
      </c>
      <c r="C5" s="582">
        <f>+C6+C11+C20</f>
        <v>122945</v>
      </c>
      <c r="D5" s="582">
        <f>+D6+D11+D20</f>
        <v>138457</v>
      </c>
      <c r="E5" s="582">
        <f>+E6+E11+E20</f>
        <v>141405</v>
      </c>
      <c r="F5" s="1095">
        <f>E5/D5</f>
        <v>1.0212918090092953</v>
      </c>
    </row>
    <row r="6" spans="1:6" s="1" customFormat="1" ht="12" customHeight="1" thickBot="1" x14ac:dyDescent="0.25">
      <c r="A6" s="23" t="s">
        <v>886</v>
      </c>
      <c r="B6" s="693" t="s">
        <v>374</v>
      </c>
      <c r="C6" s="584">
        <f>+C7+C8+C9+C10</f>
        <v>95528</v>
      </c>
      <c r="D6" s="584">
        <f>+D7+D8+D9+D10</f>
        <v>102107</v>
      </c>
      <c r="E6" s="584">
        <f>+E7+E8+E9+E10</f>
        <v>103767</v>
      </c>
      <c r="F6" s="1095">
        <f t="shared" ref="F6:F67" si="0">E6/D6</f>
        <v>1.0162574554144181</v>
      </c>
    </row>
    <row r="7" spans="1:6" s="1" customFormat="1" ht="12" customHeight="1" x14ac:dyDescent="0.2">
      <c r="A7" s="16" t="s">
        <v>63</v>
      </c>
      <c r="B7" s="716" t="s">
        <v>928</v>
      </c>
      <c r="C7" s="587">
        <f>'8. sz. mell'!D10-'1.3.sz.mell._önk'!C7</f>
        <v>93628</v>
      </c>
      <c r="D7" s="587">
        <f>'8. sz. mell'!E10-'1.3.sz.mell._önk'!D7</f>
        <v>97637</v>
      </c>
      <c r="E7" s="587">
        <f>'8. sz. mell'!F10-'1.3.sz.mell._önk'!E7</f>
        <v>99245</v>
      </c>
      <c r="F7" s="1208">
        <f t="shared" si="0"/>
        <v>1.0164691664020811</v>
      </c>
    </row>
    <row r="8" spans="1:6" s="1" customFormat="1" ht="12" customHeight="1" x14ac:dyDescent="0.2">
      <c r="A8" s="16" t="s">
        <v>64</v>
      </c>
      <c r="B8" s="697" t="s">
        <v>33</v>
      </c>
      <c r="C8" s="587"/>
      <c r="D8" s="587"/>
      <c r="E8" s="587"/>
      <c r="F8" s="1207"/>
    </row>
    <row r="9" spans="1:6" s="1" customFormat="1" ht="12" customHeight="1" x14ac:dyDescent="0.2">
      <c r="A9" s="16" t="s">
        <v>65</v>
      </c>
      <c r="B9" s="697" t="s">
        <v>126</v>
      </c>
      <c r="C9" s="587">
        <f>'8. sz. mell'!D12</f>
        <v>1500</v>
      </c>
      <c r="D9" s="587">
        <f>'8. sz. mell'!E12</f>
        <v>2439</v>
      </c>
      <c r="E9" s="587">
        <f>'8. sz. mell'!F12</f>
        <v>2747</v>
      </c>
      <c r="F9" s="1207">
        <f t="shared" si="0"/>
        <v>1.1262812628126282</v>
      </c>
    </row>
    <row r="10" spans="1:6" s="1" customFormat="1" ht="12" customHeight="1" thickBot="1" x14ac:dyDescent="0.25">
      <c r="A10" s="16" t="s">
        <v>66</v>
      </c>
      <c r="B10" s="717" t="s">
        <v>127</v>
      </c>
      <c r="C10" s="587">
        <f>'8. sz. mell'!D13</f>
        <v>400</v>
      </c>
      <c r="D10" s="587">
        <f>'8. sz. mell'!E13</f>
        <v>2031</v>
      </c>
      <c r="E10" s="587">
        <f>'8. sz. mell'!F13</f>
        <v>1775</v>
      </c>
      <c r="F10" s="1209">
        <f t="shared" si="0"/>
        <v>0.87395371738060068</v>
      </c>
    </row>
    <row r="11" spans="1:6" s="1" customFormat="1" ht="12" customHeight="1" thickBot="1" x14ac:dyDescent="0.25">
      <c r="A11" s="23" t="s">
        <v>887</v>
      </c>
      <c r="B11" s="24" t="s">
        <v>128</v>
      </c>
      <c r="C11" s="584">
        <f>+C12+C13+C14+C15+C16+C17+C18+C19</f>
        <v>19617</v>
      </c>
      <c r="D11" s="584">
        <f>+D12+D13+D14+D15+D16+D17+D18+D19</f>
        <v>28550</v>
      </c>
      <c r="E11" s="584">
        <f>+E12+E13+E14+E15+E16+E17+E18+E19</f>
        <v>29614</v>
      </c>
      <c r="F11" s="1095">
        <f t="shared" si="0"/>
        <v>1.0372679509632223</v>
      </c>
    </row>
    <row r="12" spans="1:6" s="1" customFormat="1" ht="12" customHeight="1" x14ac:dyDescent="0.2">
      <c r="A12" s="20" t="s">
        <v>37</v>
      </c>
      <c r="B12" s="12" t="s">
        <v>133</v>
      </c>
      <c r="C12" s="587">
        <f>'8. sz. mell'!D15+'9. sz. mell.'!D8+'10. sz. mell.'!D8</f>
        <v>1815</v>
      </c>
      <c r="D12" s="587">
        <f>'8. sz. mell'!E15+'9. sz. mell.'!E8+'10. sz. mell.'!E8</f>
        <v>3318</v>
      </c>
      <c r="E12" s="587">
        <f>'8. sz. mell'!F15+'9. sz. mell.'!F8+'10. sz. mell.'!F8</f>
        <v>3310</v>
      </c>
      <c r="F12" s="1208">
        <f t="shared" si="0"/>
        <v>0.99758890898131403</v>
      </c>
    </row>
    <row r="13" spans="1:6" s="1" customFormat="1" ht="12" customHeight="1" x14ac:dyDescent="0.2">
      <c r="A13" s="16" t="s">
        <v>38</v>
      </c>
      <c r="B13" s="9" t="s">
        <v>134</v>
      </c>
      <c r="C13" s="587">
        <f>'8. sz. mell'!D16+'9. sz. mell.'!D9+'10. sz. mell.'!D9</f>
        <v>315</v>
      </c>
      <c r="D13" s="587">
        <f>'8. sz. mell'!E16+'9. sz. mell.'!E9+'10. sz. mell.'!E9</f>
        <v>2084</v>
      </c>
      <c r="E13" s="587">
        <f>'8. sz. mell'!F16+'9. sz. mell.'!F9+'10. sz. mell.'!F9</f>
        <v>1828</v>
      </c>
      <c r="F13" s="1207">
        <f t="shared" si="0"/>
        <v>0.87715930902111328</v>
      </c>
    </row>
    <row r="14" spans="1:6" s="1" customFormat="1" ht="12" customHeight="1" x14ac:dyDescent="0.2">
      <c r="A14" s="16" t="s">
        <v>39</v>
      </c>
      <c r="B14" s="9" t="s">
        <v>135</v>
      </c>
      <c r="C14" s="587">
        <f>'8. sz. mell'!D17+'9. sz. mell.'!D10+'10. sz. mell.'!D10</f>
        <v>15622</v>
      </c>
      <c r="D14" s="587">
        <f>'8. sz. mell'!E17+'9. sz. mell.'!E10+'10. sz. mell.'!E10</f>
        <v>21016</v>
      </c>
      <c r="E14" s="587">
        <f>'8. sz. mell'!F17</f>
        <v>21974</v>
      </c>
      <c r="F14" s="1207">
        <f t="shared" si="0"/>
        <v>1.0455843167110772</v>
      </c>
    </row>
    <row r="15" spans="1:6" s="1" customFormat="1" ht="12" customHeight="1" x14ac:dyDescent="0.2">
      <c r="A15" s="16" t="s">
        <v>40</v>
      </c>
      <c r="B15" s="9" t="s">
        <v>136</v>
      </c>
      <c r="C15" s="587">
        <f>'8. sz. mell'!D18+'9. sz. mell.'!D11+'10. sz. mell.'!D11</f>
        <v>1255</v>
      </c>
      <c r="D15" s="587">
        <f>'8. sz. mell'!E18+'9. sz. mell.'!E11+'10. sz. mell.'!E11</f>
        <v>1466</v>
      </c>
      <c r="E15" s="587">
        <f>'8. sz. mell'!F18+'10. sz. mell.'!F11</f>
        <v>1427</v>
      </c>
      <c r="F15" s="1207">
        <f t="shared" si="0"/>
        <v>0.97339699863574347</v>
      </c>
    </row>
    <row r="16" spans="1:6" s="1" customFormat="1" ht="12" customHeight="1" x14ac:dyDescent="0.2">
      <c r="A16" s="15" t="s">
        <v>129</v>
      </c>
      <c r="B16" s="8" t="s">
        <v>137</v>
      </c>
      <c r="C16" s="587">
        <f>'8. sz. mell'!D19+'9. sz. mell.'!D12+'10. sz. mell.'!D12</f>
        <v>0</v>
      </c>
      <c r="D16" s="587">
        <f>'8. sz. mell'!E19+'9. sz. mell.'!E12+'10. sz. mell.'!E12</f>
        <v>0</v>
      </c>
      <c r="E16" s="587"/>
      <c r="F16" s="1207"/>
    </row>
    <row r="17" spans="1:6" s="1" customFormat="1" ht="12" customHeight="1" x14ac:dyDescent="0.2">
      <c r="A17" s="16" t="s">
        <v>130</v>
      </c>
      <c r="B17" s="9" t="s">
        <v>239</v>
      </c>
      <c r="C17" s="587">
        <f>'8. sz. mell'!D20+'9. sz. mell.'!D13+'10. sz. mell.'!D13</f>
        <v>610</v>
      </c>
      <c r="D17" s="587">
        <f>'8. sz. mell'!E20+'9. sz. mell.'!E13+'10. sz. mell.'!E13</f>
        <v>653</v>
      </c>
      <c r="E17" s="587">
        <f>'8. sz. mell'!F20+'10. sz. mell.'!F13</f>
        <v>547</v>
      </c>
      <c r="F17" s="1207">
        <f t="shared" si="0"/>
        <v>0.83767228177641651</v>
      </c>
    </row>
    <row r="18" spans="1:6" s="1" customFormat="1" ht="12" customHeight="1" x14ac:dyDescent="0.2">
      <c r="A18" s="16" t="s">
        <v>131</v>
      </c>
      <c r="B18" s="9" t="s">
        <v>139</v>
      </c>
      <c r="C18" s="587">
        <f>'8. sz. mell'!D21+'9. sz. mell.'!D14+'10. sz. mell.'!D14</f>
        <v>0</v>
      </c>
      <c r="D18" s="587">
        <f>'8. sz. mell'!E21+'9. sz. mell.'!E14+'10. sz. mell.'!E14</f>
        <v>6</v>
      </c>
      <c r="E18" s="587">
        <f>'8. sz. mell'!F21</f>
        <v>6</v>
      </c>
      <c r="F18" s="1207">
        <f t="shared" si="0"/>
        <v>1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05">
        <f>'8. sz. mell'!D22+'9. sz. mell.'!D15+'10. sz. mell.'!D15</f>
        <v>0</v>
      </c>
      <c r="D19" s="605">
        <f>'9. sz. mell.'!E16+'10. sz. mell.'!E16</f>
        <v>7</v>
      </c>
      <c r="E19" s="605">
        <f>'8. sz. mell'!F22+'9. sz. mell.'!F16+'10. sz. mell.'!F16</f>
        <v>522</v>
      </c>
      <c r="F19" s="1209">
        <f t="shared" si="0"/>
        <v>74.571428571428569</v>
      </c>
    </row>
    <row r="20" spans="1:6" s="1" customFormat="1" ht="12" customHeight="1" thickBot="1" x14ac:dyDescent="0.25">
      <c r="A20" s="23" t="s">
        <v>141</v>
      </c>
      <c r="B20" s="24" t="s">
        <v>945</v>
      </c>
      <c r="C20" s="612">
        <f>'8. sz. mell'!D23</f>
        <v>7800</v>
      </c>
      <c r="D20" s="612">
        <f>'8. sz. mell'!E23</f>
        <v>7800</v>
      </c>
      <c r="E20" s="612">
        <f>'8. sz. mell'!F23</f>
        <v>8024</v>
      </c>
      <c r="F20" s="1095">
        <f t="shared" si="0"/>
        <v>1.0287179487179487</v>
      </c>
    </row>
    <row r="21" spans="1:6" s="1" customFormat="1" ht="12" customHeight="1" thickBot="1" x14ac:dyDescent="0.25">
      <c r="A21" s="23" t="s">
        <v>889</v>
      </c>
      <c r="B21" s="24" t="s">
        <v>143</v>
      </c>
      <c r="C21" s="584">
        <f>+C22+C23+C24+C25+C26+C27+C28+C29</f>
        <v>192240</v>
      </c>
      <c r="D21" s="584">
        <f>+D22+D23+D24+D25+D26+D27+D28+D29</f>
        <v>229493</v>
      </c>
      <c r="E21" s="584">
        <f>+E22+E23+E24+E25+E26+E27+E28+E29</f>
        <v>229492.155</v>
      </c>
      <c r="F21" s="1095">
        <f t="shared" si="0"/>
        <v>0.99999631797048272</v>
      </c>
    </row>
    <row r="22" spans="1:6" s="1" customFormat="1" ht="12" customHeight="1" x14ac:dyDescent="0.2">
      <c r="A22" s="18" t="s">
        <v>41</v>
      </c>
      <c r="B22" s="11" t="s">
        <v>819</v>
      </c>
      <c r="C22" s="609">
        <f>'8. sz. mell'!D25</f>
        <v>192240</v>
      </c>
      <c r="D22" s="609">
        <f>'8. sz. mell'!E25</f>
        <v>205071</v>
      </c>
      <c r="E22" s="609">
        <f>'8. sz. mell'!F25</f>
        <v>205071.155</v>
      </c>
      <c r="F22" s="1208">
        <f t="shared" si="0"/>
        <v>1.0000007558357837</v>
      </c>
    </row>
    <row r="23" spans="1:6" s="1" customFormat="1" ht="12" customHeight="1" x14ac:dyDescent="0.2">
      <c r="A23" s="16" t="s">
        <v>42</v>
      </c>
      <c r="B23" s="9" t="s">
        <v>149</v>
      </c>
      <c r="C23" s="587"/>
      <c r="D23" s="587"/>
      <c r="E23" s="587"/>
      <c r="F23" s="1207"/>
    </row>
    <row r="24" spans="1:6" s="1" customFormat="1" ht="12" customHeight="1" x14ac:dyDescent="0.2">
      <c r="A24" s="16" t="s">
        <v>43</v>
      </c>
      <c r="B24" s="9" t="s">
        <v>46</v>
      </c>
      <c r="C24" s="587"/>
      <c r="D24" s="587">
        <f>'8. sz. mell'!E27</f>
        <v>13648</v>
      </c>
      <c r="E24" s="587">
        <f>'8. sz. mell'!F27</f>
        <v>13647</v>
      </c>
      <c r="F24" s="1207">
        <f t="shared" si="0"/>
        <v>0.99992672919109027</v>
      </c>
    </row>
    <row r="25" spans="1:6" s="1" customFormat="1" ht="12" customHeight="1" x14ac:dyDescent="0.2">
      <c r="A25" s="19" t="s">
        <v>144</v>
      </c>
      <c r="B25" s="9" t="s">
        <v>931</v>
      </c>
      <c r="C25" s="605"/>
      <c r="D25" s="605"/>
      <c r="E25" s="605"/>
      <c r="F25" s="1207"/>
    </row>
    <row r="26" spans="1:6" s="1" customFormat="1" ht="12" customHeight="1" x14ac:dyDescent="0.2">
      <c r="A26" s="19" t="s">
        <v>145</v>
      </c>
      <c r="B26" s="9" t="s">
        <v>151</v>
      </c>
      <c r="C26" s="605"/>
      <c r="D26" s="605"/>
      <c r="E26" s="605"/>
      <c r="F26" s="1207"/>
    </row>
    <row r="27" spans="1:6" s="1" customFormat="1" ht="12" customHeight="1" x14ac:dyDescent="0.2">
      <c r="A27" s="16" t="s">
        <v>146</v>
      </c>
      <c r="B27" s="9" t="s">
        <v>152</v>
      </c>
      <c r="C27" s="587"/>
      <c r="D27" s="587"/>
      <c r="E27" s="587"/>
      <c r="F27" s="1207"/>
    </row>
    <row r="28" spans="1:6" s="1" customFormat="1" ht="12" customHeight="1" x14ac:dyDescent="0.2">
      <c r="A28" s="16" t="s">
        <v>147</v>
      </c>
      <c r="B28" s="9" t="s">
        <v>1030</v>
      </c>
      <c r="C28" s="638"/>
      <c r="D28" s="638">
        <f>'8. sz. mell'!E31</f>
        <v>10398</v>
      </c>
      <c r="E28" s="638">
        <f>'8. sz. mell'!F31</f>
        <v>10398</v>
      </c>
      <c r="F28" s="1207">
        <f t="shared" si="0"/>
        <v>1</v>
      </c>
    </row>
    <row r="29" spans="1:6" s="1" customFormat="1" ht="12" customHeight="1" thickBot="1" x14ac:dyDescent="0.25">
      <c r="A29" s="16" t="s">
        <v>148</v>
      </c>
      <c r="B29" s="14" t="s">
        <v>1203</v>
      </c>
      <c r="C29" s="638"/>
      <c r="D29" s="638">
        <f>'8. sz. mell'!E32</f>
        <v>376</v>
      </c>
      <c r="E29" s="638">
        <f>'8. sz. mell'!F32</f>
        <v>376</v>
      </c>
      <c r="F29" s="1209">
        <f t="shared" si="0"/>
        <v>1</v>
      </c>
    </row>
    <row r="30" spans="1:6" s="1" customFormat="1" ht="12" customHeight="1" thickBot="1" x14ac:dyDescent="0.25">
      <c r="A30" s="304" t="s">
        <v>890</v>
      </c>
      <c r="B30" s="24" t="s">
        <v>375</v>
      </c>
      <c r="C30" s="584">
        <f>+C31+C37</f>
        <v>21226</v>
      </c>
      <c r="D30" s="584">
        <f>+D31+D37</f>
        <v>28516</v>
      </c>
      <c r="E30" s="584">
        <f>+E31+E37</f>
        <v>15666</v>
      </c>
      <c r="F30" s="1095">
        <f t="shared" si="0"/>
        <v>0.5493757890307196</v>
      </c>
    </row>
    <row r="31" spans="1:6" s="1" customFormat="1" ht="12" customHeight="1" x14ac:dyDescent="0.2">
      <c r="A31" s="305" t="s">
        <v>44</v>
      </c>
      <c r="B31" s="719" t="s">
        <v>376</v>
      </c>
      <c r="C31" s="591">
        <f>+C32+C33+C34+C35+C36</f>
        <v>6522</v>
      </c>
      <c r="D31" s="591">
        <f>+D32+D33+D34+D35+D36</f>
        <v>13812</v>
      </c>
      <c r="E31" s="591">
        <f>+E32+E33+E34+E35+E36</f>
        <v>15666</v>
      </c>
      <c r="F31" s="1178">
        <f t="shared" si="0"/>
        <v>1.1342311033883579</v>
      </c>
    </row>
    <row r="32" spans="1:6" s="1" customFormat="1" ht="12" customHeight="1" x14ac:dyDescent="0.2">
      <c r="A32" s="306" t="s">
        <v>47</v>
      </c>
      <c r="B32" s="689" t="s">
        <v>242</v>
      </c>
      <c r="C32" s="638">
        <f>'8. sz. mell'!D35</f>
        <v>5196</v>
      </c>
      <c r="D32" s="638">
        <f>'8. sz. mell'!E35</f>
        <v>5196</v>
      </c>
      <c r="E32" s="638">
        <f>'8. sz. mell'!F35</f>
        <v>5304</v>
      </c>
      <c r="F32" s="1207">
        <f t="shared" si="0"/>
        <v>1.0207852193995381</v>
      </c>
    </row>
    <row r="33" spans="1:6" s="1" customFormat="1" ht="12" customHeight="1" x14ac:dyDescent="0.2">
      <c r="A33" s="306" t="s">
        <v>48</v>
      </c>
      <c r="B33" s="689" t="s">
        <v>243</v>
      </c>
      <c r="C33" s="638">
        <f>'8. sz. mell'!D36</f>
        <v>0</v>
      </c>
      <c r="D33" s="638">
        <f>'8. sz. mell'!E36</f>
        <v>0</v>
      </c>
      <c r="E33" s="638"/>
      <c r="F33" s="1194"/>
    </row>
    <row r="34" spans="1:6" s="1" customFormat="1" ht="12" customHeight="1" x14ac:dyDescent="0.2">
      <c r="A34" s="306" t="s">
        <v>49</v>
      </c>
      <c r="B34" s="689" t="s">
        <v>244</v>
      </c>
      <c r="C34" s="638">
        <f>'8. sz. mell'!D37</f>
        <v>0</v>
      </c>
      <c r="D34" s="638">
        <f>'8. sz. mell'!E37</f>
        <v>0</v>
      </c>
      <c r="E34" s="638"/>
      <c r="F34" s="1194"/>
    </row>
    <row r="35" spans="1:6" s="1" customFormat="1" ht="12" customHeight="1" x14ac:dyDescent="0.2">
      <c r="A35" s="306" t="s">
        <v>50</v>
      </c>
      <c r="B35" s="689" t="s">
        <v>245</v>
      </c>
      <c r="C35" s="638">
        <f>'8. sz. mell'!D38</f>
        <v>0</v>
      </c>
      <c r="D35" s="638">
        <f>'8. sz. mell'!E38</f>
        <v>0</v>
      </c>
      <c r="E35" s="638"/>
      <c r="F35" s="1194"/>
    </row>
    <row r="36" spans="1:6" s="1" customFormat="1" ht="12" customHeight="1" x14ac:dyDescent="0.2">
      <c r="A36" s="306" t="s">
        <v>154</v>
      </c>
      <c r="B36" s="689" t="s">
        <v>377</v>
      </c>
      <c r="C36" s="638">
        <f>'8. sz. mell'!D39</f>
        <v>1326</v>
      </c>
      <c r="D36" s="638">
        <f>'8. sz. mell'!E39</f>
        <v>8616</v>
      </c>
      <c r="E36" s="638">
        <f>'8. sz. mell'!F39</f>
        <v>10362</v>
      </c>
      <c r="F36" s="1207">
        <f t="shared" si="0"/>
        <v>1.2026462395543176</v>
      </c>
    </row>
    <row r="37" spans="1:6" s="1" customFormat="1" ht="12" customHeight="1" x14ac:dyDescent="0.2">
      <c r="A37" s="306" t="s">
        <v>45</v>
      </c>
      <c r="B37" s="720" t="s">
        <v>378</v>
      </c>
      <c r="C37" s="593">
        <f>+C38+C39+C40+C41+C42</f>
        <v>14704</v>
      </c>
      <c r="D37" s="593">
        <f>+D38+D39+D40+D41+D42</f>
        <v>14704</v>
      </c>
      <c r="E37" s="593"/>
      <c r="F37" s="1181">
        <f t="shared" si="0"/>
        <v>0</v>
      </c>
    </row>
    <row r="38" spans="1:6" s="1" customFormat="1" ht="12" customHeight="1" x14ac:dyDescent="0.2">
      <c r="A38" s="306" t="s">
        <v>53</v>
      </c>
      <c r="B38" s="689" t="s">
        <v>242</v>
      </c>
      <c r="C38" s="638"/>
      <c r="D38" s="638"/>
      <c r="E38" s="638"/>
      <c r="F38" s="1207"/>
    </row>
    <row r="39" spans="1:6" s="1" customFormat="1" ht="12" customHeight="1" x14ac:dyDescent="0.2">
      <c r="A39" s="306" t="s">
        <v>54</v>
      </c>
      <c r="B39" s="689" t="s">
        <v>243</v>
      </c>
      <c r="C39" s="638"/>
      <c r="D39" s="638"/>
      <c r="E39" s="638"/>
      <c r="F39" s="1207"/>
    </row>
    <row r="40" spans="1:6" s="1" customFormat="1" ht="12" customHeight="1" x14ac:dyDescent="0.2">
      <c r="A40" s="306" t="s">
        <v>55</v>
      </c>
      <c r="B40" s="689" t="s">
        <v>244</v>
      </c>
      <c r="C40" s="638">
        <f>'8. sz. mell'!D43</f>
        <v>14704</v>
      </c>
      <c r="D40" s="638">
        <f>'8. sz. mell'!E43</f>
        <v>14704</v>
      </c>
      <c r="E40" s="638"/>
      <c r="F40" s="1207">
        <f t="shared" si="0"/>
        <v>0</v>
      </c>
    </row>
    <row r="41" spans="1:6" s="1" customFormat="1" ht="12" customHeight="1" x14ac:dyDescent="0.2">
      <c r="A41" s="306" t="s">
        <v>56</v>
      </c>
      <c r="B41" s="721" t="s">
        <v>245</v>
      </c>
      <c r="C41" s="638">
        <f>'8. sz. mell'!D44</f>
        <v>0</v>
      </c>
      <c r="D41" s="638">
        <f>'8. sz. mell'!E44</f>
        <v>0</v>
      </c>
      <c r="E41" s="638"/>
      <c r="F41" s="1194"/>
    </row>
    <row r="42" spans="1:6" s="1" customFormat="1" ht="12" customHeight="1" thickBot="1" x14ac:dyDescent="0.25">
      <c r="A42" s="307" t="s">
        <v>155</v>
      </c>
      <c r="B42" s="722" t="s">
        <v>1031</v>
      </c>
      <c r="C42" s="641"/>
      <c r="D42" s="641"/>
      <c r="E42" s="641"/>
      <c r="F42" s="1195"/>
    </row>
    <row r="43" spans="1:6" s="1" customFormat="1" ht="12" customHeight="1" thickBot="1" x14ac:dyDescent="0.25">
      <c r="A43" s="23" t="s">
        <v>156</v>
      </c>
      <c r="B43" s="723" t="s">
        <v>246</v>
      </c>
      <c r="C43" s="584">
        <f>+C44+C45</f>
        <v>7000</v>
      </c>
      <c r="D43" s="584">
        <f>+D44+D45</f>
        <v>7000</v>
      </c>
      <c r="E43" s="584">
        <f>+E44+E45</f>
        <v>7865</v>
      </c>
      <c r="F43" s="1095">
        <f t="shared" si="0"/>
        <v>1.1235714285714287</v>
      </c>
    </row>
    <row r="44" spans="1:6" s="1" customFormat="1" ht="12" customHeight="1" x14ac:dyDescent="0.2">
      <c r="A44" s="18" t="s">
        <v>51</v>
      </c>
      <c r="B44" s="697" t="s">
        <v>247</v>
      </c>
      <c r="C44" s="609">
        <f>'8. sz. mell'!D47</f>
        <v>0</v>
      </c>
      <c r="D44" s="609">
        <f>'8. sz. mell'!E47</f>
        <v>0</v>
      </c>
      <c r="E44" s="609"/>
      <c r="F44" s="1196"/>
    </row>
    <row r="45" spans="1:6" s="1" customFormat="1" ht="12" customHeight="1" thickBot="1" x14ac:dyDescent="0.25">
      <c r="A45" s="15" t="s">
        <v>52</v>
      </c>
      <c r="B45" s="724" t="s">
        <v>251</v>
      </c>
      <c r="C45" s="632">
        <f>'8. sz. mell'!D48</f>
        <v>7000</v>
      </c>
      <c r="D45" s="632">
        <f>'8. sz. mell'!E48</f>
        <v>7000</v>
      </c>
      <c r="E45" s="632">
        <f>'8. sz. mell'!F48</f>
        <v>7865</v>
      </c>
      <c r="F45" s="1209">
        <f t="shared" si="0"/>
        <v>1.1235714285714287</v>
      </c>
    </row>
    <row r="46" spans="1:6" s="1" customFormat="1" ht="12" customHeight="1" thickBot="1" x14ac:dyDescent="0.25">
      <c r="A46" s="23" t="s">
        <v>892</v>
      </c>
      <c r="B46" s="723" t="s">
        <v>250</v>
      </c>
      <c r="C46" s="584">
        <f>+C47+C48+C49</f>
        <v>414</v>
      </c>
      <c r="D46" s="584">
        <f>+D47+D48+D49</f>
        <v>564</v>
      </c>
      <c r="E46" s="584">
        <f>+E47+E48+E49</f>
        <v>563</v>
      </c>
      <c r="F46" s="1095">
        <f t="shared" si="0"/>
        <v>0.99822695035460995</v>
      </c>
    </row>
    <row r="47" spans="1:6" s="1" customFormat="1" ht="12" customHeight="1" x14ac:dyDescent="0.2">
      <c r="A47" s="18" t="s">
        <v>159</v>
      </c>
      <c r="B47" s="697" t="s">
        <v>157</v>
      </c>
      <c r="C47" s="645"/>
      <c r="D47" s="645"/>
      <c r="E47" s="645"/>
      <c r="F47" s="1196"/>
    </row>
    <row r="48" spans="1:6" s="1" customFormat="1" ht="12" customHeight="1" x14ac:dyDescent="0.2">
      <c r="A48" s="16" t="s">
        <v>160</v>
      </c>
      <c r="B48" s="689" t="s">
        <v>943</v>
      </c>
      <c r="C48" s="638">
        <f>'8. sz. mell'!D51</f>
        <v>414</v>
      </c>
      <c r="D48" s="638">
        <f>'8. sz. mell'!E51</f>
        <v>564</v>
      </c>
      <c r="E48" s="638">
        <f>'8. sz. mell'!F51</f>
        <v>563</v>
      </c>
      <c r="F48" s="1207">
        <f t="shared" si="0"/>
        <v>0.99822695035460995</v>
      </c>
    </row>
    <row r="49" spans="1:6" s="1" customFormat="1" ht="12" customHeight="1" thickBot="1" x14ac:dyDescent="0.25">
      <c r="A49" s="15" t="s">
        <v>308</v>
      </c>
      <c r="B49" s="724" t="s">
        <v>248</v>
      </c>
      <c r="C49" s="647"/>
      <c r="D49" s="647"/>
      <c r="E49" s="647"/>
      <c r="F49" s="1195"/>
    </row>
    <row r="50" spans="1:6" s="1" customFormat="1" ht="17.25" customHeight="1" thickBot="1" x14ac:dyDescent="0.25">
      <c r="A50" s="23" t="s">
        <v>161</v>
      </c>
      <c r="B50" s="725" t="s">
        <v>249</v>
      </c>
      <c r="C50" s="612"/>
      <c r="D50" s="612"/>
      <c r="E50" s="612"/>
      <c r="F50" s="1095"/>
    </row>
    <row r="51" spans="1:6" s="1" customFormat="1" ht="12" customHeight="1" thickBot="1" x14ac:dyDescent="0.25">
      <c r="A51" s="23" t="s">
        <v>894</v>
      </c>
      <c r="B51" s="27" t="s">
        <v>162</v>
      </c>
      <c r="C51" s="595">
        <f>+C6+C11+C20+C21+C30+C43+C46+C50</f>
        <v>343825</v>
      </c>
      <c r="D51" s="595">
        <f>+D6+D11+D20+D21+D30+D43+D46+D50</f>
        <v>404030</v>
      </c>
      <c r="E51" s="595">
        <f>+E6+E11+E20+E21+E30+E43+E46+E50</f>
        <v>394991.15500000003</v>
      </c>
      <c r="F51" s="1095">
        <f t="shared" si="0"/>
        <v>0.97762828255327583</v>
      </c>
    </row>
    <row r="52" spans="1:6" s="1" customFormat="1" ht="12" customHeight="1" thickBot="1" x14ac:dyDescent="0.25">
      <c r="A52" s="692" t="s">
        <v>895</v>
      </c>
      <c r="B52" s="693" t="s">
        <v>252</v>
      </c>
      <c r="C52" s="597"/>
      <c r="D52" s="597">
        <f>D53+D59</f>
        <v>188790</v>
      </c>
      <c r="E52" s="597">
        <f>E53+E59</f>
        <v>188790</v>
      </c>
      <c r="F52" s="1095">
        <f t="shared" si="0"/>
        <v>1</v>
      </c>
    </row>
    <row r="53" spans="1:6" s="1" customFormat="1" ht="12" customHeight="1" x14ac:dyDescent="0.2">
      <c r="A53" s="726" t="s">
        <v>92</v>
      </c>
      <c r="B53" s="719" t="s">
        <v>253</v>
      </c>
      <c r="C53" s="591"/>
      <c r="D53" s="591">
        <f>D54+D58</f>
        <v>188790</v>
      </c>
      <c r="E53" s="591">
        <f>E54+E58</f>
        <v>188790</v>
      </c>
      <c r="F53" s="1178">
        <f t="shared" si="0"/>
        <v>1</v>
      </c>
    </row>
    <row r="54" spans="1:6" s="1" customFormat="1" ht="12" customHeight="1" x14ac:dyDescent="0.2">
      <c r="A54" s="1051" t="s">
        <v>268</v>
      </c>
      <c r="B54" s="689" t="s">
        <v>254</v>
      </c>
      <c r="C54" s="638"/>
      <c r="D54" s="638">
        <f>'8. sz. mell'!E56+'9. sz. mell.'!E28+'10. sz. mell.'!E28</f>
        <v>170365</v>
      </c>
      <c r="E54" s="638">
        <f>'8. sz. mell'!F56+'9. sz. mell.'!F28+'10. sz. mell.'!F28</f>
        <v>170365</v>
      </c>
      <c r="F54" s="1207">
        <f t="shared" si="0"/>
        <v>1</v>
      </c>
    </row>
    <row r="55" spans="1:6" s="1" customFormat="1" ht="12" customHeight="1" x14ac:dyDescent="0.2">
      <c r="A55" s="1051" t="s">
        <v>269</v>
      </c>
      <c r="B55" s="689" t="s">
        <v>255</v>
      </c>
      <c r="C55" s="638"/>
      <c r="D55" s="638"/>
      <c r="E55" s="638"/>
      <c r="F55" s="1194"/>
    </row>
    <row r="56" spans="1:6" s="1" customFormat="1" ht="12" customHeight="1" x14ac:dyDescent="0.2">
      <c r="A56" s="1051" t="s">
        <v>270</v>
      </c>
      <c r="B56" s="689" t="s">
        <v>256</v>
      </c>
      <c r="C56" s="638"/>
      <c r="D56" s="638"/>
      <c r="E56" s="638"/>
      <c r="F56" s="1194"/>
    </row>
    <row r="57" spans="1:6" s="1" customFormat="1" ht="12" customHeight="1" x14ac:dyDescent="0.2">
      <c r="A57" s="1051" t="s">
        <v>271</v>
      </c>
      <c r="B57" s="689" t="s">
        <v>257</v>
      </c>
      <c r="C57" s="638"/>
      <c r="D57" s="638"/>
      <c r="E57" s="638"/>
      <c r="F57" s="1194"/>
    </row>
    <row r="58" spans="1:6" s="1" customFormat="1" ht="12" customHeight="1" x14ac:dyDescent="0.2">
      <c r="A58" s="1051" t="s">
        <v>272</v>
      </c>
      <c r="B58" s="689" t="s">
        <v>258</v>
      </c>
      <c r="C58" s="638"/>
      <c r="D58" s="638">
        <f>'8. sz. mell'!E57</f>
        <v>18425</v>
      </c>
      <c r="E58" s="638">
        <f>'8. sz. mell'!F57</f>
        <v>18425</v>
      </c>
      <c r="F58" s="1207">
        <f t="shared" si="0"/>
        <v>1</v>
      </c>
    </row>
    <row r="59" spans="1:6" s="1" customFormat="1" ht="12" customHeight="1" x14ac:dyDescent="0.2">
      <c r="A59" s="727" t="s">
        <v>93</v>
      </c>
      <c r="B59" s="720" t="s">
        <v>259</v>
      </c>
      <c r="C59" s="593"/>
      <c r="D59" s="593"/>
      <c r="E59" s="593"/>
      <c r="F59" s="1194"/>
    </row>
    <row r="60" spans="1:6" s="1" customFormat="1" ht="12" customHeight="1" x14ac:dyDescent="0.2">
      <c r="A60" s="1051" t="s">
        <v>273</v>
      </c>
      <c r="B60" s="689" t="s">
        <v>944</v>
      </c>
      <c r="C60" s="638"/>
      <c r="D60" s="638"/>
      <c r="E60" s="638"/>
      <c r="F60" s="1194"/>
    </row>
    <row r="61" spans="1:6" s="1" customFormat="1" ht="12" customHeight="1" x14ac:dyDescent="0.2">
      <c r="A61" s="1051" t="s">
        <v>274</v>
      </c>
      <c r="B61" s="689" t="s">
        <v>261</v>
      </c>
      <c r="C61" s="638"/>
      <c r="D61" s="638"/>
      <c r="E61" s="638"/>
      <c r="F61" s="1194"/>
    </row>
    <row r="62" spans="1:6" s="1" customFormat="1" ht="12" customHeight="1" x14ac:dyDescent="0.2">
      <c r="A62" s="1051" t="s">
        <v>275</v>
      </c>
      <c r="B62" s="689" t="s">
        <v>262</v>
      </c>
      <c r="C62" s="638"/>
      <c r="D62" s="638"/>
      <c r="E62" s="638"/>
      <c r="F62" s="1194"/>
    </row>
    <row r="63" spans="1:6" s="1" customFormat="1" ht="12" customHeight="1" x14ac:dyDescent="0.2">
      <c r="A63" s="1051" t="s">
        <v>276</v>
      </c>
      <c r="B63" s="689" t="s">
        <v>263</v>
      </c>
      <c r="C63" s="638"/>
      <c r="D63" s="638"/>
      <c r="E63" s="638"/>
      <c r="F63" s="1194"/>
    </row>
    <row r="64" spans="1:6" s="1" customFormat="1" ht="12" customHeight="1" thickBot="1" x14ac:dyDescent="0.25">
      <c r="A64" s="1052" t="s">
        <v>277</v>
      </c>
      <c r="B64" s="724" t="s">
        <v>264</v>
      </c>
      <c r="C64" s="650"/>
      <c r="D64" s="650"/>
      <c r="E64" s="650"/>
      <c r="F64" s="1195"/>
    </row>
    <row r="65" spans="1:9" s="1" customFormat="1" ht="12" customHeight="1" thickBot="1" x14ac:dyDescent="0.25">
      <c r="A65" s="728" t="s">
        <v>896</v>
      </c>
      <c r="B65" s="701" t="s">
        <v>265</v>
      </c>
      <c r="C65" s="597">
        <f>+C51+C52</f>
        <v>343825</v>
      </c>
      <c r="D65" s="597">
        <f>+D51+D52</f>
        <v>592820</v>
      </c>
      <c r="E65" s="597">
        <f>+E51+E52</f>
        <v>583781.15500000003</v>
      </c>
      <c r="F65" s="1095">
        <f t="shared" si="0"/>
        <v>0.98475280017543276</v>
      </c>
      <c r="H65" s="672"/>
      <c r="I65" s="672"/>
    </row>
    <row r="66" spans="1:9" s="1" customFormat="1" ht="13.5" customHeight="1" thickBot="1" x14ac:dyDescent="0.25">
      <c r="A66" s="729" t="s">
        <v>897</v>
      </c>
      <c r="B66" s="703" t="s">
        <v>266</v>
      </c>
      <c r="C66" s="652"/>
      <c r="D66" s="652"/>
      <c r="E66" s="652"/>
      <c r="F66" s="1197"/>
      <c r="I66" s="672"/>
    </row>
    <row r="67" spans="1:9" s="1" customFormat="1" ht="12" customHeight="1" thickBot="1" x14ac:dyDescent="0.25">
      <c r="A67" s="728" t="s">
        <v>898</v>
      </c>
      <c r="B67" s="701" t="s">
        <v>267</v>
      </c>
      <c r="C67" s="597">
        <f>+C65+C66</f>
        <v>343825</v>
      </c>
      <c r="D67" s="597">
        <f>+D65+D66</f>
        <v>592820</v>
      </c>
      <c r="E67" s="597">
        <f>+E65+E66</f>
        <v>583781.15500000003</v>
      </c>
      <c r="F67" s="1095">
        <f t="shared" si="0"/>
        <v>0.98475280017543276</v>
      </c>
    </row>
    <row r="68" spans="1:9" s="1" customFormat="1" ht="12.95" customHeight="1" x14ac:dyDescent="0.2">
      <c r="A68" s="6"/>
      <c r="B68" s="7"/>
      <c r="C68" s="600"/>
    </row>
    <row r="69" spans="1:9" ht="16.5" customHeight="1" x14ac:dyDescent="0.25">
      <c r="A69" s="1276" t="s">
        <v>914</v>
      </c>
      <c r="B69" s="1276"/>
      <c r="C69" s="1276"/>
      <c r="D69" s="1276"/>
      <c r="E69" s="1276"/>
      <c r="F69" s="1276"/>
    </row>
    <row r="70" spans="1:9" s="334" customFormat="1" ht="16.5" customHeight="1" thickBot="1" x14ac:dyDescent="0.3">
      <c r="A70" s="1275" t="s">
        <v>100</v>
      </c>
      <c r="B70" s="1275"/>
      <c r="C70" s="332"/>
    </row>
    <row r="71" spans="1:9" ht="38.1" customHeight="1" thickBot="1" x14ac:dyDescent="0.3">
      <c r="A71" s="28" t="s">
        <v>883</v>
      </c>
      <c r="B71" s="29" t="s">
        <v>915</v>
      </c>
      <c r="C71" s="580" t="s">
        <v>1185</v>
      </c>
      <c r="D71" s="580" t="s">
        <v>1165</v>
      </c>
      <c r="E71" s="1154" t="s">
        <v>1208</v>
      </c>
      <c r="F71" s="1073" t="s">
        <v>1209</v>
      </c>
    </row>
    <row r="72" spans="1:9" s="44" customFormat="1" ht="12" customHeight="1" thickBot="1" x14ac:dyDescent="0.25">
      <c r="A72" s="38">
        <v>1</v>
      </c>
      <c r="B72" s="39">
        <v>2</v>
      </c>
      <c r="C72" s="39">
        <v>3</v>
      </c>
      <c r="D72" s="39">
        <v>4</v>
      </c>
      <c r="E72" s="39">
        <v>5</v>
      </c>
      <c r="F72" s="1170">
        <v>6</v>
      </c>
    </row>
    <row r="73" spans="1:9" ht="12" customHeight="1" thickBot="1" x14ac:dyDescent="0.3">
      <c r="A73" s="25" t="s">
        <v>885</v>
      </c>
      <c r="B73" s="36" t="s">
        <v>163</v>
      </c>
      <c r="C73" s="582">
        <f>+C74+C75+C76+C77+C78</f>
        <v>283659</v>
      </c>
      <c r="D73" s="584">
        <f>+D74+D75+D76+D77+D78</f>
        <v>356041</v>
      </c>
      <c r="E73" s="584">
        <f>+E74+E75+E76+E77+E78</f>
        <v>320861</v>
      </c>
      <c r="F73" s="1175">
        <f>E73/D73</f>
        <v>0.90119115495125557</v>
      </c>
    </row>
    <row r="74" spans="1:9" ht="12" customHeight="1" x14ac:dyDescent="0.25">
      <c r="A74" s="20" t="s">
        <v>57</v>
      </c>
      <c r="B74" s="12" t="s">
        <v>916</v>
      </c>
      <c r="C74" s="602">
        <f>'8. sz. mell'!D66+'9. sz. mell.'!D37+'10. sz. mell.'!D36</f>
        <v>136029</v>
      </c>
      <c r="D74" s="602">
        <f>'8. sz. mell'!E66+'9. sz. mell.'!E37+'10. sz. mell.'!E36</f>
        <v>146281</v>
      </c>
      <c r="E74" s="602">
        <f>'8. sz. mell'!F66+'9. sz. mell.'!F37+'10. sz. mell.'!F36</f>
        <v>140015</v>
      </c>
      <c r="F74" s="1198">
        <f>E74/D74</f>
        <v>0.95716463518843864</v>
      </c>
    </row>
    <row r="75" spans="1:9" ht="12" customHeight="1" x14ac:dyDescent="0.25">
      <c r="A75" s="16" t="s">
        <v>58</v>
      </c>
      <c r="B75" s="9" t="s">
        <v>164</v>
      </c>
      <c r="C75" s="587">
        <f>'8. sz. mell'!D67+'9. sz. mell.'!D38+'10. sz. mell.'!D37</f>
        <v>32103</v>
      </c>
      <c r="D75" s="587">
        <f>'8. sz. mell'!E67+'9. sz. mell.'!E38+'10. sz. mell.'!E37</f>
        <v>34805</v>
      </c>
      <c r="E75" s="587">
        <f>'8. sz. mell'!F67+'9. sz. mell.'!F38+'10. sz. mell.'!F37</f>
        <v>30853</v>
      </c>
      <c r="F75" s="1176">
        <f>E75/D75</f>
        <v>0.88645309581956611</v>
      </c>
    </row>
    <row r="76" spans="1:9" ht="12" customHeight="1" x14ac:dyDescent="0.25">
      <c r="A76" s="16" t="s">
        <v>59</v>
      </c>
      <c r="B76" s="9" t="s">
        <v>88</v>
      </c>
      <c r="C76" s="587">
        <f>'8. sz. mell'!D68+'9. sz. mell.'!D39+'10. sz. mell.'!D38-'1.3.sz.mell._önk'!C76</f>
        <v>93848</v>
      </c>
      <c r="D76" s="587">
        <f>'8. sz. mell'!E68+'9. sz. mell.'!E39+'10. sz. mell.'!E38-'1.3.sz.mell._önk'!D76</f>
        <v>122466</v>
      </c>
      <c r="E76" s="587">
        <f>'8. sz. mell'!F68+'9. sz. mell.'!F39+'10. sz. mell.'!F38-'1.3.sz.mell._önk'!E76</f>
        <v>119511</v>
      </c>
      <c r="F76" s="1176">
        <f t="shared" ref="F76:F82" si="1">E76/D76</f>
        <v>0.9758708539513008</v>
      </c>
    </row>
    <row r="77" spans="1:9" ht="12" customHeight="1" x14ac:dyDescent="0.25">
      <c r="A77" s="16" t="s">
        <v>60</v>
      </c>
      <c r="B77" s="13" t="s">
        <v>165</v>
      </c>
      <c r="C77" s="587">
        <f>'8. sz. mell'!D69+'9. sz. mell.'!D40+'10. sz. mell.'!D39</f>
        <v>19559</v>
      </c>
      <c r="D77" s="587">
        <f>'8. sz. mell'!E69+'9. sz. mell.'!E40+'10. sz. mell.'!E39</f>
        <v>19559</v>
      </c>
      <c r="E77" s="587">
        <f>'8. sz. mell'!F69</f>
        <v>16062</v>
      </c>
      <c r="F77" s="1176">
        <f t="shared" si="1"/>
        <v>0.82120762820185078</v>
      </c>
    </row>
    <row r="78" spans="1:9" ht="12" customHeight="1" x14ac:dyDescent="0.25">
      <c r="A78" s="16" t="s">
        <v>71</v>
      </c>
      <c r="B78" s="22" t="s">
        <v>166</v>
      </c>
      <c r="C78" s="605">
        <f>SUM(C79:C85)</f>
        <v>2120</v>
      </c>
      <c r="D78" s="605">
        <f>SUM(D79:D85)</f>
        <v>32930</v>
      </c>
      <c r="E78" s="605">
        <f>SUM(E79:E85)</f>
        <v>14420</v>
      </c>
      <c r="F78" s="1176">
        <f t="shared" si="1"/>
        <v>0.43789857273003341</v>
      </c>
    </row>
    <row r="79" spans="1:9" ht="12" customHeight="1" x14ac:dyDescent="0.25">
      <c r="A79" s="16" t="s">
        <v>61</v>
      </c>
      <c r="B79" s="9" t="s">
        <v>188</v>
      </c>
      <c r="C79" s="605">
        <f>'8. sz. mell'!D71</f>
        <v>0</v>
      </c>
      <c r="D79" s="605">
        <f>'8. sz. mell'!E71</f>
        <v>0</v>
      </c>
      <c r="E79" s="605"/>
      <c r="F79" s="1176"/>
    </row>
    <row r="80" spans="1:9" ht="12" customHeight="1" x14ac:dyDescent="0.25">
      <c r="A80" s="16" t="s">
        <v>62</v>
      </c>
      <c r="B80" s="144" t="s">
        <v>189</v>
      </c>
      <c r="C80" s="605">
        <f>'8. sz. mell'!D72</f>
        <v>0</v>
      </c>
      <c r="D80" s="605">
        <f>'8. sz. mell'!E72</f>
        <v>0</v>
      </c>
      <c r="E80" s="605"/>
      <c r="F80" s="1176"/>
    </row>
    <row r="81" spans="1:6" ht="12" customHeight="1" x14ac:dyDescent="0.25">
      <c r="A81" s="16" t="s">
        <v>72</v>
      </c>
      <c r="B81" s="144" t="s">
        <v>278</v>
      </c>
      <c r="C81" s="605">
        <f>'8. sz. mell'!D73</f>
        <v>0</v>
      </c>
      <c r="D81" s="605">
        <f>'8. sz. mell'!E73</f>
        <v>0</v>
      </c>
      <c r="E81" s="605"/>
      <c r="F81" s="1176"/>
    </row>
    <row r="82" spans="1:6" ht="12" customHeight="1" x14ac:dyDescent="0.25">
      <c r="A82" s="16" t="s">
        <v>73</v>
      </c>
      <c r="B82" s="145" t="s">
        <v>190</v>
      </c>
      <c r="C82" s="605">
        <f>'8. sz. mell'!D74</f>
        <v>2120</v>
      </c>
      <c r="D82" s="605">
        <f>'8. sz. mell'!E74</f>
        <v>14427</v>
      </c>
      <c r="E82" s="605">
        <f>'8. sz. mell'!F74</f>
        <v>14420</v>
      </c>
      <c r="F82" s="1176">
        <f t="shared" si="1"/>
        <v>0.99951479864143622</v>
      </c>
    </row>
    <row r="83" spans="1:6" ht="12" customHeight="1" x14ac:dyDescent="0.25">
      <c r="A83" s="15" t="s">
        <v>74</v>
      </c>
      <c r="B83" s="146" t="s">
        <v>191</v>
      </c>
      <c r="C83" s="605"/>
      <c r="D83" s="605"/>
      <c r="E83" s="605"/>
      <c r="F83" s="587"/>
    </row>
    <row r="84" spans="1:6" ht="12" customHeight="1" x14ac:dyDescent="0.25">
      <c r="A84" s="16" t="s">
        <v>75</v>
      </c>
      <c r="B84" s="146" t="s">
        <v>192</v>
      </c>
      <c r="C84" s="605">
        <f>'8. sz. mell'!D76</f>
        <v>0</v>
      </c>
      <c r="D84" s="605">
        <f>'8. sz. mell'!E76</f>
        <v>0</v>
      </c>
      <c r="E84" s="605"/>
      <c r="F84" s="605"/>
    </row>
    <row r="85" spans="1:6" ht="12" customHeight="1" thickBot="1" x14ac:dyDescent="0.3">
      <c r="A85" s="21" t="s">
        <v>77</v>
      </c>
      <c r="B85" s="147" t="s">
        <v>1033</v>
      </c>
      <c r="C85" s="605">
        <f>'8. sz. mell'!D78</f>
        <v>0</v>
      </c>
      <c r="D85" s="605">
        <f>'9. sz. mell.'!E41+'10. sz. mell.'!E40</f>
        <v>18503</v>
      </c>
      <c r="E85" s="605"/>
      <c r="F85" s="1199">
        <v>0</v>
      </c>
    </row>
    <row r="86" spans="1:6" ht="12" customHeight="1" thickBot="1" x14ac:dyDescent="0.3">
      <c r="A86" s="23" t="s">
        <v>886</v>
      </c>
      <c r="B86" s="35" t="s">
        <v>309</v>
      </c>
      <c r="C86" s="584">
        <f>+C87+C88+C89</f>
        <v>34550</v>
      </c>
      <c r="D86" s="584">
        <f>+D87+D88+D89</f>
        <v>98306</v>
      </c>
      <c r="E86" s="584">
        <f>+E87+E88+E89</f>
        <v>38958</v>
      </c>
      <c r="F86" s="1175">
        <f>E86/D86</f>
        <v>0.39629320692531483</v>
      </c>
    </row>
    <row r="87" spans="1:6" ht="12" customHeight="1" x14ac:dyDescent="0.25">
      <c r="A87" s="18" t="s">
        <v>63</v>
      </c>
      <c r="B87" s="9" t="s">
        <v>279</v>
      </c>
      <c r="C87" s="609">
        <f>'8. sz. mell'!D80</f>
        <v>32500</v>
      </c>
      <c r="D87" s="609">
        <f>'8. sz. mell'!E80+'10. sz. mell.'!E42</f>
        <v>84816</v>
      </c>
      <c r="E87" s="609">
        <f>'8. sz. mell'!F80+'9. sz. mell.'!F43+'10. sz. mell.'!F42</f>
        <v>25142</v>
      </c>
      <c r="F87" s="1200">
        <f>E87/D87</f>
        <v>0.29642991888322956</v>
      </c>
    </row>
    <row r="88" spans="1:6" ht="12" customHeight="1" x14ac:dyDescent="0.25">
      <c r="A88" s="18" t="s">
        <v>64</v>
      </c>
      <c r="B88" s="14" t="s">
        <v>168</v>
      </c>
      <c r="C88" s="609">
        <f>'8. sz. mell'!D81</f>
        <v>2050</v>
      </c>
      <c r="D88" s="609">
        <f>'8. sz. mell'!E81</f>
        <v>13490</v>
      </c>
      <c r="E88" s="609">
        <f>'8. sz. mell'!F81</f>
        <v>13816</v>
      </c>
      <c r="F88" s="1200">
        <f>E88/D88</f>
        <v>1.0241660489251296</v>
      </c>
    </row>
    <row r="89" spans="1:6" ht="12" customHeight="1" x14ac:dyDescent="0.25">
      <c r="A89" s="18" t="s">
        <v>65</v>
      </c>
      <c r="B89" s="689" t="s">
        <v>310</v>
      </c>
      <c r="C89" s="609">
        <f>'8. sz. mell'!D82</f>
        <v>0</v>
      </c>
      <c r="D89" s="609">
        <f>'8. sz. mell'!E82</f>
        <v>0</v>
      </c>
      <c r="E89" s="609"/>
      <c r="F89" s="609"/>
    </row>
    <row r="90" spans="1:6" ht="12" customHeight="1" x14ac:dyDescent="0.25">
      <c r="A90" s="18" t="s">
        <v>66</v>
      </c>
      <c r="B90" s="689" t="s">
        <v>380</v>
      </c>
      <c r="C90" s="609">
        <f>'8. sz. mell'!D83</f>
        <v>0</v>
      </c>
      <c r="D90" s="609">
        <f>'8. sz. mell'!E83</f>
        <v>0</v>
      </c>
      <c r="E90" s="609"/>
      <c r="F90" s="609"/>
    </row>
    <row r="91" spans="1:6" ht="12" customHeight="1" x14ac:dyDescent="0.25">
      <c r="A91" s="18" t="s">
        <v>67</v>
      </c>
      <c r="B91" s="689" t="s">
        <v>311</v>
      </c>
      <c r="C91" s="609">
        <f>'8. sz. mell'!D84</f>
        <v>0</v>
      </c>
      <c r="D91" s="609">
        <f>'8. sz. mell'!E84</f>
        <v>0</v>
      </c>
      <c r="E91" s="609"/>
      <c r="F91" s="609"/>
    </row>
    <row r="92" spans="1:6" x14ac:dyDescent="0.25">
      <c r="A92" s="18" t="s">
        <v>76</v>
      </c>
      <c r="B92" s="689" t="s">
        <v>312</v>
      </c>
      <c r="C92" s="609">
        <f>'8. sz. mell'!D85</f>
        <v>0</v>
      </c>
      <c r="D92" s="609">
        <f>'8. sz. mell'!E85</f>
        <v>0</v>
      </c>
      <c r="E92" s="609"/>
      <c r="F92" s="609"/>
    </row>
    <row r="93" spans="1:6" ht="12" customHeight="1" x14ac:dyDescent="0.25">
      <c r="A93" s="18" t="s">
        <v>78</v>
      </c>
      <c r="B93" s="690" t="s">
        <v>283</v>
      </c>
      <c r="C93" s="609">
        <f>'8. sz. mell'!D86</f>
        <v>0</v>
      </c>
      <c r="D93" s="609">
        <f>'8. sz. mell'!E86</f>
        <v>0</v>
      </c>
      <c r="E93" s="609"/>
      <c r="F93" s="609"/>
    </row>
    <row r="94" spans="1:6" ht="12" customHeight="1" x14ac:dyDescent="0.25">
      <c r="A94" s="18" t="s">
        <v>169</v>
      </c>
      <c r="B94" s="690" t="s">
        <v>284</v>
      </c>
      <c r="C94" s="609">
        <f>'8. sz. mell'!D87</f>
        <v>0</v>
      </c>
      <c r="D94" s="609">
        <f>'8. sz. mell'!E87</f>
        <v>0</v>
      </c>
      <c r="E94" s="609"/>
      <c r="F94" s="609"/>
    </row>
    <row r="95" spans="1:6" ht="12" customHeight="1" x14ac:dyDescent="0.25">
      <c r="A95" s="18" t="s">
        <v>170</v>
      </c>
      <c r="B95" s="690" t="s">
        <v>282</v>
      </c>
      <c r="C95" s="609">
        <f>'8. sz. mell'!D88</f>
        <v>0</v>
      </c>
      <c r="D95" s="609">
        <f>'8. sz. mell'!E88</f>
        <v>0</v>
      </c>
      <c r="E95" s="609"/>
      <c r="F95" s="609"/>
    </row>
    <row r="96" spans="1:6" ht="24" customHeight="1" thickBot="1" x14ac:dyDescent="0.3">
      <c r="A96" s="15" t="s">
        <v>171</v>
      </c>
      <c r="B96" s="691" t="s">
        <v>281</v>
      </c>
      <c r="C96" s="605"/>
      <c r="D96" s="605"/>
      <c r="E96" s="605"/>
      <c r="F96" s="605"/>
    </row>
    <row r="97" spans="1:6" ht="12" customHeight="1" thickBot="1" x14ac:dyDescent="0.3">
      <c r="A97" s="23" t="s">
        <v>887</v>
      </c>
      <c r="B97" s="126" t="s">
        <v>313</v>
      </c>
      <c r="C97" s="584">
        <f>+C98+C99</f>
        <v>25616</v>
      </c>
      <c r="D97" s="584">
        <f>+D98+D99</f>
        <v>121167</v>
      </c>
      <c r="E97" s="584">
        <f>+E98+E99</f>
        <v>0</v>
      </c>
      <c r="F97" s="1175">
        <f>E97/D97</f>
        <v>0</v>
      </c>
    </row>
    <row r="98" spans="1:6" ht="12" customHeight="1" x14ac:dyDescent="0.25">
      <c r="A98" s="18" t="s">
        <v>37</v>
      </c>
      <c r="B98" s="11" t="s">
        <v>3</v>
      </c>
      <c r="C98" s="609">
        <f>'8. sz. mell'!D91</f>
        <v>17116</v>
      </c>
      <c r="D98" s="609">
        <f>'8. sz. mell'!E91+'9. sz. mell.'!E43</f>
        <v>52087</v>
      </c>
      <c r="E98" s="609"/>
      <c r="F98" s="1200">
        <f>E98/D98</f>
        <v>0</v>
      </c>
    </row>
    <row r="99" spans="1:6" ht="12" customHeight="1" thickBot="1" x14ac:dyDescent="0.3">
      <c r="A99" s="19" t="s">
        <v>38</v>
      </c>
      <c r="B99" s="14" t="s">
        <v>4</v>
      </c>
      <c r="C99" s="605">
        <f>'8. sz. mell'!D92</f>
        <v>8500</v>
      </c>
      <c r="D99" s="605">
        <f>'8. sz. mell'!E92</f>
        <v>69080</v>
      </c>
      <c r="E99" s="605"/>
      <c r="F99" s="1199">
        <f>E99/D99</f>
        <v>0</v>
      </c>
    </row>
    <row r="100" spans="1:6" s="310" customFormat="1" ht="12" customHeight="1" thickBot="1" x14ac:dyDescent="0.25">
      <c r="A100" s="692" t="s">
        <v>888</v>
      </c>
      <c r="B100" s="693" t="s">
        <v>285</v>
      </c>
      <c r="C100" s="612"/>
      <c r="D100" s="612"/>
      <c r="E100" s="612"/>
      <c r="F100" s="612"/>
    </row>
    <row r="101" spans="1:6" ht="12" customHeight="1" thickBot="1" x14ac:dyDescent="0.3">
      <c r="A101" s="308" t="s">
        <v>889</v>
      </c>
      <c r="B101" s="309" t="s">
        <v>105</v>
      </c>
      <c r="C101" s="582">
        <f>+C73+C86+C97+C100</f>
        <v>343825</v>
      </c>
      <c r="D101" s="582">
        <f>+D73+D86+D97+D100</f>
        <v>575514</v>
      </c>
      <c r="E101" s="582">
        <f>+E73+E86+E97+E100</f>
        <v>359819</v>
      </c>
      <c r="F101" s="1174">
        <f>E101/D101</f>
        <v>0.62521328760030159</v>
      </c>
    </row>
    <row r="102" spans="1:6" ht="12" customHeight="1" thickBot="1" x14ac:dyDescent="0.3">
      <c r="A102" s="692" t="s">
        <v>890</v>
      </c>
      <c r="B102" s="693" t="s">
        <v>381</v>
      </c>
      <c r="C102" s="584">
        <f>+C103+C111</f>
        <v>0</v>
      </c>
      <c r="D102" s="584">
        <f>+D103+D111</f>
        <v>17821</v>
      </c>
      <c r="E102" s="584">
        <f>+E103+E111</f>
        <v>17822</v>
      </c>
      <c r="F102" s="1175">
        <v>1</v>
      </c>
    </row>
    <row r="103" spans="1:6" ht="12" customHeight="1" thickBot="1" x14ac:dyDescent="0.3">
      <c r="A103" s="694" t="s">
        <v>44</v>
      </c>
      <c r="B103" s="695" t="s">
        <v>386</v>
      </c>
      <c r="C103" s="732">
        <f>+C104+C105+C106+C107+C108+C109+C110</f>
        <v>0</v>
      </c>
      <c r="D103" s="732">
        <f>+D104+D105+D106+D107+D108+D109+D110</f>
        <v>17821</v>
      </c>
      <c r="E103" s="732">
        <f>+E104+E105+E106+E107+E108+E109+E110</f>
        <v>17822</v>
      </c>
      <c r="F103" s="1201">
        <v>1</v>
      </c>
    </row>
    <row r="104" spans="1:6" ht="12" customHeight="1" x14ac:dyDescent="0.25">
      <c r="A104" s="696" t="s">
        <v>47</v>
      </c>
      <c r="B104" s="697" t="s">
        <v>286</v>
      </c>
      <c r="C104" s="733"/>
      <c r="D104" s="733"/>
      <c r="E104" s="733"/>
      <c r="F104" s="1202"/>
    </row>
    <row r="105" spans="1:6" ht="12" customHeight="1" x14ac:dyDescent="0.25">
      <c r="A105" s="698" t="s">
        <v>48</v>
      </c>
      <c r="B105" s="689" t="s">
        <v>287</v>
      </c>
      <c r="C105" s="734"/>
      <c r="D105" s="734"/>
      <c r="E105" s="734"/>
      <c r="F105" s="1203"/>
    </row>
    <row r="106" spans="1:6" ht="12" customHeight="1" x14ac:dyDescent="0.25">
      <c r="A106" s="698" t="s">
        <v>49</v>
      </c>
      <c r="B106" s="689" t="s">
        <v>288</v>
      </c>
      <c r="C106" s="734"/>
      <c r="D106" s="734"/>
      <c r="E106" s="734"/>
      <c r="F106" s="1203"/>
    </row>
    <row r="107" spans="1:6" ht="12" customHeight="1" x14ac:dyDescent="0.25">
      <c r="A107" s="698" t="s">
        <v>50</v>
      </c>
      <c r="B107" s="689" t="s">
        <v>289</v>
      </c>
      <c r="C107" s="734"/>
      <c r="D107" s="734"/>
      <c r="E107" s="734"/>
      <c r="F107" s="1203"/>
    </row>
    <row r="108" spans="1:6" ht="12" customHeight="1" x14ac:dyDescent="0.25">
      <c r="A108" s="698" t="s">
        <v>154</v>
      </c>
      <c r="B108" s="689" t="s">
        <v>290</v>
      </c>
      <c r="C108" s="734"/>
      <c r="D108" s="734"/>
      <c r="E108" s="734"/>
      <c r="F108" s="1203"/>
    </row>
    <row r="109" spans="1:6" ht="12" customHeight="1" x14ac:dyDescent="0.25">
      <c r="A109" s="698" t="s">
        <v>172</v>
      </c>
      <c r="B109" s="689" t="s">
        <v>291</v>
      </c>
      <c r="C109" s="734"/>
      <c r="D109" s="734"/>
      <c r="E109" s="734"/>
      <c r="F109" s="1203"/>
    </row>
    <row r="110" spans="1:6" ht="12" customHeight="1" thickBot="1" x14ac:dyDescent="0.3">
      <c r="A110" s="699" t="s">
        <v>173</v>
      </c>
      <c r="B110" s="700" t="s">
        <v>1186</v>
      </c>
      <c r="C110" s="736"/>
      <c r="D110" s="735">
        <f>'8. sz. mell'!E97</f>
        <v>17821</v>
      </c>
      <c r="E110" s="735">
        <f>'8. sz. mell'!F97</f>
        <v>17822</v>
      </c>
      <c r="F110" s="1204">
        <v>1</v>
      </c>
    </row>
    <row r="111" spans="1:6" ht="12" customHeight="1" thickBot="1" x14ac:dyDescent="0.3">
      <c r="A111" s="694" t="s">
        <v>45</v>
      </c>
      <c r="B111" s="695" t="s">
        <v>387</v>
      </c>
      <c r="C111" s="732">
        <f>+C112+C113+C114+C115+C116+C117+C118+C119</f>
        <v>0</v>
      </c>
      <c r="D111" s="732">
        <f>+D112+D113+D114+D115+D116+D117+D118+D119</f>
        <v>0</v>
      </c>
      <c r="E111" s="732"/>
      <c r="F111" s="732"/>
    </row>
    <row r="112" spans="1:6" ht="12" customHeight="1" x14ac:dyDescent="0.25">
      <c r="A112" s="696" t="s">
        <v>53</v>
      </c>
      <c r="B112" s="697" t="s">
        <v>286</v>
      </c>
      <c r="C112" s="733"/>
      <c r="D112" s="733"/>
      <c r="E112" s="733"/>
      <c r="F112" s="733"/>
    </row>
    <row r="113" spans="1:9" ht="12" customHeight="1" x14ac:dyDescent="0.25">
      <c r="A113" s="698" t="s">
        <v>54</v>
      </c>
      <c r="B113" s="689" t="s">
        <v>293</v>
      </c>
      <c r="C113" s="734"/>
      <c r="D113" s="734"/>
      <c r="E113" s="734"/>
      <c r="F113" s="734"/>
    </row>
    <row r="114" spans="1:9" ht="12" customHeight="1" x14ac:dyDescent="0.25">
      <c r="A114" s="698" t="s">
        <v>55</v>
      </c>
      <c r="B114" s="689" t="s">
        <v>288</v>
      </c>
      <c r="C114" s="734"/>
      <c r="D114" s="734"/>
      <c r="E114" s="734"/>
      <c r="F114" s="734"/>
    </row>
    <row r="115" spans="1:9" ht="12" customHeight="1" x14ac:dyDescent="0.25">
      <c r="A115" s="698" t="s">
        <v>56</v>
      </c>
      <c r="B115" s="689" t="s">
        <v>289</v>
      </c>
      <c r="C115" s="734"/>
      <c r="D115" s="734"/>
      <c r="E115" s="734"/>
      <c r="F115" s="734"/>
    </row>
    <row r="116" spans="1:9" ht="12" customHeight="1" x14ac:dyDescent="0.25">
      <c r="A116" s="698" t="s">
        <v>155</v>
      </c>
      <c r="B116" s="689" t="s">
        <v>290</v>
      </c>
      <c r="C116" s="734"/>
      <c r="D116" s="734"/>
      <c r="E116" s="734"/>
      <c r="F116" s="734"/>
    </row>
    <row r="117" spans="1:9" ht="12" customHeight="1" x14ac:dyDescent="0.25">
      <c r="A117" s="698" t="s">
        <v>174</v>
      </c>
      <c r="B117" s="689" t="s">
        <v>294</v>
      </c>
      <c r="C117" s="734"/>
      <c r="D117" s="734"/>
      <c r="E117" s="734"/>
      <c r="F117" s="734"/>
    </row>
    <row r="118" spans="1:9" ht="12" customHeight="1" x14ac:dyDescent="0.25">
      <c r="A118" s="698" t="s">
        <v>175</v>
      </c>
      <c r="B118" s="689" t="s">
        <v>292</v>
      </c>
      <c r="C118" s="734"/>
      <c r="D118" s="734"/>
      <c r="E118" s="734"/>
      <c r="F118" s="734"/>
    </row>
    <row r="119" spans="1:9" ht="12" customHeight="1" thickBot="1" x14ac:dyDescent="0.3">
      <c r="A119" s="699" t="s">
        <v>176</v>
      </c>
      <c r="B119" s="700" t="s">
        <v>384</v>
      </c>
      <c r="C119" s="736"/>
      <c r="D119" s="736"/>
      <c r="E119" s="736"/>
      <c r="F119" s="736"/>
    </row>
    <row r="120" spans="1:9" ht="12" customHeight="1" thickBot="1" x14ac:dyDescent="0.3">
      <c r="A120" s="692" t="s">
        <v>891</v>
      </c>
      <c r="B120" s="701" t="s">
        <v>295</v>
      </c>
      <c r="C120" s="737">
        <f>+C101+C102</f>
        <v>343825</v>
      </c>
      <c r="D120" s="737">
        <f>+D101+D102</f>
        <v>593335</v>
      </c>
      <c r="E120" s="737">
        <f>+E101+E102</f>
        <v>377641</v>
      </c>
      <c r="F120" s="1205">
        <f>E120/D120</f>
        <v>0.63647180766346156</v>
      </c>
    </row>
    <row r="121" spans="1:9" ht="15" customHeight="1" thickBot="1" x14ac:dyDescent="0.3">
      <c r="A121" s="692" t="s">
        <v>892</v>
      </c>
      <c r="B121" s="701" t="s">
        <v>296</v>
      </c>
      <c r="C121" s="1027"/>
      <c r="D121" s="1027"/>
      <c r="E121" s="1027"/>
      <c r="F121" s="1206"/>
    </row>
    <row r="122" spans="1:9" s="1" customFormat="1" ht="12.95" customHeight="1" thickBot="1" x14ac:dyDescent="0.25">
      <c r="A122" s="702" t="s">
        <v>893</v>
      </c>
      <c r="B122" s="703" t="s">
        <v>297</v>
      </c>
      <c r="C122" s="597">
        <f>+C120+C121</f>
        <v>343825</v>
      </c>
      <c r="D122" s="597">
        <f>+D120+D121</f>
        <v>593335</v>
      </c>
      <c r="E122" s="597">
        <f>+E120+E121</f>
        <v>377641</v>
      </c>
      <c r="F122" s="1180">
        <f>E122/D122</f>
        <v>0.63647180766346156</v>
      </c>
      <c r="I122" s="672"/>
    </row>
    <row r="123" spans="1:9" ht="15.75" customHeight="1" x14ac:dyDescent="0.25">
      <c r="A123" s="415"/>
      <c r="B123" s="415"/>
      <c r="C123" s="623"/>
      <c r="D123" s="44"/>
    </row>
    <row r="124" spans="1:9" x14ac:dyDescent="0.25">
      <c r="A124" s="1277" t="s">
        <v>108</v>
      </c>
      <c r="B124" s="1277"/>
      <c r="C124" s="1277"/>
      <c r="D124" s="1277"/>
      <c r="E124" s="1277"/>
      <c r="F124" s="1277"/>
    </row>
    <row r="125" spans="1:9" ht="15" customHeight="1" thickBot="1" x14ac:dyDescent="0.3">
      <c r="A125" s="1274" t="s">
        <v>101</v>
      </c>
      <c r="B125" s="1274"/>
      <c r="C125" s="332"/>
    </row>
    <row r="126" spans="1:9" ht="13.5" customHeight="1" thickBot="1" x14ac:dyDescent="0.3">
      <c r="A126" s="23">
        <v>1</v>
      </c>
      <c r="B126" s="1028" t="s">
        <v>183</v>
      </c>
      <c r="C126" s="1029">
        <f>+C51-C101</f>
        <v>0</v>
      </c>
      <c r="D126" s="1025"/>
      <c r="E126" s="1025"/>
      <c r="F126" s="1025"/>
    </row>
    <row r="127" spans="1:9" ht="7.5" customHeight="1" x14ac:dyDescent="0.25">
      <c r="A127" s="415"/>
      <c r="B127" s="415"/>
    </row>
  </sheetData>
  <mergeCells count="6">
    <mergeCell ref="A125:B125"/>
    <mergeCell ref="A2:B2"/>
    <mergeCell ref="A70:B70"/>
    <mergeCell ref="A1:F1"/>
    <mergeCell ref="A69:F69"/>
    <mergeCell ref="A124:F124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69" fitToWidth="3" fitToHeight="2" orientation="portrait" r:id="rId1"/>
  <headerFooter alignWithMargins="0">
    <oddHeader>&amp;C&amp;"Times New Roman CE,Félkövér"&amp;12
Csobánka Község Önkormányzat
2017. ÉVI KÖLTSÉGVETÉS KÖTELEZŐ FELADATAINAK MÉRLEGE &amp;R&amp;"Times New Roman CE,Félkövér dőlt"&amp;11 &amp;"Times New Roman CE,Félkövér"1.2. melléklet 4/2018. (IV.27.)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7"/>
  <sheetViews>
    <sheetView view="pageLayout" topLeftCell="B1" zoomScaleNormal="120" zoomScaleSheetLayoutView="100" workbookViewId="0">
      <selection activeCell="F65" sqref="F65:F67"/>
    </sheetView>
  </sheetViews>
  <sheetFormatPr defaultColWidth="9.33203125" defaultRowHeight="15.75" x14ac:dyDescent="0.25"/>
  <cols>
    <col min="1" max="1" width="9" style="420" customWidth="1"/>
    <col min="2" max="2" width="84.83203125" style="420" customWidth="1"/>
    <col min="3" max="6" width="14.83203125" style="43" customWidth="1"/>
    <col min="7" max="16384" width="9.33203125" style="43"/>
  </cols>
  <sheetData>
    <row r="1" spans="1:6" ht="15.95" customHeight="1" x14ac:dyDescent="0.25">
      <c r="A1" s="1276" t="s">
        <v>882</v>
      </c>
      <c r="B1" s="1276"/>
      <c r="C1" s="1276"/>
      <c r="D1" s="1276"/>
      <c r="E1" s="1276"/>
      <c r="F1" s="1276"/>
    </row>
    <row r="2" spans="1:6" ht="15.95" customHeight="1" thickBot="1" x14ac:dyDescent="0.3">
      <c r="A2" s="1274" t="s">
        <v>99</v>
      </c>
      <c r="B2" s="1274"/>
      <c r="F2" s="332" t="s">
        <v>299</v>
      </c>
    </row>
    <row r="3" spans="1:6" ht="38.1" customHeight="1" thickBot="1" x14ac:dyDescent="0.3">
      <c r="A3" s="28" t="s">
        <v>17</v>
      </c>
      <c r="B3" s="29" t="s">
        <v>884</v>
      </c>
      <c r="C3" s="580" t="s">
        <v>1185</v>
      </c>
      <c r="D3" s="580" t="s">
        <v>1165</v>
      </c>
      <c r="E3" s="1154" t="s">
        <v>1208</v>
      </c>
      <c r="F3" s="1073" t="s">
        <v>1209</v>
      </c>
    </row>
    <row r="4" spans="1:6" s="44" customFormat="1" ht="12" customHeight="1" thickBot="1" x14ac:dyDescent="0.25">
      <c r="A4" s="38">
        <v>1</v>
      </c>
      <c r="B4" s="39">
        <v>2</v>
      </c>
      <c r="C4" s="580">
        <v>3</v>
      </c>
      <c r="D4" s="580">
        <v>4</v>
      </c>
      <c r="E4" s="580">
        <v>5</v>
      </c>
      <c r="F4" s="845">
        <v>6</v>
      </c>
    </row>
    <row r="5" spans="1:6" s="1" customFormat="1" ht="12" customHeight="1" thickBot="1" x14ac:dyDescent="0.25">
      <c r="A5" s="25" t="s">
        <v>885</v>
      </c>
      <c r="B5" s="24" t="s">
        <v>125</v>
      </c>
      <c r="C5" s="582">
        <f>+C6+C11+C20</f>
        <v>3372</v>
      </c>
      <c r="D5" s="582">
        <f>+D6+D11+D20</f>
        <v>3222</v>
      </c>
      <c r="E5" s="582">
        <v>1595</v>
      </c>
      <c r="F5" s="1174">
        <f>E5/D5</f>
        <v>0.49503414028553694</v>
      </c>
    </row>
    <row r="6" spans="1:6" s="1" customFormat="1" ht="12" customHeight="1" thickBot="1" x14ac:dyDescent="0.25">
      <c r="A6" s="23" t="s">
        <v>886</v>
      </c>
      <c r="B6" s="311" t="s">
        <v>374</v>
      </c>
      <c r="C6" s="584">
        <f>+C7+C8+C9+C10</f>
        <v>3372</v>
      </c>
      <c r="D6" s="584">
        <f>+D7+D8+D9+D10</f>
        <v>3222</v>
      </c>
      <c r="E6" s="584">
        <v>1595</v>
      </c>
      <c r="F6" s="1175">
        <f>E6/D6</f>
        <v>0.49503414028553694</v>
      </c>
    </row>
    <row r="7" spans="1:6" s="1" customFormat="1" ht="12" customHeight="1" x14ac:dyDescent="0.2">
      <c r="A7" s="16" t="s">
        <v>63</v>
      </c>
      <c r="B7" s="404" t="s">
        <v>928</v>
      </c>
      <c r="C7" s="587">
        <v>3372</v>
      </c>
      <c r="D7" s="587">
        <f>3372-150</f>
        <v>3222</v>
      </c>
      <c r="E7" s="1262">
        <v>1595</v>
      </c>
      <c r="F7" s="1096">
        <f>E7/D7</f>
        <v>0.49503414028553694</v>
      </c>
    </row>
    <row r="8" spans="1:6" s="1" customFormat="1" ht="12" customHeight="1" x14ac:dyDescent="0.2">
      <c r="A8" s="16" t="s">
        <v>64</v>
      </c>
      <c r="B8" s="325" t="s">
        <v>33</v>
      </c>
      <c r="C8" s="587"/>
      <c r="D8" s="587"/>
      <c r="E8" s="587"/>
      <c r="F8" s="731"/>
    </row>
    <row r="9" spans="1:6" s="1" customFormat="1" ht="12" customHeight="1" x14ac:dyDescent="0.2">
      <c r="A9" s="16" t="s">
        <v>65</v>
      </c>
      <c r="B9" s="325" t="s">
        <v>126</v>
      </c>
      <c r="C9" s="587"/>
      <c r="D9" s="587"/>
      <c r="E9" s="587"/>
      <c r="F9" s="731"/>
    </row>
    <row r="10" spans="1:6" s="1" customFormat="1" ht="12" customHeight="1" thickBot="1" x14ac:dyDescent="0.25">
      <c r="A10" s="16" t="s">
        <v>66</v>
      </c>
      <c r="B10" s="405" t="s">
        <v>127</v>
      </c>
      <c r="C10" s="587"/>
      <c r="D10" s="587"/>
      <c r="E10" s="587"/>
      <c r="F10" s="731"/>
    </row>
    <row r="11" spans="1:6" s="1" customFormat="1" ht="12" customHeight="1" thickBot="1" x14ac:dyDescent="0.25">
      <c r="A11" s="23" t="s">
        <v>887</v>
      </c>
      <c r="B11" s="24" t="s">
        <v>128</v>
      </c>
      <c r="C11" s="584"/>
      <c r="D11" s="584"/>
      <c r="E11" s="584"/>
      <c r="F11" s="624"/>
    </row>
    <row r="12" spans="1:6" s="1" customFormat="1" ht="12" customHeight="1" x14ac:dyDescent="0.2">
      <c r="A12" s="20" t="s">
        <v>37</v>
      </c>
      <c r="B12" s="12" t="s">
        <v>133</v>
      </c>
      <c r="C12" s="602"/>
      <c r="D12" s="602"/>
      <c r="E12" s="602"/>
      <c r="F12" s="730"/>
    </row>
    <row r="13" spans="1:6" s="1" customFormat="1" ht="12" customHeight="1" x14ac:dyDescent="0.2">
      <c r="A13" s="16" t="s">
        <v>38</v>
      </c>
      <c r="B13" s="9" t="s">
        <v>134</v>
      </c>
      <c r="C13" s="587"/>
      <c r="D13" s="587"/>
      <c r="E13" s="587"/>
      <c r="F13" s="731"/>
    </row>
    <row r="14" spans="1:6" s="1" customFormat="1" ht="12" customHeight="1" x14ac:dyDescent="0.2">
      <c r="A14" s="16" t="s">
        <v>39</v>
      </c>
      <c r="B14" s="9" t="s">
        <v>135</v>
      </c>
      <c r="C14" s="587"/>
      <c r="D14" s="587"/>
      <c r="E14" s="587"/>
      <c r="F14" s="731"/>
    </row>
    <row r="15" spans="1:6" s="1" customFormat="1" ht="12" customHeight="1" x14ac:dyDescent="0.2">
      <c r="A15" s="16" t="s">
        <v>40</v>
      </c>
      <c r="B15" s="9" t="s">
        <v>136</v>
      </c>
      <c r="C15" s="587"/>
      <c r="D15" s="587"/>
      <c r="E15" s="587"/>
      <c r="F15" s="731"/>
    </row>
    <row r="16" spans="1:6" s="1" customFormat="1" ht="12" customHeight="1" x14ac:dyDescent="0.2">
      <c r="A16" s="15" t="s">
        <v>129</v>
      </c>
      <c r="B16" s="8" t="s">
        <v>137</v>
      </c>
      <c r="C16" s="632"/>
      <c r="D16" s="632"/>
      <c r="E16" s="632"/>
      <c r="F16" s="847"/>
    </row>
    <row r="17" spans="1:6" s="1" customFormat="1" ht="12" customHeight="1" x14ac:dyDescent="0.2">
      <c r="A17" s="16" t="s">
        <v>130</v>
      </c>
      <c r="B17" s="9" t="s">
        <v>239</v>
      </c>
      <c r="C17" s="587"/>
      <c r="D17" s="587"/>
      <c r="E17" s="587"/>
      <c r="F17" s="731"/>
    </row>
    <row r="18" spans="1:6" s="1" customFormat="1" ht="12" customHeight="1" x14ac:dyDescent="0.2">
      <c r="A18" s="16" t="s">
        <v>131</v>
      </c>
      <c r="B18" s="9" t="s">
        <v>139</v>
      </c>
      <c r="C18" s="587"/>
      <c r="D18" s="587"/>
      <c r="E18" s="587"/>
      <c r="F18" s="731"/>
    </row>
    <row r="19" spans="1:6" s="1" customFormat="1" ht="12" customHeight="1" thickBot="1" x14ac:dyDescent="0.25">
      <c r="A19" s="17" t="s">
        <v>132</v>
      </c>
      <c r="B19" s="10" t="s">
        <v>140</v>
      </c>
      <c r="C19" s="634"/>
      <c r="D19" s="634"/>
      <c r="E19" s="634"/>
      <c r="F19" s="1015"/>
    </row>
    <row r="20" spans="1:6" s="1" customFormat="1" ht="12" customHeight="1" thickBot="1" x14ac:dyDescent="0.25">
      <c r="A20" s="23" t="s">
        <v>141</v>
      </c>
      <c r="B20" s="24" t="s">
        <v>240</v>
      </c>
      <c r="C20" s="636"/>
      <c r="D20" s="636"/>
      <c r="E20" s="636"/>
      <c r="F20" s="1016"/>
    </row>
    <row r="21" spans="1:6" s="1" customFormat="1" ht="12" customHeight="1" thickBot="1" x14ac:dyDescent="0.25">
      <c r="A21" s="23" t="s">
        <v>889</v>
      </c>
      <c r="B21" s="24" t="s">
        <v>143</v>
      </c>
      <c r="C21" s="584"/>
      <c r="D21" s="584"/>
      <c r="E21" s="584"/>
      <c r="F21" s="624"/>
    </row>
    <row r="22" spans="1:6" s="1" customFormat="1" ht="12" customHeight="1" x14ac:dyDescent="0.2">
      <c r="A22" s="18" t="s">
        <v>41</v>
      </c>
      <c r="B22" s="11" t="s">
        <v>819</v>
      </c>
      <c r="C22" s="609"/>
      <c r="D22" s="609"/>
      <c r="E22" s="609"/>
      <c r="F22" s="848"/>
    </row>
    <row r="23" spans="1:6" s="1" customFormat="1" ht="12" customHeight="1" x14ac:dyDescent="0.2">
      <c r="A23" s="16" t="s">
        <v>42</v>
      </c>
      <c r="B23" s="9" t="s">
        <v>149</v>
      </c>
      <c r="C23" s="587"/>
      <c r="D23" s="587"/>
      <c r="E23" s="587"/>
      <c r="F23" s="731"/>
    </row>
    <row r="24" spans="1:6" s="1" customFormat="1" ht="12" customHeight="1" x14ac:dyDescent="0.2">
      <c r="A24" s="16" t="s">
        <v>43</v>
      </c>
      <c r="B24" s="9" t="s">
        <v>46</v>
      </c>
      <c r="C24" s="587"/>
      <c r="D24" s="587"/>
      <c r="E24" s="587"/>
      <c r="F24" s="731"/>
    </row>
    <row r="25" spans="1:6" s="1" customFormat="1" ht="12" customHeight="1" x14ac:dyDescent="0.2">
      <c r="A25" s="19" t="s">
        <v>144</v>
      </c>
      <c r="B25" s="9" t="s">
        <v>150</v>
      </c>
      <c r="C25" s="605"/>
      <c r="D25" s="605"/>
      <c r="E25" s="605"/>
      <c r="F25" s="846"/>
    </row>
    <row r="26" spans="1:6" s="1" customFormat="1" ht="12" customHeight="1" x14ac:dyDescent="0.2">
      <c r="A26" s="19" t="s">
        <v>145</v>
      </c>
      <c r="B26" s="9" t="s">
        <v>151</v>
      </c>
      <c r="C26" s="605"/>
      <c r="D26" s="605"/>
      <c r="E26" s="605"/>
      <c r="F26" s="846"/>
    </row>
    <row r="27" spans="1:6" s="1" customFormat="1" ht="12" customHeight="1" x14ac:dyDescent="0.2">
      <c r="A27" s="16" t="s">
        <v>146</v>
      </c>
      <c r="B27" s="9" t="s">
        <v>152</v>
      </c>
      <c r="C27" s="587"/>
      <c r="D27" s="587"/>
      <c r="E27" s="587"/>
      <c r="F27" s="731"/>
    </row>
    <row r="28" spans="1:6" s="1" customFormat="1" ht="12" customHeight="1" x14ac:dyDescent="0.2">
      <c r="A28" s="16" t="s">
        <v>147</v>
      </c>
      <c r="B28" s="9" t="s">
        <v>241</v>
      </c>
      <c r="C28" s="638"/>
      <c r="D28" s="638"/>
      <c r="E28" s="638"/>
      <c r="F28" s="1017"/>
    </row>
    <row r="29" spans="1:6" s="1" customFormat="1" ht="12" customHeight="1" thickBot="1" x14ac:dyDescent="0.25">
      <c r="A29" s="16" t="s">
        <v>148</v>
      </c>
      <c r="B29" s="14" t="s">
        <v>153</v>
      </c>
      <c r="C29" s="638"/>
      <c r="D29" s="638"/>
      <c r="E29" s="638"/>
      <c r="F29" s="1017"/>
    </row>
    <row r="30" spans="1:6" s="1" customFormat="1" ht="12" customHeight="1" thickBot="1" x14ac:dyDescent="0.25">
      <c r="A30" s="304" t="s">
        <v>890</v>
      </c>
      <c r="B30" s="24" t="s">
        <v>375</v>
      </c>
      <c r="C30" s="584"/>
      <c r="D30" s="584"/>
      <c r="E30" s="584"/>
      <c r="F30" s="624"/>
    </row>
    <row r="31" spans="1:6" s="1" customFormat="1" ht="12" customHeight="1" x14ac:dyDescent="0.2">
      <c r="A31" s="305" t="s">
        <v>44</v>
      </c>
      <c r="B31" s="406" t="s">
        <v>376</v>
      </c>
      <c r="C31" s="591"/>
      <c r="D31" s="591"/>
      <c r="E31" s="591"/>
      <c r="F31" s="1018"/>
    </row>
    <row r="32" spans="1:6" s="1" customFormat="1" ht="12" customHeight="1" x14ac:dyDescent="0.2">
      <c r="A32" s="306" t="s">
        <v>47</v>
      </c>
      <c r="B32" s="312" t="s">
        <v>242</v>
      </c>
      <c r="C32" s="638"/>
      <c r="D32" s="638"/>
      <c r="E32" s="638"/>
      <c r="F32" s="1017"/>
    </row>
    <row r="33" spans="1:6" s="1" customFormat="1" ht="12" customHeight="1" x14ac:dyDescent="0.2">
      <c r="A33" s="306" t="s">
        <v>48</v>
      </c>
      <c r="B33" s="312" t="s">
        <v>243</v>
      </c>
      <c r="C33" s="638"/>
      <c r="D33" s="638"/>
      <c r="E33" s="638"/>
      <c r="F33" s="1017"/>
    </row>
    <row r="34" spans="1:6" s="1" customFormat="1" ht="12" customHeight="1" x14ac:dyDescent="0.2">
      <c r="A34" s="306" t="s">
        <v>49</v>
      </c>
      <c r="B34" s="312" t="s">
        <v>244</v>
      </c>
      <c r="C34" s="638"/>
      <c r="D34" s="638"/>
      <c r="E34" s="638"/>
      <c r="F34" s="1017"/>
    </row>
    <row r="35" spans="1:6" s="1" customFormat="1" ht="12" customHeight="1" x14ac:dyDescent="0.2">
      <c r="A35" s="306" t="s">
        <v>50</v>
      </c>
      <c r="B35" s="312" t="s">
        <v>245</v>
      </c>
      <c r="C35" s="638"/>
      <c r="D35" s="638"/>
      <c r="E35" s="638"/>
      <c r="F35" s="1017"/>
    </row>
    <row r="36" spans="1:6" s="1" customFormat="1" ht="12" customHeight="1" x14ac:dyDescent="0.2">
      <c r="A36" s="306" t="s">
        <v>154</v>
      </c>
      <c r="B36" s="312" t="s">
        <v>377</v>
      </c>
      <c r="C36" s="638"/>
      <c r="D36" s="638"/>
      <c r="E36" s="638"/>
      <c r="F36" s="1017"/>
    </row>
    <row r="37" spans="1:6" s="1" customFormat="1" ht="12" customHeight="1" x14ac:dyDescent="0.2">
      <c r="A37" s="306" t="s">
        <v>45</v>
      </c>
      <c r="B37" s="313" t="s">
        <v>378</v>
      </c>
      <c r="C37" s="593"/>
      <c r="D37" s="593"/>
      <c r="E37" s="593"/>
      <c r="F37" s="1019"/>
    </row>
    <row r="38" spans="1:6" s="1" customFormat="1" ht="12" customHeight="1" x14ac:dyDescent="0.2">
      <c r="A38" s="306" t="s">
        <v>53</v>
      </c>
      <c r="B38" s="312" t="s">
        <v>242</v>
      </c>
      <c r="C38" s="638"/>
      <c r="D38" s="638"/>
      <c r="E38" s="638"/>
      <c r="F38" s="1017"/>
    </row>
    <row r="39" spans="1:6" s="1" customFormat="1" ht="12" customHeight="1" x14ac:dyDescent="0.2">
      <c r="A39" s="306" t="s">
        <v>54</v>
      </c>
      <c r="B39" s="312" t="s">
        <v>243</v>
      </c>
      <c r="C39" s="638"/>
      <c r="D39" s="638"/>
      <c r="E39" s="638"/>
      <c r="F39" s="1017"/>
    </row>
    <row r="40" spans="1:6" s="1" customFormat="1" ht="12" customHeight="1" x14ac:dyDescent="0.2">
      <c r="A40" s="306" t="s">
        <v>55</v>
      </c>
      <c r="B40" s="312" t="s">
        <v>244</v>
      </c>
      <c r="C40" s="638"/>
      <c r="D40" s="638"/>
      <c r="E40" s="638"/>
      <c r="F40" s="1017"/>
    </row>
    <row r="41" spans="1:6" s="1" customFormat="1" ht="12" customHeight="1" x14ac:dyDescent="0.2">
      <c r="A41" s="306" t="s">
        <v>56</v>
      </c>
      <c r="B41" s="314" t="s">
        <v>245</v>
      </c>
      <c r="C41" s="638"/>
      <c r="D41" s="638"/>
      <c r="E41" s="638"/>
      <c r="F41" s="1017"/>
    </row>
    <row r="42" spans="1:6" s="1" customFormat="1" ht="12" customHeight="1" thickBot="1" x14ac:dyDescent="0.25">
      <c r="A42" s="307" t="s">
        <v>155</v>
      </c>
      <c r="B42" s="315" t="s">
        <v>379</v>
      </c>
      <c r="C42" s="641"/>
      <c r="D42" s="641"/>
      <c r="E42" s="641"/>
      <c r="F42" s="1020"/>
    </row>
    <row r="43" spans="1:6" s="1" customFormat="1" ht="12" customHeight="1" thickBot="1" x14ac:dyDescent="0.25">
      <c r="A43" s="23" t="s">
        <v>156</v>
      </c>
      <c r="B43" s="407" t="s">
        <v>246</v>
      </c>
      <c r="C43" s="584"/>
      <c r="D43" s="584"/>
      <c r="E43" s="584"/>
      <c r="F43" s="624"/>
    </row>
    <row r="44" spans="1:6" s="1" customFormat="1" ht="12" customHeight="1" x14ac:dyDescent="0.2">
      <c r="A44" s="18" t="s">
        <v>51</v>
      </c>
      <c r="B44" s="325" t="s">
        <v>247</v>
      </c>
      <c r="C44" s="609"/>
      <c r="D44" s="609"/>
      <c r="E44" s="609"/>
      <c r="F44" s="848"/>
    </row>
    <row r="45" spans="1:6" s="1" customFormat="1" ht="12" customHeight="1" thickBot="1" x14ac:dyDescent="0.25">
      <c r="A45" s="15" t="s">
        <v>52</v>
      </c>
      <c r="B45" s="320" t="s">
        <v>251</v>
      </c>
      <c r="C45" s="632"/>
      <c r="D45" s="632"/>
      <c r="E45" s="632"/>
      <c r="F45" s="847"/>
    </row>
    <row r="46" spans="1:6" s="1" customFormat="1" ht="12" customHeight="1" thickBot="1" x14ac:dyDescent="0.25">
      <c r="A46" s="23" t="s">
        <v>892</v>
      </c>
      <c r="B46" s="407" t="s">
        <v>250</v>
      </c>
      <c r="C46" s="584"/>
      <c r="D46" s="584"/>
      <c r="E46" s="584"/>
      <c r="F46" s="624"/>
    </row>
    <row r="47" spans="1:6" s="1" customFormat="1" ht="12" customHeight="1" x14ac:dyDescent="0.2">
      <c r="A47" s="18" t="s">
        <v>159</v>
      </c>
      <c r="B47" s="325" t="s">
        <v>157</v>
      </c>
      <c r="C47" s="645"/>
      <c r="D47" s="645"/>
      <c r="E47" s="645"/>
      <c r="F47" s="1021"/>
    </row>
    <row r="48" spans="1:6" s="1" customFormat="1" ht="12" customHeight="1" x14ac:dyDescent="0.2">
      <c r="A48" s="16" t="s">
        <v>160</v>
      </c>
      <c r="B48" s="312" t="s">
        <v>943</v>
      </c>
      <c r="C48" s="638"/>
      <c r="D48" s="638"/>
      <c r="E48" s="638"/>
      <c r="F48" s="1017"/>
    </row>
    <row r="49" spans="1:6" s="1" customFormat="1" ht="12" customHeight="1" thickBot="1" x14ac:dyDescent="0.25">
      <c r="A49" s="15" t="s">
        <v>308</v>
      </c>
      <c r="B49" s="320" t="s">
        <v>248</v>
      </c>
      <c r="C49" s="647"/>
      <c r="D49" s="647"/>
      <c r="E49" s="647"/>
      <c r="F49" s="1022"/>
    </row>
    <row r="50" spans="1:6" s="1" customFormat="1" ht="17.25" customHeight="1" thickBot="1" x14ac:dyDescent="0.25">
      <c r="A50" s="23" t="s">
        <v>161</v>
      </c>
      <c r="B50" s="408" t="s">
        <v>249</v>
      </c>
      <c r="C50" s="612"/>
      <c r="D50" s="612"/>
      <c r="E50" s="612"/>
      <c r="F50" s="718"/>
    </row>
    <row r="51" spans="1:6" s="1" customFormat="1" ht="12" customHeight="1" thickBot="1" x14ac:dyDescent="0.25">
      <c r="A51" s="23" t="s">
        <v>894</v>
      </c>
      <c r="B51" s="27" t="s">
        <v>162</v>
      </c>
      <c r="C51" s="595">
        <f>+C6+C11+C20+C21+C30+C43+C46+C50</f>
        <v>3372</v>
      </c>
      <c r="D51" s="595">
        <f>+D6+D11+D20+D21+D30+D43+D46+D50</f>
        <v>3222</v>
      </c>
      <c r="E51" s="595">
        <v>1595</v>
      </c>
      <c r="F51" s="1179">
        <f>E51/D51</f>
        <v>0.49503414028553694</v>
      </c>
    </row>
    <row r="52" spans="1:6" s="1" customFormat="1" ht="12" customHeight="1" thickBot="1" x14ac:dyDescent="0.25">
      <c r="A52" s="316" t="s">
        <v>895</v>
      </c>
      <c r="B52" s="311" t="s">
        <v>252</v>
      </c>
      <c r="C52" s="597"/>
      <c r="D52" s="597"/>
      <c r="E52" s="597"/>
      <c r="F52" s="1023"/>
    </row>
    <row r="53" spans="1:6" s="1" customFormat="1" ht="12" customHeight="1" x14ac:dyDescent="0.2">
      <c r="A53" s="409" t="s">
        <v>92</v>
      </c>
      <c r="B53" s="406" t="s">
        <v>253</v>
      </c>
      <c r="C53" s="591"/>
      <c r="D53" s="591"/>
      <c r="E53" s="591"/>
      <c r="F53" s="1018"/>
    </row>
    <row r="54" spans="1:6" s="1" customFormat="1" ht="12" customHeight="1" x14ac:dyDescent="0.2">
      <c r="A54" s="317" t="s">
        <v>268</v>
      </c>
      <c r="B54" s="312" t="s">
        <v>254</v>
      </c>
      <c r="C54" s="638"/>
      <c r="D54" s="638"/>
      <c r="E54" s="638"/>
      <c r="F54" s="1017"/>
    </row>
    <row r="55" spans="1:6" s="1" customFormat="1" ht="12" customHeight="1" x14ac:dyDescent="0.2">
      <c r="A55" s="317" t="s">
        <v>269</v>
      </c>
      <c r="B55" s="312" t="s">
        <v>255</v>
      </c>
      <c r="C55" s="638"/>
      <c r="D55" s="638"/>
      <c r="E55" s="638"/>
      <c r="F55" s="1017"/>
    </row>
    <row r="56" spans="1:6" s="1" customFormat="1" ht="12" customHeight="1" x14ac:dyDescent="0.2">
      <c r="A56" s="317" t="s">
        <v>270</v>
      </c>
      <c r="B56" s="312" t="s">
        <v>256</v>
      </c>
      <c r="C56" s="638"/>
      <c r="D56" s="638"/>
      <c r="E56" s="638"/>
      <c r="F56" s="1017"/>
    </row>
    <row r="57" spans="1:6" s="1" customFormat="1" ht="12" customHeight="1" x14ac:dyDescent="0.2">
      <c r="A57" s="317" t="s">
        <v>271</v>
      </c>
      <c r="B57" s="312" t="s">
        <v>257</v>
      </c>
      <c r="C57" s="638"/>
      <c r="D57" s="638"/>
      <c r="E57" s="638"/>
      <c r="F57" s="1017"/>
    </row>
    <row r="58" spans="1:6" s="1" customFormat="1" ht="12" customHeight="1" x14ac:dyDescent="0.2">
      <c r="A58" s="317" t="s">
        <v>272</v>
      </c>
      <c r="B58" s="312" t="s">
        <v>258</v>
      </c>
      <c r="C58" s="638"/>
      <c r="D58" s="638"/>
      <c r="E58" s="638"/>
      <c r="F58" s="1017"/>
    </row>
    <row r="59" spans="1:6" s="1" customFormat="1" ht="12" customHeight="1" x14ac:dyDescent="0.2">
      <c r="A59" s="318" t="s">
        <v>93</v>
      </c>
      <c r="B59" s="313" t="s">
        <v>259</v>
      </c>
      <c r="C59" s="593"/>
      <c r="D59" s="593"/>
      <c r="E59" s="593"/>
      <c r="F59" s="1019"/>
    </row>
    <row r="60" spans="1:6" s="1" customFormat="1" ht="12" customHeight="1" x14ac:dyDescent="0.2">
      <c r="A60" s="317" t="s">
        <v>273</v>
      </c>
      <c r="B60" s="312" t="s">
        <v>260</v>
      </c>
      <c r="C60" s="638"/>
      <c r="D60" s="638"/>
      <c r="E60" s="638"/>
      <c r="F60" s="1017"/>
    </row>
    <row r="61" spans="1:6" s="1" customFormat="1" ht="12" customHeight="1" x14ac:dyDescent="0.2">
      <c r="A61" s="317" t="s">
        <v>274</v>
      </c>
      <c r="B61" s="312" t="s">
        <v>261</v>
      </c>
      <c r="C61" s="638"/>
      <c r="D61" s="638"/>
      <c r="E61" s="638"/>
      <c r="F61" s="1017"/>
    </row>
    <row r="62" spans="1:6" s="1" customFormat="1" ht="12" customHeight="1" x14ac:dyDescent="0.2">
      <c r="A62" s="317" t="s">
        <v>275</v>
      </c>
      <c r="B62" s="312" t="s">
        <v>262</v>
      </c>
      <c r="C62" s="638"/>
      <c r="D62" s="638"/>
      <c r="E62" s="638"/>
      <c r="F62" s="1017"/>
    </row>
    <row r="63" spans="1:6" s="1" customFormat="1" ht="12" customHeight="1" x14ac:dyDescent="0.2">
      <c r="A63" s="317" t="s">
        <v>276</v>
      </c>
      <c r="B63" s="312" t="s">
        <v>263</v>
      </c>
      <c r="C63" s="638"/>
      <c r="D63" s="638"/>
      <c r="E63" s="638"/>
      <c r="F63" s="1017"/>
    </row>
    <row r="64" spans="1:6" s="1" customFormat="1" ht="12" customHeight="1" thickBot="1" x14ac:dyDescent="0.25">
      <c r="A64" s="319" t="s">
        <v>277</v>
      </c>
      <c r="B64" s="320" t="s">
        <v>264</v>
      </c>
      <c r="C64" s="650"/>
      <c r="D64" s="650"/>
      <c r="E64" s="650"/>
      <c r="F64" s="1024"/>
    </row>
    <row r="65" spans="1:6" s="1" customFormat="1" ht="12" customHeight="1" thickBot="1" x14ac:dyDescent="0.25">
      <c r="A65" s="321" t="s">
        <v>896</v>
      </c>
      <c r="B65" s="410" t="s">
        <v>265</v>
      </c>
      <c r="C65" s="597">
        <f>+C51+C52</f>
        <v>3372</v>
      </c>
      <c r="D65" s="597">
        <f>+D51+D52</f>
        <v>3222</v>
      </c>
      <c r="E65" s="597">
        <v>1595</v>
      </c>
      <c r="F65" s="1180">
        <f>E65/D65</f>
        <v>0.49503414028553694</v>
      </c>
    </row>
    <row r="66" spans="1:6" s="1" customFormat="1" ht="13.5" customHeight="1" thickBot="1" x14ac:dyDescent="0.25">
      <c r="A66" s="322" t="s">
        <v>897</v>
      </c>
      <c r="B66" s="411" t="s">
        <v>266</v>
      </c>
      <c r="C66" s="652"/>
      <c r="D66" s="652"/>
      <c r="E66" s="652"/>
      <c r="F66" s="1263"/>
    </row>
    <row r="67" spans="1:6" s="1" customFormat="1" ht="12" customHeight="1" thickBot="1" x14ac:dyDescent="0.25">
      <c r="A67" s="321" t="s">
        <v>898</v>
      </c>
      <c r="B67" s="410" t="s">
        <v>267</v>
      </c>
      <c r="C67" s="597">
        <f>+C65+C66</f>
        <v>3372</v>
      </c>
      <c r="D67" s="597">
        <f>+D65+D66</f>
        <v>3222</v>
      </c>
      <c r="E67" s="597">
        <v>1595</v>
      </c>
      <c r="F67" s="1180">
        <f>E67/D67</f>
        <v>0.49503414028553694</v>
      </c>
    </row>
    <row r="68" spans="1:6" s="1" customFormat="1" ht="12.95" customHeight="1" x14ac:dyDescent="0.2">
      <c r="A68" s="6"/>
      <c r="B68" s="7"/>
      <c r="C68" s="600"/>
    </row>
    <row r="69" spans="1:6" ht="16.5" customHeight="1" x14ac:dyDescent="0.25">
      <c r="A69" s="1276" t="s">
        <v>914</v>
      </c>
      <c r="B69" s="1276"/>
      <c r="C69" s="1276"/>
      <c r="D69" s="1276"/>
      <c r="E69" s="1276"/>
      <c r="F69" s="1276"/>
    </row>
    <row r="70" spans="1:6" s="334" customFormat="1" ht="16.5" customHeight="1" thickBot="1" x14ac:dyDescent="0.3">
      <c r="A70" s="1275" t="s">
        <v>100</v>
      </c>
      <c r="B70" s="1275"/>
      <c r="C70" s="332"/>
    </row>
    <row r="71" spans="1:6" ht="38.1" customHeight="1" thickBot="1" x14ac:dyDescent="0.3">
      <c r="A71" s="28" t="s">
        <v>883</v>
      </c>
      <c r="B71" s="29" t="s">
        <v>915</v>
      </c>
      <c r="C71" s="580" t="s">
        <v>1185</v>
      </c>
      <c r="D71" s="580" t="s">
        <v>1165</v>
      </c>
      <c r="E71" s="1154" t="s">
        <v>1208</v>
      </c>
      <c r="F71" s="1073" t="s">
        <v>1209</v>
      </c>
    </row>
    <row r="72" spans="1:6" s="44" customFormat="1" ht="12" customHeight="1" thickBot="1" x14ac:dyDescent="0.25">
      <c r="A72" s="38">
        <v>1</v>
      </c>
      <c r="B72" s="39">
        <v>2</v>
      </c>
      <c r="C72" s="580">
        <v>3</v>
      </c>
      <c r="D72" s="580">
        <v>4</v>
      </c>
      <c r="E72" s="580">
        <v>5</v>
      </c>
      <c r="F72" s="845">
        <v>6</v>
      </c>
    </row>
    <row r="73" spans="1:6" ht="12" customHeight="1" thickBot="1" x14ac:dyDescent="0.3">
      <c r="A73" s="25" t="s">
        <v>885</v>
      </c>
      <c r="B73" s="36" t="s">
        <v>163</v>
      </c>
      <c r="C73" s="584">
        <f>+C74+C75+C76+C77+C78</f>
        <v>3372</v>
      </c>
      <c r="D73" s="584">
        <f>+D74+D75+D76+D77+D78</f>
        <v>3222</v>
      </c>
      <c r="E73" s="584">
        <f>+E74+E75+E76+E77+E78</f>
        <v>1595</v>
      </c>
      <c r="F73" s="1175">
        <f>E73/D73</f>
        <v>0.49503414028553694</v>
      </c>
    </row>
    <row r="74" spans="1:6" ht="12" customHeight="1" x14ac:dyDescent="0.25">
      <c r="A74" s="20" t="s">
        <v>57</v>
      </c>
      <c r="B74" s="12" t="s">
        <v>916</v>
      </c>
      <c r="C74" s="602"/>
      <c r="D74" s="602"/>
      <c r="E74" s="602"/>
      <c r="F74" s="730"/>
    </row>
    <row r="75" spans="1:6" ht="12" customHeight="1" x14ac:dyDescent="0.25">
      <c r="A75" s="16" t="s">
        <v>58</v>
      </c>
      <c r="B75" s="9" t="s">
        <v>164</v>
      </c>
      <c r="C75" s="605"/>
      <c r="D75" s="605"/>
      <c r="E75" s="605"/>
      <c r="F75" s="846"/>
    </row>
    <row r="76" spans="1:6" ht="12" customHeight="1" x14ac:dyDescent="0.25">
      <c r="A76" s="16" t="s">
        <v>59</v>
      </c>
      <c r="B76" s="9" t="s">
        <v>88</v>
      </c>
      <c r="C76" s="587">
        <f>960+1345+67</f>
        <v>2372</v>
      </c>
      <c r="D76" s="587">
        <v>2372</v>
      </c>
      <c r="E76" s="1262">
        <v>945</v>
      </c>
      <c r="F76" s="1096">
        <f>E76/D76</f>
        <v>0.39839797639123103</v>
      </c>
    </row>
    <row r="77" spans="1:6" ht="12" customHeight="1" x14ac:dyDescent="0.25">
      <c r="A77" s="16" t="s">
        <v>60</v>
      </c>
      <c r="B77" s="13" t="s">
        <v>165</v>
      </c>
      <c r="C77" s="587"/>
      <c r="D77" s="587"/>
      <c r="E77" s="587"/>
      <c r="F77" s="731"/>
    </row>
    <row r="78" spans="1:6" ht="12" customHeight="1" x14ac:dyDescent="0.25">
      <c r="A78" s="16" t="s">
        <v>71</v>
      </c>
      <c r="B78" s="22" t="s">
        <v>166</v>
      </c>
      <c r="C78" s="605">
        <v>1000</v>
      </c>
      <c r="D78" s="605">
        <f>SUM(D79:D85)</f>
        <v>850</v>
      </c>
      <c r="E78" s="605">
        <f>SUM(E79:E85)</f>
        <v>650</v>
      </c>
      <c r="F78" s="1139">
        <f>E78/D78</f>
        <v>0.76470588235294112</v>
      </c>
    </row>
    <row r="79" spans="1:6" ht="12" customHeight="1" x14ac:dyDescent="0.25">
      <c r="A79" s="16" t="s">
        <v>61</v>
      </c>
      <c r="B79" s="9" t="s">
        <v>188</v>
      </c>
      <c r="C79" s="605"/>
      <c r="D79" s="605"/>
      <c r="E79" s="605"/>
      <c r="F79" s="846"/>
    </row>
    <row r="80" spans="1:6" ht="12" customHeight="1" x14ac:dyDescent="0.25">
      <c r="A80" s="16" t="s">
        <v>62</v>
      </c>
      <c r="B80" s="144" t="s">
        <v>189</v>
      </c>
      <c r="C80" s="605"/>
      <c r="D80" s="605"/>
      <c r="E80" s="605"/>
      <c r="F80" s="846"/>
    </row>
    <row r="81" spans="1:6" ht="12" customHeight="1" x14ac:dyDescent="0.25">
      <c r="A81" s="16" t="s">
        <v>72</v>
      </c>
      <c r="B81" s="144" t="s">
        <v>278</v>
      </c>
      <c r="C81" s="605"/>
      <c r="D81" s="605"/>
      <c r="E81" s="605"/>
      <c r="F81" s="846"/>
    </row>
    <row r="82" spans="1:6" ht="12" customHeight="1" x14ac:dyDescent="0.25">
      <c r="A82" s="16" t="s">
        <v>73</v>
      </c>
      <c r="B82" s="145" t="s">
        <v>190</v>
      </c>
      <c r="C82" s="605">
        <v>1000</v>
      </c>
      <c r="D82" s="605">
        <f>1000-150</f>
        <v>850</v>
      </c>
      <c r="E82" s="605">
        <f>'8. sz. mell'!F75</f>
        <v>650</v>
      </c>
      <c r="F82" s="1139">
        <f>E82/D82</f>
        <v>0.76470588235294112</v>
      </c>
    </row>
    <row r="83" spans="1:6" ht="12" customHeight="1" x14ac:dyDescent="0.25">
      <c r="A83" s="15" t="s">
        <v>74</v>
      </c>
      <c r="B83" s="146" t="s">
        <v>191</v>
      </c>
      <c r="C83" s="605"/>
      <c r="D83" s="605"/>
      <c r="E83" s="605"/>
      <c r="F83" s="846"/>
    </row>
    <row r="84" spans="1:6" ht="12" customHeight="1" x14ac:dyDescent="0.25">
      <c r="A84" s="16" t="s">
        <v>75</v>
      </c>
      <c r="B84" s="146" t="s">
        <v>192</v>
      </c>
      <c r="C84" s="605"/>
      <c r="D84" s="605"/>
      <c r="E84" s="605"/>
      <c r="F84" s="846"/>
    </row>
    <row r="85" spans="1:6" ht="12" customHeight="1" thickBot="1" x14ac:dyDescent="0.3">
      <c r="A85" s="21" t="s">
        <v>77</v>
      </c>
      <c r="B85" s="147" t="s">
        <v>193</v>
      </c>
      <c r="C85" s="607"/>
      <c r="D85" s="607"/>
      <c r="E85" s="607"/>
      <c r="F85" s="1165"/>
    </row>
    <row r="86" spans="1:6" ht="12" customHeight="1" thickBot="1" x14ac:dyDescent="0.3">
      <c r="A86" s="23" t="s">
        <v>886</v>
      </c>
      <c r="B86" s="35" t="s">
        <v>309</v>
      </c>
      <c r="C86" s="584"/>
      <c r="D86" s="584"/>
      <c r="E86" s="584"/>
      <c r="F86" s="624"/>
    </row>
    <row r="87" spans="1:6" ht="12" customHeight="1" x14ac:dyDescent="0.25">
      <c r="A87" s="18" t="s">
        <v>63</v>
      </c>
      <c r="B87" s="9" t="s">
        <v>279</v>
      </c>
      <c r="C87" s="609"/>
      <c r="D87" s="609"/>
      <c r="E87" s="609"/>
      <c r="F87" s="848"/>
    </row>
    <row r="88" spans="1:6" ht="12" customHeight="1" x14ac:dyDescent="0.25">
      <c r="A88" s="18" t="s">
        <v>64</v>
      </c>
      <c r="B88" s="14" t="s">
        <v>168</v>
      </c>
      <c r="C88" s="587"/>
      <c r="D88" s="587"/>
      <c r="E88" s="587"/>
      <c r="F88" s="731"/>
    </row>
    <row r="89" spans="1:6" ht="12" customHeight="1" x14ac:dyDescent="0.25">
      <c r="A89" s="18" t="s">
        <v>65</v>
      </c>
      <c r="B89" s="312" t="s">
        <v>310</v>
      </c>
      <c r="C89" s="587"/>
      <c r="D89" s="587"/>
      <c r="E89" s="587"/>
      <c r="F89" s="731"/>
    </row>
    <row r="90" spans="1:6" ht="12" customHeight="1" x14ac:dyDescent="0.25">
      <c r="A90" s="18" t="s">
        <v>66</v>
      </c>
      <c r="B90" s="312" t="s">
        <v>380</v>
      </c>
      <c r="C90" s="587"/>
      <c r="D90" s="587"/>
      <c r="E90" s="587"/>
      <c r="F90" s="731"/>
    </row>
    <row r="91" spans="1:6" ht="12" customHeight="1" x14ac:dyDescent="0.25">
      <c r="A91" s="18" t="s">
        <v>67</v>
      </c>
      <c r="B91" s="312" t="s">
        <v>311</v>
      </c>
      <c r="C91" s="587"/>
      <c r="D91" s="587"/>
      <c r="E91" s="587"/>
      <c r="F91" s="731"/>
    </row>
    <row r="92" spans="1:6" x14ac:dyDescent="0.25">
      <c r="A92" s="18" t="s">
        <v>76</v>
      </c>
      <c r="B92" s="312" t="s">
        <v>312</v>
      </c>
      <c r="C92" s="587"/>
      <c r="D92" s="587"/>
      <c r="E92" s="587"/>
      <c r="F92" s="731"/>
    </row>
    <row r="93" spans="1:6" ht="12" customHeight="1" x14ac:dyDescent="0.25">
      <c r="A93" s="18" t="s">
        <v>78</v>
      </c>
      <c r="B93" s="412" t="s">
        <v>283</v>
      </c>
      <c r="C93" s="587"/>
      <c r="D93" s="587"/>
      <c r="E93" s="587"/>
      <c r="F93" s="731"/>
    </row>
    <row r="94" spans="1:6" ht="12" customHeight="1" x14ac:dyDescent="0.25">
      <c r="A94" s="18" t="s">
        <v>169</v>
      </c>
      <c r="B94" s="412" t="s">
        <v>284</v>
      </c>
      <c r="C94" s="587"/>
      <c r="D94" s="587"/>
      <c r="E94" s="587"/>
      <c r="F94" s="731"/>
    </row>
    <row r="95" spans="1:6" ht="12" customHeight="1" x14ac:dyDescent="0.25">
      <c r="A95" s="18" t="s">
        <v>170</v>
      </c>
      <c r="B95" s="412" t="s">
        <v>282</v>
      </c>
      <c r="C95" s="587"/>
      <c r="D95" s="587"/>
      <c r="E95" s="587"/>
      <c r="F95" s="731"/>
    </row>
    <row r="96" spans="1:6" ht="24" customHeight="1" thickBot="1" x14ac:dyDescent="0.3">
      <c r="A96" s="15" t="s">
        <v>171</v>
      </c>
      <c r="B96" s="413" t="s">
        <v>281</v>
      </c>
      <c r="C96" s="605"/>
      <c r="D96" s="605"/>
      <c r="E96" s="605"/>
      <c r="F96" s="846"/>
    </row>
    <row r="97" spans="1:6" ht="12" customHeight="1" thickBot="1" x14ac:dyDescent="0.3">
      <c r="A97" s="23" t="s">
        <v>887</v>
      </c>
      <c r="B97" s="126" t="s">
        <v>313</v>
      </c>
      <c r="C97" s="584"/>
      <c r="D97" s="584"/>
      <c r="E97" s="584"/>
      <c r="F97" s="624"/>
    </row>
    <row r="98" spans="1:6" ht="12" customHeight="1" x14ac:dyDescent="0.25">
      <c r="A98" s="18" t="s">
        <v>37</v>
      </c>
      <c r="B98" s="11" t="s">
        <v>3</v>
      </c>
      <c r="C98" s="609"/>
      <c r="D98" s="609"/>
      <c r="E98" s="609"/>
      <c r="F98" s="848"/>
    </row>
    <row r="99" spans="1:6" ht="12" customHeight="1" thickBot="1" x14ac:dyDescent="0.3">
      <c r="A99" s="19" t="s">
        <v>38</v>
      </c>
      <c r="B99" s="14" t="s">
        <v>4</v>
      </c>
      <c r="C99" s="605"/>
      <c r="D99" s="605"/>
      <c r="E99" s="605"/>
      <c r="F99" s="846"/>
    </row>
    <row r="100" spans="1:6" s="310" customFormat="1" ht="12" customHeight="1" thickBot="1" x14ac:dyDescent="0.25">
      <c r="A100" s="316" t="s">
        <v>888</v>
      </c>
      <c r="B100" s="311" t="s">
        <v>285</v>
      </c>
      <c r="C100" s="612"/>
      <c r="D100" s="612"/>
      <c r="E100" s="612"/>
      <c r="F100" s="718"/>
    </row>
    <row r="101" spans="1:6" ht="12" customHeight="1" thickBot="1" x14ac:dyDescent="0.3">
      <c r="A101" s="308" t="s">
        <v>889</v>
      </c>
      <c r="B101" s="309" t="s">
        <v>105</v>
      </c>
      <c r="C101" s="584">
        <f>+C73+C86+C97+C100</f>
        <v>3372</v>
      </c>
      <c r="D101" s="584">
        <f>+D73+D86+D97+D100</f>
        <v>3222</v>
      </c>
      <c r="E101" s="584">
        <f>+E73+E86+E97+E100</f>
        <v>1595</v>
      </c>
      <c r="F101" s="584"/>
    </row>
    <row r="102" spans="1:6" ht="12" customHeight="1" thickBot="1" x14ac:dyDescent="0.3">
      <c r="A102" s="316" t="s">
        <v>890</v>
      </c>
      <c r="B102" s="311" t="s">
        <v>381</v>
      </c>
      <c r="C102" s="584"/>
      <c r="D102" s="584"/>
      <c r="E102" s="584"/>
      <c r="F102" s="624"/>
    </row>
    <row r="103" spans="1:6" ht="12" customHeight="1" thickBot="1" x14ac:dyDescent="0.3">
      <c r="A103" s="323" t="s">
        <v>44</v>
      </c>
      <c r="B103" s="414" t="s">
        <v>386</v>
      </c>
      <c r="C103" s="584"/>
      <c r="D103" s="584"/>
      <c r="E103" s="584"/>
      <c r="F103" s="624"/>
    </row>
    <row r="104" spans="1:6" ht="12" customHeight="1" x14ac:dyDescent="0.25">
      <c r="A104" s="324" t="s">
        <v>47</v>
      </c>
      <c r="B104" s="325" t="s">
        <v>286</v>
      </c>
      <c r="C104" s="614"/>
      <c r="D104" s="614"/>
      <c r="E104" s="614"/>
      <c r="F104" s="1166"/>
    </row>
    <row r="105" spans="1:6" ht="12" customHeight="1" x14ac:dyDescent="0.25">
      <c r="A105" s="317" t="s">
        <v>48</v>
      </c>
      <c r="B105" s="312" t="s">
        <v>287</v>
      </c>
      <c r="C105" s="616"/>
      <c r="D105" s="616"/>
      <c r="E105" s="616"/>
      <c r="F105" s="1167"/>
    </row>
    <row r="106" spans="1:6" ht="12" customHeight="1" x14ac:dyDescent="0.25">
      <c r="A106" s="317" t="s">
        <v>49</v>
      </c>
      <c r="B106" s="312" t="s">
        <v>288</v>
      </c>
      <c r="C106" s="616"/>
      <c r="D106" s="616"/>
      <c r="E106" s="616"/>
      <c r="F106" s="1167"/>
    </row>
    <row r="107" spans="1:6" ht="12" customHeight="1" x14ac:dyDescent="0.25">
      <c r="A107" s="317" t="s">
        <v>50</v>
      </c>
      <c r="B107" s="312" t="s">
        <v>289</v>
      </c>
      <c r="C107" s="616"/>
      <c r="D107" s="616"/>
      <c r="E107" s="616"/>
      <c r="F107" s="1167"/>
    </row>
    <row r="108" spans="1:6" ht="12" customHeight="1" x14ac:dyDescent="0.25">
      <c r="A108" s="317" t="s">
        <v>154</v>
      </c>
      <c r="B108" s="312" t="s">
        <v>290</v>
      </c>
      <c r="C108" s="616"/>
      <c r="D108" s="616"/>
      <c r="E108" s="616"/>
      <c r="F108" s="1167"/>
    </row>
    <row r="109" spans="1:6" ht="12" customHeight="1" x14ac:dyDescent="0.25">
      <c r="A109" s="317" t="s">
        <v>172</v>
      </c>
      <c r="B109" s="312" t="s">
        <v>291</v>
      </c>
      <c r="C109" s="616"/>
      <c r="D109" s="616"/>
      <c r="E109" s="616"/>
      <c r="F109" s="1167"/>
    </row>
    <row r="110" spans="1:6" ht="12" customHeight="1" thickBot="1" x14ac:dyDescent="0.3">
      <c r="A110" s="326" t="s">
        <v>173</v>
      </c>
      <c r="B110" s="327" t="s">
        <v>292</v>
      </c>
      <c r="C110" s="618"/>
      <c r="D110" s="618"/>
      <c r="E110" s="618"/>
      <c r="F110" s="1168"/>
    </row>
    <row r="111" spans="1:6" ht="12" customHeight="1" thickBot="1" x14ac:dyDescent="0.3">
      <c r="A111" s="323" t="s">
        <v>45</v>
      </c>
      <c r="B111" s="414" t="s">
        <v>387</v>
      </c>
      <c r="C111" s="584"/>
      <c r="D111" s="584"/>
      <c r="E111" s="584"/>
      <c r="F111" s="624"/>
    </row>
    <row r="112" spans="1:6" ht="12" customHeight="1" x14ac:dyDescent="0.25">
      <c r="A112" s="324" t="s">
        <v>53</v>
      </c>
      <c r="B112" s="325" t="s">
        <v>286</v>
      </c>
      <c r="C112" s="614"/>
      <c r="D112" s="614"/>
      <c r="E112" s="614"/>
      <c r="F112" s="1166"/>
    </row>
    <row r="113" spans="1:6" ht="12" customHeight="1" x14ac:dyDescent="0.25">
      <c r="A113" s="317" t="s">
        <v>54</v>
      </c>
      <c r="B113" s="312" t="s">
        <v>293</v>
      </c>
      <c r="C113" s="616"/>
      <c r="D113" s="616"/>
      <c r="E113" s="616"/>
      <c r="F113" s="1167"/>
    </row>
    <row r="114" spans="1:6" ht="12" customHeight="1" x14ac:dyDescent="0.25">
      <c r="A114" s="317" t="s">
        <v>55</v>
      </c>
      <c r="B114" s="312" t="s">
        <v>288</v>
      </c>
      <c r="C114" s="616"/>
      <c r="D114" s="616"/>
      <c r="E114" s="616"/>
      <c r="F114" s="1167"/>
    </row>
    <row r="115" spans="1:6" ht="12" customHeight="1" x14ac:dyDescent="0.25">
      <c r="A115" s="317" t="s">
        <v>56</v>
      </c>
      <c r="B115" s="312" t="s">
        <v>289</v>
      </c>
      <c r="C115" s="616"/>
      <c r="D115" s="616"/>
      <c r="E115" s="616"/>
      <c r="F115" s="1167"/>
    </row>
    <row r="116" spans="1:6" ht="12" customHeight="1" x14ac:dyDescent="0.25">
      <c r="A116" s="317" t="s">
        <v>155</v>
      </c>
      <c r="B116" s="312" t="s">
        <v>290</v>
      </c>
      <c r="C116" s="616"/>
      <c r="D116" s="616"/>
      <c r="E116" s="616"/>
      <c r="F116" s="1167"/>
    </row>
    <row r="117" spans="1:6" ht="12" customHeight="1" x14ac:dyDescent="0.25">
      <c r="A117" s="317" t="s">
        <v>174</v>
      </c>
      <c r="B117" s="312" t="s">
        <v>294</v>
      </c>
      <c r="C117" s="616"/>
      <c r="D117" s="616"/>
      <c r="E117" s="616"/>
      <c r="F117" s="1167"/>
    </row>
    <row r="118" spans="1:6" ht="12" customHeight="1" x14ac:dyDescent="0.25">
      <c r="A118" s="317" t="s">
        <v>175</v>
      </c>
      <c r="B118" s="312" t="s">
        <v>292</v>
      </c>
      <c r="C118" s="616"/>
      <c r="D118" s="616"/>
      <c r="E118" s="616"/>
      <c r="F118" s="1167"/>
    </row>
    <row r="119" spans="1:6" ht="12" customHeight="1" thickBot="1" x14ac:dyDescent="0.3">
      <c r="A119" s="326" t="s">
        <v>176</v>
      </c>
      <c r="B119" s="327" t="s">
        <v>384</v>
      </c>
      <c r="C119" s="618"/>
      <c r="D119" s="618"/>
      <c r="E119" s="618"/>
      <c r="F119" s="1168"/>
    </row>
    <row r="120" spans="1:6" ht="12" customHeight="1" thickBot="1" x14ac:dyDescent="0.3">
      <c r="A120" s="316" t="s">
        <v>891</v>
      </c>
      <c r="B120" s="410" t="s">
        <v>295</v>
      </c>
      <c r="C120" s="620">
        <f>+C101+C102</f>
        <v>3372</v>
      </c>
      <c r="D120" s="620">
        <f>+D101+D102</f>
        <v>3222</v>
      </c>
      <c r="E120" s="620">
        <f>+E101+E102</f>
        <v>1595</v>
      </c>
      <c r="F120" s="620"/>
    </row>
    <row r="121" spans="1:6" ht="15" customHeight="1" thickBot="1" x14ac:dyDescent="0.3">
      <c r="A121" s="316" t="s">
        <v>892</v>
      </c>
      <c r="B121" s="410" t="s">
        <v>296</v>
      </c>
      <c r="C121" s="622"/>
      <c r="D121" s="622"/>
      <c r="E121" s="622"/>
      <c r="F121" s="1169"/>
    </row>
    <row r="122" spans="1:6" s="1" customFormat="1" ht="12.95" customHeight="1" thickBot="1" x14ac:dyDescent="0.25">
      <c r="A122" s="328" t="s">
        <v>893</v>
      </c>
      <c r="B122" s="411" t="s">
        <v>297</v>
      </c>
      <c r="C122" s="597">
        <f>+C120+C121</f>
        <v>3372</v>
      </c>
      <c r="D122" s="597">
        <f>+D120+D121</f>
        <v>3222</v>
      </c>
      <c r="E122" s="597">
        <f>+E120+E121</f>
        <v>1595</v>
      </c>
      <c r="F122" s="597"/>
    </row>
    <row r="123" spans="1:6" ht="7.5" customHeight="1" x14ac:dyDescent="0.25">
      <c r="A123" s="415"/>
      <c r="B123" s="415"/>
      <c r="C123" s="623"/>
    </row>
    <row r="124" spans="1:6" x14ac:dyDescent="0.25">
      <c r="A124" s="1277" t="s">
        <v>108</v>
      </c>
      <c r="B124" s="1277"/>
      <c r="C124" s="1277"/>
      <c r="D124" s="1277"/>
      <c r="E124" s="1277"/>
      <c r="F124" s="1277"/>
    </row>
    <row r="125" spans="1:6" ht="15" customHeight="1" thickBot="1" x14ac:dyDescent="0.3">
      <c r="A125" s="1274" t="s">
        <v>101</v>
      </c>
      <c r="B125" s="1274"/>
      <c r="C125" s="332"/>
    </row>
    <row r="126" spans="1:6" ht="13.5" customHeight="1" thickBot="1" x14ac:dyDescent="0.3">
      <c r="A126" s="23">
        <v>1</v>
      </c>
      <c r="B126" s="35" t="s">
        <v>183</v>
      </c>
      <c r="C126" s="585">
        <f>+C51-C101</f>
        <v>0</v>
      </c>
      <c r="D126" s="1025"/>
      <c r="E126" s="1025"/>
      <c r="F126" s="1025"/>
    </row>
    <row r="127" spans="1:6" ht="7.5" customHeight="1" x14ac:dyDescent="0.25">
      <c r="A127" s="415"/>
      <c r="B127" s="415"/>
    </row>
  </sheetData>
  <mergeCells count="6">
    <mergeCell ref="A1:F1"/>
    <mergeCell ref="A125:B125"/>
    <mergeCell ref="A2:B2"/>
    <mergeCell ref="A70:B70"/>
    <mergeCell ref="A124:F124"/>
    <mergeCell ref="A69:F69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2017. ÉVI KÖLTSÉGVETÉS ÖNKÉNT VÁLLALT FELADATAINAK MÉRLEGE&amp;R&amp;"Times New Roman CE,Félkövér"&amp;11 1.3. melléklet 4/2018. (IV.27.)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topLeftCell="B1" zoomScaleNormal="120" zoomScaleSheetLayoutView="100" workbookViewId="0">
      <selection activeCell="E3" sqref="E3:F3"/>
    </sheetView>
  </sheetViews>
  <sheetFormatPr defaultColWidth="9.33203125" defaultRowHeight="15.75" x14ac:dyDescent="0.25"/>
  <cols>
    <col min="1" max="1" width="9" style="420" customWidth="1"/>
    <col min="2" max="2" width="84.83203125" style="420" customWidth="1"/>
    <col min="3" max="4" width="14.83203125" style="630" customWidth="1"/>
    <col min="5" max="6" width="14.83203125" style="43" customWidth="1"/>
    <col min="7" max="16384" width="9.33203125" style="43"/>
  </cols>
  <sheetData>
    <row r="1" spans="1:6" ht="15.95" customHeight="1" x14ac:dyDescent="0.25">
      <c r="A1" s="1276" t="s">
        <v>882</v>
      </c>
      <c r="B1" s="1276"/>
      <c r="C1" s="1276"/>
      <c r="D1" s="1276"/>
      <c r="E1" s="1276"/>
      <c r="F1" s="1276"/>
    </row>
    <row r="2" spans="1:6" ht="15.95" customHeight="1" thickBot="1" x14ac:dyDescent="0.3">
      <c r="A2" s="1274" t="s">
        <v>99</v>
      </c>
      <c r="B2" s="1274"/>
      <c r="C2" s="332"/>
      <c r="F2" s="332" t="s">
        <v>299</v>
      </c>
    </row>
    <row r="3" spans="1:6" ht="38.1" customHeight="1" thickBot="1" x14ac:dyDescent="0.3">
      <c r="A3" s="28" t="s">
        <v>17</v>
      </c>
      <c r="B3" s="29" t="s">
        <v>884</v>
      </c>
      <c r="C3" s="580" t="s">
        <v>1185</v>
      </c>
      <c r="D3" s="1164" t="s">
        <v>1165</v>
      </c>
      <c r="E3" s="1154" t="s">
        <v>1208</v>
      </c>
      <c r="F3" s="1073" t="s">
        <v>1209</v>
      </c>
    </row>
    <row r="4" spans="1:6" s="44" customFormat="1" ht="12" customHeight="1" thickBot="1" x14ac:dyDescent="0.25">
      <c r="A4" s="38">
        <v>1</v>
      </c>
      <c r="B4" s="39">
        <v>2</v>
      </c>
      <c r="C4" s="579">
        <v>3</v>
      </c>
      <c r="D4" s="580">
        <v>4</v>
      </c>
      <c r="E4" s="580">
        <v>5</v>
      </c>
      <c r="F4" s="580">
        <v>6</v>
      </c>
    </row>
    <row r="5" spans="1:6" s="1" customFormat="1" ht="12" customHeight="1" thickBot="1" x14ac:dyDescent="0.25">
      <c r="A5" s="25" t="s">
        <v>885</v>
      </c>
      <c r="B5" s="24" t="s">
        <v>125</v>
      </c>
      <c r="C5" s="581">
        <f>+C6+C11+C20</f>
        <v>0</v>
      </c>
      <c r="D5" s="582">
        <f>+D6+D11+D20</f>
        <v>0</v>
      </c>
      <c r="E5" s="582"/>
      <c r="F5" s="582"/>
    </row>
    <row r="6" spans="1:6" s="1" customFormat="1" ht="12" customHeight="1" thickBot="1" x14ac:dyDescent="0.25">
      <c r="A6" s="23" t="s">
        <v>886</v>
      </c>
      <c r="B6" s="311" t="s">
        <v>374</v>
      </c>
      <c r="C6" s="583">
        <f>+C7+C8+C9+C10</f>
        <v>0</v>
      </c>
      <c r="D6" s="584">
        <f>+D7+D8+D9+D10</f>
        <v>0</v>
      </c>
      <c r="E6" s="584"/>
      <c r="F6" s="584"/>
    </row>
    <row r="7" spans="1:6" s="1" customFormat="1" ht="12" customHeight="1" x14ac:dyDescent="0.2">
      <c r="A7" s="16" t="s">
        <v>63</v>
      </c>
      <c r="B7" s="404" t="s">
        <v>928</v>
      </c>
      <c r="C7" s="586"/>
      <c r="D7" s="587"/>
      <c r="E7" s="587"/>
      <c r="F7" s="587"/>
    </row>
    <row r="8" spans="1:6" s="1" customFormat="1" ht="12" customHeight="1" x14ac:dyDescent="0.2">
      <c r="A8" s="16" t="s">
        <v>64</v>
      </c>
      <c r="B8" s="325" t="s">
        <v>33</v>
      </c>
      <c r="C8" s="586"/>
      <c r="D8" s="587"/>
      <c r="E8" s="587"/>
      <c r="F8" s="587"/>
    </row>
    <row r="9" spans="1:6" s="1" customFormat="1" ht="12" customHeight="1" x14ac:dyDescent="0.2">
      <c r="A9" s="16" t="s">
        <v>65</v>
      </c>
      <c r="B9" s="325" t="s">
        <v>126</v>
      </c>
      <c r="C9" s="586"/>
      <c r="D9" s="587"/>
      <c r="E9" s="587"/>
      <c r="F9" s="587"/>
    </row>
    <row r="10" spans="1:6" s="1" customFormat="1" ht="12" customHeight="1" thickBot="1" x14ac:dyDescent="0.25">
      <c r="A10" s="16" t="s">
        <v>66</v>
      </c>
      <c r="B10" s="405" t="s">
        <v>127</v>
      </c>
      <c r="C10" s="586"/>
      <c r="D10" s="587"/>
      <c r="E10" s="587"/>
      <c r="F10" s="587"/>
    </row>
    <row r="11" spans="1:6" s="1" customFormat="1" ht="12" customHeight="1" thickBot="1" x14ac:dyDescent="0.25">
      <c r="A11" s="23" t="s">
        <v>887</v>
      </c>
      <c r="B11" s="24" t="s">
        <v>128</v>
      </c>
      <c r="C11" s="588">
        <f>+C12+C13+C14+C15+C16+C17+C18+C19</f>
        <v>0</v>
      </c>
      <c r="D11" s="584">
        <f>+D12+D13+D14+D15+D16+D17+D18+D19</f>
        <v>0</v>
      </c>
      <c r="E11" s="584"/>
      <c r="F11" s="584"/>
    </row>
    <row r="12" spans="1:6" s="1" customFormat="1" ht="12" customHeight="1" x14ac:dyDescent="0.2">
      <c r="A12" s="20" t="s">
        <v>37</v>
      </c>
      <c r="B12" s="12" t="s">
        <v>133</v>
      </c>
      <c r="C12" s="601"/>
      <c r="D12" s="602"/>
      <c r="E12" s="602"/>
      <c r="F12" s="602"/>
    </row>
    <row r="13" spans="1:6" s="1" customFormat="1" ht="12" customHeight="1" x14ac:dyDescent="0.2">
      <c r="A13" s="16" t="s">
        <v>38</v>
      </c>
      <c r="B13" s="9" t="s">
        <v>134</v>
      </c>
      <c r="C13" s="603"/>
      <c r="D13" s="587"/>
      <c r="E13" s="587"/>
      <c r="F13" s="587"/>
    </row>
    <row r="14" spans="1:6" s="1" customFormat="1" ht="12" customHeight="1" x14ac:dyDescent="0.2">
      <c r="A14" s="16" t="s">
        <v>39</v>
      </c>
      <c r="B14" s="9" t="s">
        <v>135</v>
      </c>
      <c r="C14" s="603"/>
      <c r="D14" s="587"/>
      <c r="E14" s="587"/>
      <c r="F14" s="587"/>
    </row>
    <row r="15" spans="1:6" s="1" customFormat="1" ht="12" customHeight="1" x14ac:dyDescent="0.2">
      <c r="A15" s="16" t="s">
        <v>40</v>
      </c>
      <c r="B15" s="9" t="s">
        <v>136</v>
      </c>
      <c r="C15" s="603"/>
      <c r="D15" s="587"/>
      <c r="E15" s="587"/>
      <c r="F15" s="587"/>
    </row>
    <row r="16" spans="1:6" s="1" customFormat="1" ht="12" customHeight="1" x14ac:dyDescent="0.2">
      <c r="A16" s="15" t="s">
        <v>129</v>
      </c>
      <c r="B16" s="8" t="s">
        <v>137</v>
      </c>
      <c r="C16" s="631"/>
      <c r="D16" s="632"/>
      <c r="E16" s="632"/>
      <c r="F16" s="632"/>
    </row>
    <row r="17" spans="1:6" s="1" customFormat="1" ht="12" customHeight="1" x14ac:dyDescent="0.2">
      <c r="A17" s="16" t="s">
        <v>130</v>
      </c>
      <c r="B17" s="9" t="s">
        <v>239</v>
      </c>
      <c r="C17" s="603"/>
      <c r="D17" s="587"/>
      <c r="E17" s="587"/>
      <c r="F17" s="587"/>
    </row>
    <row r="18" spans="1:6" s="1" customFormat="1" ht="12" customHeight="1" x14ac:dyDescent="0.2">
      <c r="A18" s="16" t="s">
        <v>131</v>
      </c>
      <c r="B18" s="9" t="s">
        <v>139</v>
      </c>
      <c r="C18" s="603"/>
      <c r="D18" s="587"/>
      <c r="E18" s="587"/>
      <c r="F18" s="587"/>
    </row>
    <row r="19" spans="1:6" s="1" customFormat="1" ht="12" customHeight="1" thickBot="1" x14ac:dyDescent="0.25">
      <c r="A19" s="17" t="s">
        <v>132</v>
      </c>
      <c r="B19" s="10" t="s">
        <v>140</v>
      </c>
      <c r="C19" s="633"/>
      <c r="D19" s="634"/>
      <c r="E19" s="634"/>
      <c r="F19" s="634"/>
    </row>
    <row r="20" spans="1:6" s="1" customFormat="1" ht="12" customHeight="1" thickBot="1" x14ac:dyDescent="0.25">
      <c r="A20" s="23" t="s">
        <v>141</v>
      </c>
      <c r="B20" s="24" t="s">
        <v>240</v>
      </c>
      <c r="C20" s="635"/>
      <c r="D20" s="636"/>
      <c r="E20" s="636"/>
      <c r="F20" s="636"/>
    </row>
    <row r="21" spans="1:6" s="1" customFormat="1" ht="12" customHeight="1" thickBot="1" x14ac:dyDescent="0.25">
      <c r="A21" s="23" t="s">
        <v>889</v>
      </c>
      <c r="B21" s="24" t="s">
        <v>143</v>
      </c>
      <c r="C21" s="588">
        <f>+C22+C23+C24+C25+C26+C27+C28+C29</f>
        <v>0</v>
      </c>
      <c r="D21" s="584">
        <f>+D22+D23+D24+D25+D26+D27+D28+D29</f>
        <v>0</v>
      </c>
      <c r="E21" s="584"/>
      <c r="F21" s="584"/>
    </row>
    <row r="22" spans="1:6" s="1" customFormat="1" ht="12" customHeight="1" x14ac:dyDescent="0.2">
      <c r="A22" s="18" t="s">
        <v>41</v>
      </c>
      <c r="B22" s="11" t="s">
        <v>819</v>
      </c>
      <c r="C22" s="608"/>
      <c r="D22" s="609"/>
      <c r="E22" s="609"/>
      <c r="F22" s="609"/>
    </row>
    <row r="23" spans="1:6" s="1" customFormat="1" ht="12" customHeight="1" x14ac:dyDescent="0.2">
      <c r="A23" s="16" t="s">
        <v>42</v>
      </c>
      <c r="B23" s="9" t="s">
        <v>149</v>
      </c>
      <c r="C23" s="603"/>
      <c r="D23" s="587"/>
      <c r="E23" s="587"/>
      <c r="F23" s="587"/>
    </row>
    <row r="24" spans="1:6" s="1" customFormat="1" ht="12" customHeight="1" x14ac:dyDescent="0.2">
      <c r="A24" s="16" t="s">
        <v>43</v>
      </c>
      <c r="B24" s="9" t="s">
        <v>46</v>
      </c>
      <c r="C24" s="603"/>
      <c r="D24" s="587"/>
      <c r="E24" s="587"/>
      <c r="F24" s="587"/>
    </row>
    <row r="25" spans="1:6" s="1" customFormat="1" ht="12" customHeight="1" x14ac:dyDescent="0.2">
      <c r="A25" s="19" t="s">
        <v>144</v>
      </c>
      <c r="B25" s="9" t="s">
        <v>150</v>
      </c>
      <c r="C25" s="604"/>
      <c r="D25" s="605"/>
      <c r="E25" s="605"/>
      <c r="F25" s="605"/>
    </row>
    <row r="26" spans="1:6" s="1" customFormat="1" ht="12" customHeight="1" x14ac:dyDescent="0.2">
      <c r="A26" s="19" t="s">
        <v>145</v>
      </c>
      <c r="B26" s="9" t="s">
        <v>151</v>
      </c>
      <c r="C26" s="604"/>
      <c r="D26" s="605"/>
      <c r="E26" s="605"/>
      <c r="F26" s="605"/>
    </row>
    <row r="27" spans="1:6" s="1" customFormat="1" ht="12" customHeight="1" x14ac:dyDescent="0.2">
      <c r="A27" s="16" t="s">
        <v>146</v>
      </c>
      <c r="B27" s="9" t="s">
        <v>152</v>
      </c>
      <c r="C27" s="603"/>
      <c r="D27" s="587"/>
      <c r="E27" s="587"/>
      <c r="F27" s="587"/>
    </row>
    <row r="28" spans="1:6" s="1" customFormat="1" ht="12" customHeight="1" x14ac:dyDescent="0.2">
      <c r="A28" s="16" t="s">
        <v>147</v>
      </c>
      <c r="B28" s="9" t="s">
        <v>241</v>
      </c>
      <c r="C28" s="637"/>
      <c r="D28" s="638"/>
      <c r="E28" s="638"/>
      <c r="F28" s="638"/>
    </row>
    <row r="29" spans="1:6" s="1" customFormat="1" ht="12" customHeight="1" thickBot="1" x14ac:dyDescent="0.25">
      <c r="A29" s="16" t="s">
        <v>148</v>
      </c>
      <c r="B29" s="14" t="s">
        <v>153</v>
      </c>
      <c r="C29" s="637"/>
      <c r="D29" s="638"/>
      <c r="E29" s="638"/>
      <c r="F29" s="638"/>
    </row>
    <row r="30" spans="1:6" s="1" customFormat="1" ht="12" customHeight="1" thickBot="1" x14ac:dyDescent="0.25">
      <c r="A30" s="304" t="s">
        <v>890</v>
      </c>
      <c r="B30" s="24" t="s">
        <v>375</v>
      </c>
      <c r="C30" s="583">
        <f>+C31+C37</f>
        <v>0</v>
      </c>
      <c r="D30" s="584">
        <f>+D31+D37</f>
        <v>0</v>
      </c>
      <c r="E30" s="584"/>
      <c r="F30" s="584"/>
    </row>
    <row r="31" spans="1:6" s="1" customFormat="1" ht="12" customHeight="1" x14ac:dyDescent="0.2">
      <c r="A31" s="305" t="s">
        <v>44</v>
      </c>
      <c r="B31" s="406" t="s">
        <v>376</v>
      </c>
      <c r="C31" s="590">
        <f>+C32+C33+C34+C35+C36</f>
        <v>0</v>
      </c>
      <c r="D31" s="591">
        <f>+D32+D33+D34+D35+D36</f>
        <v>0</v>
      </c>
      <c r="E31" s="591"/>
      <c r="F31" s="591"/>
    </row>
    <row r="32" spans="1:6" s="1" customFormat="1" ht="12" customHeight="1" x14ac:dyDescent="0.2">
      <c r="A32" s="306" t="s">
        <v>47</v>
      </c>
      <c r="B32" s="312" t="s">
        <v>242</v>
      </c>
      <c r="C32" s="639"/>
      <c r="D32" s="638"/>
      <c r="E32" s="638"/>
      <c r="F32" s="638"/>
    </row>
    <row r="33" spans="1:6" s="1" customFormat="1" ht="12" customHeight="1" x14ac:dyDescent="0.2">
      <c r="A33" s="306" t="s">
        <v>48</v>
      </c>
      <c r="B33" s="312" t="s">
        <v>243</v>
      </c>
      <c r="C33" s="639"/>
      <c r="D33" s="638"/>
      <c r="E33" s="638"/>
      <c r="F33" s="638"/>
    </row>
    <row r="34" spans="1:6" s="1" customFormat="1" ht="12" customHeight="1" x14ac:dyDescent="0.2">
      <c r="A34" s="306" t="s">
        <v>49</v>
      </c>
      <c r="B34" s="312" t="s">
        <v>244</v>
      </c>
      <c r="C34" s="639"/>
      <c r="D34" s="638"/>
      <c r="E34" s="638"/>
      <c r="F34" s="638"/>
    </row>
    <row r="35" spans="1:6" s="1" customFormat="1" ht="12" customHeight="1" x14ac:dyDescent="0.2">
      <c r="A35" s="306" t="s">
        <v>50</v>
      </c>
      <c r="B35" s="312" t="s">
        <v>245</v>
      </c>
      <c r="C35" s="639"/>
      <c r="D35" s="638"/>
      <c r="E35" s="638"/>
      <c r="F35" s="638"/>
    </row>
    <row r="36" spans="1:6" s="1" customFormat="1" ht="12" customHeight="1" x14ac:dyDescent="0.2">
      <c r="A36" s="306" t="s">
        <v>154</v>
      </c>
      <c r="B36" s="312" t="s">
        <v>377</v>
      </c>
      <c r="C36" s="639"/>
      <c r="D36" s="638"/>
      <c r="E36" s="638"/>
      <c r="F36" s="638"/>
    </row>
    <row r="37" spans="1:6" s="1" customFormat="1" ht="12" customHeight="1" x14ac:dyDescent="0.2">
      <c r="A37" s="306" t="s">
        <v>45</v>
      </c>
      <c r="B37" s="313" t="s">
        <v>378</v>
      </c>
      <c r="C37" s="592">
        <f>+C38+C39+C40+C41+C42</f>
        <v>0</v>
      </c>
      <c r="D37" s="593">
        <f>+D38+D39+D40+D41+D42</f>
        <v>0</v>
      </c>
      <c r="E37" s="593"/>
      <c r="F37" s="593"/>
    </row>
    <row r="38" spans="1:6" s="1" customFormat="1" ht="12" customHeight="1" x14ac:dyDescent="0.2">
      <c r="A38" s="306" t="s">
        <v>53</v>
      </c>
      <c r="B38" s="312" t="s">
        <v>242</v>
      </c>
      <c r="C38" s="639"/>
      <c r="D38" s="638"/>
      <c r="E38" s="638"/>
      <c r="F38" s="638"/>
    </row>
    <row r="39" spans="1:6" s="1" customFormat="1" ht="12" customHeight="1" x14ac:dyDescent="0.2">
      <c r="A39" s="306" t="s">
        <v>54</v>
      </c>
      <c r="B39" s="312" t="s">
        <v>243</v>
      </c>
      <c r="C39" s="639"/>
      <c r="D39" s="638"/>
      <c r="E39" s="638"/>
      <c r="F39" s="638"/>
    </row>
    <row r="40" spans="1:6" s="1" customFormat="1" ht="12" customHeight="1" x14ac:dyDescent="0.2">
      <c r="A40" s="306" t="s">
        <v>55</v>
      </c>
      <c r="B40" s="312" t="s">
        <v>244</v>
      </c>
      <c r="C40" s="639"/>
      <c r="D40" s="638"/>
      <c r="E40" s="638"/>
      <c r="F40" s="638"/>
    </row>
    <row r="41" spans="1:6" s="1" customFormat="1" ht="12" customHeight="1" x14ac:dyDescent="0.2">
      <c r="A41" s="306" t="s">
        <v>56</v>
      </c>
      <c r="B41" s="314" t="s">
        <v>245</v>
      </c>
      <c r="C41" s="639"/>
      <c r="D41" s="638"/>
      <c r="E41" s="638"/>
      <c r="F41" s="638"/>
    </row>
    <row r="42" spans="1:6" s="1" customFormat="1" ht="12" customHeight="1" thickBot="1" x14ac:dyDescent="0.25">
      <c r="A42" s="307" t="s">
        <v>155</v>
      </c>
      <c r="B42" s="315" t="s">
        <v>379</v>
      </c>
      <c r="C42" s="640"/>
      <c r="D42" s="641"/>
      <c r="E42" s="641"/>
      <c r="F42" s="641"/>
    </row>
    <row r="43" spans="1:6" s="1" customFormat="1" ht="12" customHeight="1" thickBot="1" x14ac:dyDescent="0.25">
      <c r="A43" s="23" t="s">
        <v>156</v>
      </c>
      <c r="B43" s="407" t="s">
        <v>246</v>
      </c>
      <c r="C43" s="583">
        <f>+C44+C45</f>
        <v>0</v>
      </c>
      <c r="D43" s="584">
        <f>+D44+D45</f>
        <v>0</v>
      </c>
      <c r="E43" s="584"/>
      <c r="F43" s="584"/>
    </row>
    <row r="44" spans="1:6" s="1" customFormat="1" ht="12" customHeight="1" x14ac:dyDescent="0.2">
      <c r="A44" s="18" t="s">
        <v>51</v>
      </c>
      <c r="B44" s="325" t="s">
        <v>247</v>
      </c>
      <c r="C44" s="642"/>
      <c r="D44" s="609"/>
      <c r="E44" s="609"/>
      <c r="F44" s="609"/>
    </row>
    <row r="45" spans="1:6" s="1" customFormat="1" ht="12" customHeight="1" thickBot="1" x14ac:dyDescent="0.25">
      <c r="A45" s="15" t="s">
        <v>52</v>
      </c>
      <c r="B45" s="320" t="s">
        <v>251</v>
      </c>
      <c r="C45" s="643"/>
      <c r="D45" s="632"/>
      <c r="E45" s="632"/>
      <c r="F45" s="632"/>
    </row>
    <row r="46" spans="1:6" s="1" customFormat="1" ht="12" customHeight="1" thickBot="1" x14ac:dyDescent="0.25">
      <c r="A46" s="23" t="s">
        <v>892</v>
      </c>
      <c r="B46" s="407" t="s">
        <v>250</v>
      </c>
      <c r="C46" s="583">
        <f>+C47+C48+C49</f>
        <v>0</v>
      </c>
      <c r="D46" s="584">
        <f>+D47+D48+D49</f>
        <v>0</v>
      </c>
      <c r="E46" s="584"/>
      <c r="F46" s="584"/>
    </row>
    <row r="47" spans="1:6" s="1" customFormat="1" ht="12" customHeight="1" x14ac:dyDescent="0.2">
      <c r="A47" s="18" t="s">
        <v>159</v>
      </c>
      <c r="B47" s="325" t="s">
        <v>157</v>
      </c>
      <c r="C47" s="644"/>
      <c r="D47" s="645"/>
      <c r="E47" s="645"/>
      <c r="F47" s="645"/>
    </row>
    <row r="48" spans="1:6" s="1" customFormat="1" ht="12" customHeight="1" x14ac:dyDescent="0.2">
      <c r="A48" s="16" t="s">
        <v>160</v>
      </c>
      <c r="B48" s="312" t="s">
        <v>943</v>
      </c>
      <c r="C48" s="637"/>
      <c r="D48" s="638"/>
      <c r="E48" s="638"/>
      <c r="F48" s="638"/>
    </row>
    <row r="49" spans="1:6" s="1" customFormat="1" ht="12" customHeight="1" thickBot="1" x14ac:dyDescent="0.25">
      <c r="A49" s="15" t="s">
        <v>308</v>
      </c>
      <c r="B49" s="320" t="s">
        <v>248</v>
      </c>
      <c r="C49" s="646"/>
      <c r="D49" s="647"/>
      <c r="E49" s="647"/>
      <c r="F49" s="647"/>
    </row>
    <row r="50" spans="1:6" s="1" customFormat="1" ht="17.25" customHeight="1" thickBot="1" x14ac:dyDescent="0.25">
      <c r="A50" s="23" t="s">
        <v>161</v>
      </c>
      <c r="B50" s="408" t="s">
        <v>249</v>
      </c>
      <c r="C50" s="648"/>
      <c r="D50" s="612"/>
      <c r="E50" s="612"/>
      <c r="F50" s="612"/>
    </row>
    <row r="51" spans="1:6" s="1" customFormat="1" ht="12" customHeight="1" thickBot="1" x14ac:dyDescent="0.25">
      <c r="A51" s="23" t="s">
        <v>894</v>
      </c>
      <c r="B51" s="27" t="s">
        <v>162</v>
      </c>
      <c r="C51" s="594">
        <f>+C6+C11+C20+C21+C30+C43+C46+C50</f>
        <v>0</v>
      </c>
      <c r="D51" s="595"/>
      <c r="E51" s="595"/>
      <c r="F51" s="595"/>
    </row>
    <row r="52" spans="1:6" s="1" customFormat="1" ht="12" customHeight="1" thickBot="1" x14ac:dyDescent="0.25">
      <c r="A52" s="316" t="s">
        <v>895</v>
      </c>
      <c r="B52" s="311" t="s">
        <v>252</v>
      </c>
      <c r="C52" s="596">
        <f>+C53+C59</f>
        <v>0</v>
      </c>
      <c r="D52" s="597">
        <f>+D53+D59</f>
        <v>0</v>
      </c>
      <c r="E52" s="597"/>
      <c r="F52" s="597"/>
    </row>
    <row r="53" spans="1:6" s="1" customFormat="1" ht="12" customHeight="1" x14ac:dyDescent="0.2">
      <c r="A53" s="409" t="s">
        <v>92</v>
      </c>
      <c r="B53" s="406" t="s">
        <v>253</v>
      </c>
      <c r="C53" s="598">
        <f>+C54+C55+C56+C57+C58</f>
        <v>0</v>
      </c>
      <c r="D53" s="591">
        <f>+D54+D55+D56+D57+D58</f>
        <v>0</v>
      </c>
      <c r="E53" s="591"/>
      <c r="F53" s="591"/>
    </row>
    <row r="54" spans="1:6" s="1" customFormat="1" ht="12" customHeight="1" x14ac:dyDescent="0.2">
      <c r="A54" s="317" t="s">
        <v>268</v>
      </c>
      <c r="B54" s="312" t="s">
        <v>254</v>
      </c>
      <c r="C54" s="637"/>
      <c r="D54" s="638"/>
      <c r="E54" s="638"/>
      <c r="F54" s="638"/>
    </row>
    <row r="55" spans="1:6" s="1" customFormat="1" ht="12" customHeight="1" x14ac:dyDescent="0.2">
      <c r="A55" s="317" t="s">
        <v>269</v>
      </c>
      <c r="B55" s="312" t="s">
        <v>255</v>
      </c>
      <c r="C55" s="637"/>
      <c r="D55" s="638"/>
      <c r="E55" s="638"/>
      <c r="F55" s="638"/>
    </row>
    <row r="56" spans="1:6" s="1" customFormat="1" ht="12" customHeight="1" x14ac:dyDescent="0.2">
      <c r="A56" s="317" t="s">
        <v>270</v>
      </c>
      <c r="B56" s="312" t="s">
        <v>256</v>
      </c>
      <c r="C56" s="637"/>
      <c r="D56" s="638"/>
      <c r="E56" s="638"/>
      <c r="F56" s="638"/>
    </row>
    <row r="57" spans="1:6" s="1" customFormat="1" ht="12" customHeight="1" x14ac:dyDescent="0.2">
      <c r="A57" s="317" t="s">
        <v>271</v>
      </c>
      <c r="B57" s="312" t="s">
        <v>257</v>
      </c>
      <c r="C57" s="637"/>
      <c r="D57" s="638"/>
      <c r="E57" s="638"/>
      <c r="F57" s="638"/>
    </row>
    <row r="58" spans="1:6" s="1" customFormat="1" ht="12" customHeight="1" x14ac:dyDescent="0.2">
      <c r="A58" s="317" t="s">
        <v>272</v>
      </c>
      <c r="B58" s="312" t="s">
        <v>258</v>
      </c>
      <c r="C58" s="637"/>
      <c r="D58" s="638"/>
      <c r="E58" s="638"/>
      <c r="F58" s="638"/>
    </row>
    <row r="59" spans="1:6" s="1" customFormat="1" ht="12" customHeight="1" x14ac:dyDescent="0.2">
      <c r="A59" s="318" t="s">
        <v>93</v>
      </c>
      <c r="B59" s="313" t="s">
        <v>259</v>
      </c>
      <c r="C59" s="599">
        <f>+C60+C61+C62+C63+C64</f>
        <v>0</v>
      </c>
      <c r="D59" s="593">
        <f>+D60+D61+D62+D63+D64</f>
        <v>0</v>
      </c>
      <c r="E59" s="593"/>
      <c r="F59" s="593"/>
    </row>
    <row r="60" spans="1:6" s="1" customFormat="1" ht="12" customHeight="1" x14ac:dyDescent="0.2">
      <c r="A60" s="317" t="s">
        <v>273</v>
      </c>
      <c r="B60" s="312" t="s">
        <v>260</v>
      </c>
      <c r="C60" s="637"/>
      <c r="D60" s="638"/>
      <c r="E60" s="638"/>
      <c r="F60" s="638"/>
    </row>
    <row r="61" spans="1:6" s="1" customFormat="1" ht="12" customHeight="1" x14ac:dyDescent="0.2">
      <c r="A61" s="317" t="s">
        <v>274</v>
      </c>
      <c r="B61" s="312" t="s">
        <v>261</v>
      </c>
      <c r="C61" s="637"/>
      <c r="D61" s="638"/>
      <c r="E61" s="638"/>
      <c r="F61" s="638"/>
    </row>
    <row r="62" spans="1:6" s="1" customFormat="1" ht="12" customHeight="1" x14ac:dyDescent="0.2">
      <c r="A62" s="317" t="s">
        <v>275</v>
      </c>
      <c r="B62" s="312" t="s">
        <v>262</v>
      </c>
      <c r="C62" s="637"/>
      <c r="D62" s="638"/>
      <c r="E62" s="638"/>
      <c r="F62" s="638"/>
    </row>
    <row r="63" spans="1:6" s="1" customFormat="1" ht="12" customHeight="1" x14ac:dyDescent="0.2">
      <c r="A63" s="317" t="s">
        <v>276</v>
      </c>
      <c r="B63" s="312" t="s">
        <v>263</v>
      </c>
      <c r="C63" s="637"/>
      <c r="D63" s="638"/>
      <c r="E63" s="638"/>
      <c r="F63" s="638"/>
    </row>
    <row r="64" spans="1:6" s="1" customFormat="1" ht="12" customHeight="1" thickBot="1" x14ac:dyDescent="0.25">
      <c r="A64" s="319" t="s">
        <v>277</v>
      </c>
      <c r="B64" s="320" t="s">
        <v>264</v>
      </c>
      <c r="C64" s="649"/>
      <c r="D64" s="650"/>
      <c r="E64" s="650"/>
      <c r="F64" s="650"/>
    </row>
    <row r="65" spans="1:6" s="1" customFormat="1" ht="12" customHeight="1" thickBot="1" x14ac:dyDescent="0.25">
      <c r="A65" s="321" t="s">
        <v>896</v>
      </c>
      <c r="B65" s="410" t="s">
        <v>265</v>
      </c>
      <c r="C65" s="596">
        <f>+C51+C52</f>
        <v>0</v>
      </c>
      <c r="D65" s="597">
        <f>+D51+D52</f>
        <v>0</v>
      </c>
      <c r="E65" s="597"/>
      <c r="F65" s="597"/>
    </row>
    <row r="66" spans="1:6" s="1" customFormat="1" ht="13.5" customHeight="1" thickBot="1" x14ac:dyDescent="0.25">
      <c r="A66" s="322" t="s">
        <v>897</v>
      </c>
      <c r="B66" s="411" t="s">
        <v>266</v>
      </c>
      <c r="C66" s="651"/>
      <c r="D66" s="652"/>
      <c r="E66" s="652"/>
      <c r="F66" s="652"/>
    </row>
    <row r="67" spans="1:6" s="1" customFormat="1" ht="12" customHeight="1" thickBot="1" x14ac:dyDescent="0.25">
      <c r="A67" s="321" t="s">
        <v>898</v>
      </c>
      <c r="B67" s="410" t="s">
        <v>267</v>
      </c>
      <c r="C67" s="596">
        <f>+C65+C66</f>
        <v>0</v>
      </c>
      <c r="D67" s="597">
        <f>+D65+D66</f>
        <v>0</v>
      </c>
      <c r="E67" s="597"/>
      <c r="F67" s="597"/>
    </row>
    <row r="68" spans="1:6" s="1" customFormat="1" ht="12.95" customHeight="1" x14ac:dyDescent="0.2">
      <c r="A68" s="6"/>
      <c r="B68" s="7"/>
      <c r="C68" s="600"/>
      <c r="D68" s="600"/>
    </row>
    <row r="69" spans="1:6" ht="16.5" customHeight="1" x14ac:dyDescent="0.25">
      <c r="A69" s="1276" t="s">
        <v>914</v>
      </c>
      <c r="B69" s="1276"/>
      <c r="C69" s="1276"/>
      <c r="D69" s="1276"/>
      <c r="E69" s="1276"/>
      <c r="F69" s="1276"/>
    </row>
    <row r="70" spans="1:6" s="334" customFormat="1" ht="16.5" customHeight="1" thickBot="1" x14ac:dyDescent="0.3">
      <c r="A70" s="1275" t="s">
        <v>100</v>
      </c>
      <c r="B70" s="1275"/>
      <c r="C70" s="141"/>
      <c r="F70" s="332" t="s">
        <v>299</v>
      </c>
    </row>
    <row r="71" spans="1:6" ht="38.1" customHeight="1" thickBot="1" x14ac:dyDescent="0.3">
      <c r="A71" s="28" t="s">
        <v>883</v>
      </c>
      <c r="B71" s="29" t="s">
        <v>915</v>
      </c>
      <c r="C71" s="580" t="s">
        <v>1185</v>
      </c>
      <c r="D71" s="1164" t="s">
        <v>1165</v>
      </c>
      <c r="E71" s="1154" t="s">
        <v>1208</v>
      </c>
      <c r="F71" s="1073" t="s">
        <v>1209</v>
      </c>
    </row>
    <row r="72" spans="1:6" s="44" customFormat="1" ht="12" customHeight="1" thickBot="1" x14ac:dyDescent="0.25">
      <c r="A72" s="38">
        <v>1</v>
      </c>
      <c r="B72" s="39">
        <v>2</v>
      </c>
      <c r="C72" s="579">
        <v>3</v>
      </c>
      <c r="D72" s="580">
        <v>4</v>
      </c>
      <c r="E72" s="580">
        <v>5</v>
      </c>
      <c r="F72" s="580">
        <v>6</v>
      </c>
    </row>
    <row r="73" spans="1:6" ht="12" customHeight="1" thickBot="1" x14ac:dyDescent="0.3">
      <c r="A73" s="25" t="s">
        <v>885</v>
      </c>
      <c r="B73" s="36" t="s">
        <v>163</v>
      </c>
      <c r="C73" s="581">
        <f>+C74+C75+C76+C77+C78</f>
        <v>0</v>
      </c>
      <c r="D73" s="582">
        <f>+D74+D75+D76+D77+D78</f>
        <v>0</v>
      </c>
      <c r="E73" s="582"/>
      <c r="F73" s="582"/>
    </row>
    <row r="74" spans="1:6" ht="12" customHeight="1" x14ac:dyDescent="0.25">
      <c r="A74" s="20" t="s">
        <v>57</v>
      </c>
      <c r="B74" s="12" t="s">
        <v>916</v>
      </c>
      <c r="C74" s="601"/>
      <c r="D74" s="602"/>
      <c r="E74" s="602"/>
      <c r="F74" s="602"/>
    </row>
    <row r="75" spans="1:6" ht="12" customHeight="1" x14ac:dyDescent="0.25">
      <c r="A75" s="16" t="s">
        <v>58</v>
      </c>
      <c r="B75" s="9" t="s">
        <v>164</v>
      </c>
      <c r="C75" s="603"/>
      <c r="D75" s="587"/>
      <c r="E75" s="587"/>
      <c r="F75" s="587"/>
    </row>
    <row r="76" spans="1:6" ht="12" customHeight="1" x14ac:dyDescent="0.25">
      <c r="A76" s="16" t="s">
        <v>59</v>
      </c>
      <c r="B76" s="9" t="s">
        <v>88</v>
      </c>
      <c r="C76" s="604"/>
      <c r="D76" s="605"/>
      <c r="E76" s="605"/>
      <c r="F76" s="605"/>
    </row>
    <row r="77" spans="1:6" ht="12" customHeight="1" x14ac:dyDescent="0.25">
      <c r="A77" s="16" t="s">
        <v>60</v>
      </c>
      <c r="B77" s="13" t="s">
        <v>165</v>
      </c>
      <c r="C77" s="604"/>
      <c r="D77" s="605"/>
      <c r="E77" s="605"/>
      <c r="F77" s="605"/>
    </row>
    <row r="78" spans="1:6" ht="12" customHeight="1" x14ac:dyDescent="0.25">
      <c r="A78" s="16" t="s">
        <v>71</v>
      </c>
      <c r="B78" s="22" t="s">
        <v>166</v>
      </c>
      <c r="C78" s="604"/>
      <c r="D78" s="605"/>
      <c r="E78" s="605"/>
      <c r="F78" s="605"/>
    </row>
    <row r="79" spans="1:6" ht="12" customHeight="1" x14ac:dyDescent="0.25">
      <c r="A79" s="16" t="s">
        <v>61</v>
      </c>
      <c r="B79" s="9" t="s">
        <v>188</v>
      </c>
      <c r="C79" s="604"/>
      <c r="D79" s="605"/>
      <c r="E79" s="605"/>
      <c r="F79" s="605"/>
    </row>
    <row r="80" spans="1:6" ht="12" customHeight="1" x14ac:dyDescent="0.25">
      <c r="A80" s="16" t="s">
        <v>62</v>
      </c>
      <c r="B80" s="144" t="s">
        <v>189</v>
      </c>
      <c r="C80" s="604"/>
      <c r="D80" s="605"/>
      <c r="E80" s="605"/>
      <c r="F80" s="605"/>
    </row>
    <row r="81" spans="1:6" ht="12" customHeight="1" x14ac:dyDescent="0.25">
      <c r="A81" s="16" t="s">
        <v>72</v>
      </c>
      <c r="B81" s="144" t="s">
        <v>278</v>
      </c>
      <c r="C81" s="604"/>
      <c r="D81" s="605"/>
      <c r="E81" s="605"/>
      <c r="F81" s="605"/>
    </row>
    <row r="82" spans="1:6" ht="12" customHeight="1" x14ac:dyDescent="0.25">
      <c r="A82" s="16" t="s">
        <v>73</v>
      </c>
      <c r="B82" s="145" t="s">
        <v>190</v>
      </c>
      <c r="C82" s="604"/>
      <c r="D82" s="605"/>
      <c r="E82" s="605"/>
      <c r="F82" s="605"/>
    </row>
    <row r="83" spans="1:6" ht="12" customHeight="1" x14ac:dyDescent="0.25">
      <c r="A83" s="15" t="s">
        <v>74</v>
      </c>
      <c r="B83" s="146" t="s">
        <v>191</v>
      </c>
      <c r="C83" s="604"/>
      <c r="D83" s="605"/>
      <c r="E83" s="605"/>
      <c r="F83" s="605"/>
    </row>
    <row r="84" spans="1:6" ht="12" customHeight="1" x14ac:dyDescent="0.25">
      <c r="A84" s="16" t="s">
        <v>75</v>
      </c>
      <c r="B84" s="146" t="s">
        <v>192</v>
      </c>
      <c r="C84" s="604"/>
      <c r="D84" s="605"/>
      <c r="E84" s="605"/>
      <c r="F84" s="605"/>
    </row>
    <row r="85" spans="1:6" ht="12" customHeight="1" thickBot="1" x14ac:dyDescent="0.3">
      <c r="A85" s="21" t="s">
        <v>77</v>
      </c>
      <c r="B85" s="147" t="s">
        <v>193</v>
      </c>
      <c r="C85" s="606"/>
      <c r="D85" s="607"/>
      <c r="E85" s="607"/>
      <c r="F85" s="607"/>
    </row>
    <row r="86" spans="1:6" ht="12" customHeight="1" thickBot="1" x14ac:dyDescent="0.3">
      <c r="A86" s="23" t="s">
        <v>886</v>
      </c>
      <c r="B86" s="35" t="s">
        <v>309</v>
      </c>
      <c r="C86" s="588">
        <f>+C87+C88+C89</f>
        <v>0</v>
      </c>
      <c r="D86" s="584">
        <f>+D87+D88+D89</f>
        <v>0</v>
      </c>
      <c r="E86" s="584"/>
      <c r="F86" s="584"/>
    </row>
    <row r="87" spans="1:6" ht="12" customHeight="1" x14ac:dyDescent="0.25">
      <c r="A87" s="18" t="s">
        <v>63</v>
      </c>
      <c r="B87" s="9" t="s">
        <v>279</v>
      </c>
      <c r="C87" s="608"/>
      <c r="D87" s="609"/>
      <c r="E87" s="609"/>
      <c r="F87" s="609"/>
    </row>
    <row r="88" spans="1:6" ht="12" customHeight="1" x14ac:dyDescent="0.25">
      <c r="A88" s="18" t="s">
        <v>64</v>
      </c>
      <c r="B88" s="14" t="s">
        <v>168</v>
      </c>
      <c r="C88" s="603"/>
      <c r="D88" s="587"/>
      <c r="E88" s="587"/>
      <c r="F88" s="587"/>
    </row>
    <row r="89" spans="1:6" ht="12" customHeight="1" x14ac:dyDescent="0.25">
      <c r="A89" s="18" t="s">
        <v>65</v>
      </c>
      <c r="B89" s="312" t="s">
        <v>310</v>
      </c>
      <c r="C89" s="586"/>
      <c r="D89" s="587"/>
      <c r="E89" s="587"/>
      <c r="F89" s="587"/>
    </row>
    <row r="90" spans="1:6" ht="12" customHeight="1" x14ac:dyDescent="0.25">
      <c r="A90" s="18" t="s">
        <v>66</v>
      </c>
      <c r="B90" s="312" t="s">
        <v>380</v>
      </c>
      <c r="C90" s="586"/>
      <c r="D90" s="587"/>
      <c r="E90" s="587"/>
      <c r="F90" s="587"/>
    </row>
    <row r="91" spans="1:6" ht="12" customHeight="1" x14ac:dyDescent="0.25">
      <c r="A91" s="18" t="s">
        <v>67</v>
      </c>
      <c r="B91" s="312" t="s">
        <v>311</v>
      </c>
      <c r="C91" s="586"/>
      <c r="D91" s="587"/>
      <c r="E91" s="587"/>
      <c r="F91" s="587"/>
    </row>
    <row r="92" spans="1:6" x14ac:dyDescent="0.25">
      <c r="A92" s="18" t="s">
        <v>76</v>
      </c>
      <c r="B92" s="312" t="s">
        <v>312</v>
      </c>
      <c r="C92" s="586"/>
      <c r="D92" s="587"/>
      <c r="E92" s="587"/>
      <c r="F92" s="587"/>
    </row>
    <row r="93" spans="1:6" ht="12" customHeight="1" x14ac:dyDescent="0.25">
      <c r="A93" s="18" t="s">
        <v>78</v>
      </c>
      <c r="B93" s="412" t="s">
        <v>283</v>
      </c>
      <c r="C93" s="586"/>
      <c r="D93" s="587"/>
      <c r="E93" s="587"/>
      <c r="F93" s="587"/>
    </row>
    <row r="94" spans="1:6" ht="12" customHeight="1" x14ac:dyDescent="0.25">
      <c r="A94" s="18" t="s">
        <v>169</v>
      </c>
      <c r="B94" s="412" t="s">
        <v>284</v>
      </c>
      <c r="C94" s="586"/>
      <c r="D94" s="587"/>
      <c r="E94" s="587"/>
      <c r="F94" s="587"/>
    </row>
    <row r="95" spans="1:6" ht="12" customHeight="1" x14ac:dyDescent="0.25">
      <c r="A95" s="18" t="s">
        <v>170</v>
      </c>
      <c r="B95" s="412" t="s">
        <v>282</v>
      </c>
      <c r="C95" s="586"/>
      <c r="D95" s="587"/>
      <c r="E95" s="587"/>
      <c r="F95" s="587"/>
    </row>
    <row r="96" spans="1:6" ht="24" customHeight="1" thickBot="1" x14ac:dyDescent="0.3">
      <c r="A96" s="15" t="s">
        <v>171</v>
      </c>
      <c r="B96" s="413" t="s">
        <v>281</v>
      </c>
      <c r="C96" s="610"/>
      <c r="D96" s="605"/>
      <c r="E96" s="605"/>
      <c r="F96" s="605"/>
    </row>
    <row r="97" spans="1:6" ht="12" customHeight="1" thickBot="1" x14ac:dyDescent="0.3">
      <c r="A97" s="23" t="s">
        <v>887</v>
      </c>
      <c r="B97" s="126" t="s">
        <v>313</v>
      </c>
      <c r="C97" s="588">
        <f>+C98+C99</f>
        <v>0</v>
      </c>
      <c r="D97" s="584">
        <f>+D98+D99</f>
        <v>0</v>
      </c>
      <c r="E97" s="584"/>
      <c r="F97" s="584"/>
    </row>
    <row r="98" spans="1:6" ht="12" customHeight="1" x14ac:dyDescent="0.25">
      <c r="A98" s="18" t="s">
        <v>37</v>
      </c>
      <c r="B98" s="11" t="s">
        <v>3</v>
      </c>
      <c r="C98" s="608"/>
      <c r="D98" s="609"/>
      <c r="E98" s="609"/>
      <c r="F98" s="609"/>
    </row>
    <row r="99" spans="1:6" ht="12" customHeight="1" thickBot="1" x14ac:dyDescent="0.3">
      <c r="A99" s="19" t="s">
        <v>38</v>
      </c>
      <c r="B99" s="14" t="s">
        <v>4</v>
      </c>
      <c r="C99" s="604"/>
      <c r="D99" s="605"/>
      <c r="E99" s="605"/>
      <c r="F99" s="605"/>
    </row>
    <row r="100" spans="1:6" s="310" customFormat="1" ht="12" customHeight="1" thickBot="1" x14ac:dyDescent="0.25">
      <c r="A100" s="316" t="s">
        <v>888</v>
      </c>
      <c r="B100" s="311" t="s">
        <v>285</v>
      </c>
      <c r="C100" s="611"/>
      <c r="D100" s="612"/>
      <c r="E100" s="612"/>
      <c r="F100" s="612"/>
    </row>
    <row r="101" spans="1:6" ht="12" customHeight="1" thickBot="1" x14ac:dyDescent="0.3">
      <c r="A101" s="308" t="s">
        <v>889</v>
      </c>
      <c r="B101" s="309" t="s">
        <v>105</v>
      </c>
      <c r="C101" s="581">
        <f>+C73+C86+C97+C100</f>
        <v>0</v>
      </c>
      <c r="D101" s="582">
        <f>+D73+D86+D97+D100</f>
        <v>0</v>
      </c>
      <c r="E101" s="582"/>
      <c r="F101" s="582"/>
    </row>
    <row r="102" spans="1:6" ht="12" customHeight="1" thickBot="1" x14ac:dyDescent="0.3">
      <c r="A102" s="316" t="s">
        <v>890</v>
      </c>
      <c r="B102" s="311" t="s">
        <v>381</v>
      </c>
      <c r="C102" s="588">
        <f>+C103+C111</f>
        <v>0</v>
      </c>
      <c r="D102" s="584">
        <f>+D103+D111</f>
        <v>0</v>
      </c>
      <c r="E102" s="584"/>
      <c r="F102" s="584"/>
    </row>
    <row r="103" spans="1:6" ht="12" customHeight="1" thickBot="1" x14ac:dyDescent="0.3">
      <c r="A103" s="323" t="s">
        <v>44</v>
      </c>
      <c r="B103" s="414" t="s">
        <v>386</v>
      </c>
      <c r="C103" s="588">
        <f>+C104+C105+C106+C107+C108+C109+C110</f>
        <v>0</v>
      </c>
      <c r="D103" s="584">
        <f>+D104+D105+D106+D107+D108+D109+D110</f>
        <v>0</v>
      </c>
      <c r="E103" s="584"/>
      <c r="F103" s="584"/>
    </row>
    <row r="104" spans="1:6" ht="12" customHeight="1" x14ac:dyDescent="0.25">
      <c r="A104" s="324" t="s">
        <v>47</v>
      </c>
      <c r="B104" s="325" t="s">
        <v>286</v>
      </c>
      <c r="C104" s="613"/>
      <c r="D104" s="614"/>
      <c r="E104" s="614"/>
      <c r="F104" s="614"/>
    </row>
    <row r="105" spans="1:6" ht="12" customHeight="1" x14ac:dyDescent="0.25">
      <c r="A105" s="317" t="s">
        <v>48</v>
      </c>
      <c r="B105" s="312" t="s">
        <v>287</v>
      </c>
      <c r="C105" s="615"/>
      <c r="D105" s="616"/>
      <c r="E105" s="616"/>
      <c r="F105" s="616"/>
    </row>
    <row r="106" spans="1:6" ht="12" customHeight="1" x14ac:dyDescent="0.25">
      <c r="A106" s="317" t="s">
        <v>49</v>
      </c>
      <c r="B106" s="312" t="s">
        <v>288</v>
      </c>
      <c r="C106" s="615"/>
      <c r="D106" s="616"/>
      <c r="E106" s="616"/>
      <c r="F106" s="616"/>
    </row>
    <row r="107" spans="1:6" ht="12" customHeight="1" x14ac:dyDescent="0.25">
      <c r="A107" s="317" t="s">
        <v>50</v>
      </c>
      <c r="B107" s="312" t="s">
        <v>289</v>
      </c>
      <c r="C107" s="615"/>
      <c r="D107" s="616"/>
      <c r="E107" s="616"/>
      <c r="F107" s="616"/>
    </row>
    <row r="108" spans="1:6" ht="12" customHeight="1" x14ac:dyDescent="0.25">
      <c r="A108" s="317" t="s">
        <v>154</v>
      </c>
      <c r="B108" s="312" t="s">
        <v>290</v>
      </c>
      <c r="C108" s="615"/>
      <c r="D108" s="616"/>
      <c r="E108" s="616"/>
      <c r="F108" s="616"/>
    </row>
    <row r="109" spans="1:6" ht="12" customHeight="1" x14ac:dyDescent="0.25">
      <c r="A109" s="317" t="s">
        <v>172</v>
      </c>
      <c r="B109" s="312" t="s">
        <v>291</v>
      </c>
      <c r="C109" s="615"/>
      <c r="D109" s="616"/>
      <c r="E109" s="616"/>
      <c r="F109" s="616"/>
    </row>
    <row r="110" spans="1:6" ht="12" customHeight="1" thickBot="1" x14ac:dyDescent="0.3">
      <c r="A110" s="326" t="s">
        <v>173</v>
      </c>
      <c r="B110" s="327" t="s">
        <v>292</v>
      </c>
      <c r="C110" s="617"/>
      <c r="D110" s="618"/>
      <c r="E110" s="618"/>
      <c r="F110" s="618"/>
    </row>
    <row r="111" spans="1:6" ht="12" customHeight="1" thickBot="1" x14ac:dyDescent="0.3">
      <c r="A111" s="323" t="s">
        <v>45</v>
      </c>
      <c r="B111" s="414" t="s">
        <v>387</v>
      </c>
      <c r="C111" s="588">
        <f>+C112+C113+C114+C115+C116+C117+C118+C119</f>
        <v>0</v>
      </c>
      <c r="D111" s="584">
        <f>+D112+D113+D114+D115+D116+D117+D118+D119</f>
        <v>0</v>
      </c>
      <c r="E111" s="584"/>
      <c r="F111" s="584"/>
    </row>
    <row r="112" spans="1:6" ht="12" customHeight="1" x14ac:dyDescent="0.25">
      <c r="A112" s="324" t="s">
        <v>53</v>
      </c>
      <c r="B112" s="325" t="s">
        <v>286</v>
      </c>
      <c r="C112" s="613"/>
      <c r="D112" s="614"/>
      <c r="E112" s="614"/>
      <c r="F112" s="614"/>
    </row>
    <row r="113" spans="1:7" ht="12" customHeight="1" x14ac:dyDescent="0.25">
      <c r="A113" s="317" t="s">
        <v>54</v>
      </c>
      <c r="B113" s="312" t="s">
        <v>293</v>
      </c>
      <c r="C113" s="615"/>
      <c r="D113" s="616"/>
      <c r="E113" s="616"/>
      <c r="F113" s="616"/>
    </row>
    <row r="114" spans="1:7" ht="12" customHeight="1" x14ac:dyDescent="0.25">
      <c r="A114" s="317" t="s">
        <v>55</v>
      </c>
      <c r="B114" s="312" t="s">
        <v>288</v>
      </c>
      <c r="C114" s="615"/>
      <c r="D114" s="616"/>
      <c r="E114" s="616"/>
      <c r="F114" s="616"/>
    </row>
    <row r="115" spans="1:7" ht="12" customHeight="1" x14ac:dyDescent="0.25">
      <c r="A115" s="317" t="s">
        <v>56</v>
      </c>
      <c r="B115" s="312" t="s">
        <v>289</v>
      </c>
      <c r="C115" s="615"/>
      <c r="D115" s="616"/>
      <c r="E115" s="616"/>
      <c r="F115" s="616"/>
    </row>
    <row r="116" spans="1:7" ht="12" customHeight="1" x14ac:dyDescent="0.25">
      <c r="A116" s="317" t="s">
        <v>155</v>
      </c>
      <c r="B116" s="312" t="s">
        <v>290</v>
      </c>
      <c r="C116" s="615"/>
      <c r="D116" s="616"/>
      <c r="E116" s="616"/>
      <c r="F116" s="616"/>
    </row>
    <row r="117" spans="1:7" ht="12" customHeight="1" x14ac:dyDescent="0.25">
      <c r="A117" s="317" t="s">
        <v>174</v>
      </c>
      <c r="B117" s="312" t="s">
        <v>294</v>
      </c>
      <c r="C117" s="615"/>
      <c r="D117" s="616"/>
      <c r="E117" s="616"/>
      <c r="F117" s="616"/>
    </row>
    <row r="118" spans="1:7" ht="12" customHeight="1" x14ac:dyDescent="0.25">
      <c r="A118" s="317" t="s">
        <v>175</v>
      </c>
      <c r="B118" s="312" t="s">
        <v>292</v>
      </c>
      <c r="C118" s="615"/>
      <c r="D118" s="616"/>
      <c r="E118" s="616"/>
      <c r="F118" s="616"/>
    </row>
    <row r="119" spans="1:7" ht="12" customHeight="1" thickBot="1" x14ac:dyDescent="0.3">
      <c r="A119" s="326" t="s">
        <v>176</v>
      </c>
      <c r="B119" s="327" t="s">
        <v>384</v>
      </c>
      <c r="C119" s="617"/>
      <c r="D119" s="618"/>
      <c r="E119" s="618"/>
      <c r="F119" s="618"/>
    </row>
    <row r="120" spans="1:7" ht="12" customHeight="1" thickBot="1" x14ac:dyDescent="0.3">
      <c r="A120" s="316" t="s">
        <v>891</v>
      </c>
      <c r="B120" s="410" t="s">
        <v>295</v>
      </c>
      <c r="C120" s="619">
        <f>+C101+C102</f>
        <v>0</v>
      </c>
      <c r="D120" s="620">
        <f>+D101+D102</f>
        <v>0</v>
      </c>
      <c r="E120" s="620"/>
      <c r="F120" s="620"/>
    </row>
    <row r="121" spans="1:7" ht="15" customHeight="1" thickBot="1" x14ac:dyDescent="0.3">
      <c r="A121" s="316" t="s">
        <v>892</v>
      </c>
      <c r="B121" s="410" t="s">
        <v>296</v>
      </c>
      <c r="C121" s="621"/>
      <c r="D121" s="622"/>
      <c r="E121" s="622"/>
      <c r="F121" s="622"/>
      <c r="G121" s="127"/>
    </row>
    <row r="122" spans="1:7" s="1" customFormat="1" ht="12.95" customHeight="1" thickBot="1" x14ac:dyDescent="0.25">
      <c r="A122" s="328" t="s">
        <v>893</v>
      </c>
      <c r="B122" s="411" t="s">
        <v>297</v>
      </c>
      <c r="C122" s="596">
        <f>+C120+C121</f>
        <v>0</v>
      </c>
      <c r="D122" s="597">
        <f>+D120+D121</f>
        <v>0</v>
      </c>
      <c r="E122" s="597"/>
      <c r="F122" s="597"/>
    </row>
    <row r="123" spans="1:7" ht="7.5" customHeight="1" x14ac:dyDescent="0.25">
      <c r="A123" s="415"/>
      <c r="B123" s="415"/>
      <c r="C123" s="623"/>
      <c r="D123" s="623"/>
    </row>
    <row r="124" spans="1:7" x14ac:dyDescent="0.25">
      <c r="A124" s="1277" t="s">
        <v>108</v>
      </c>
      <c r="B124" s="1277"/>
      <c r="C124" s="1277"/>
      <c r="D124" s="1277"/>
      <c r="E124" s="1277"/>
      <c r="F124" s="1277"/>
    </row>
    <row r="125" spans="1:7" ht="15" customHeight="1" thickBot="1" x14ac:dyDescent="0.3">
      <c r="A125" s="1274" t="s">
        <v>101</v>
      </c>
      <c r="B125" s="1274"/>
      <c r="C125" s="332"/>
      <c r="D125" s="332"/>
    </row>
    <row r="126" spans="1:7" ht="13.5" customHeight="1" thickBot="1" x14ac:dyDescent="0.3">
      <c r="A126" s="23">
        <v>1</v>
      </c>
      <c r="B126" s="35" t="s">
        <v>183</v>
      </c>
      <c r="C126" s="584">
        <f>+C51-C101</f>
        <v>0</v>
      </c>
      <c r="D126" s="584">
        <f>+D51-D101</f>
        <v>0</v>
      </c>
      <c r="E126" s="584"/>
      <c r="F126" s="624"/>
    </row>
    <row r="127" spans="1:7" ht="7.5" customHeight="1" x14ac:dyDescent="0.25">
      <c r="A127" s="415"/>
      <c r="B127" s="415"/>
      <c r="C127" s="623"/>
      <c r="D127" s="623"/>
    </row>
  </sheetData>
  <mergeCells count="6">
    <mergeCell ref="A125:B125"/>
    <mergeCell ref="A2:B2"/>
    <mergeCell ref="A70:B70"/>
    <mergeCell ref="A1:F1"/>
    <mergeCell ref="A69:F69"/>
    <mergeCell ref="A124:F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4/2018. (IV.27.)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32"/>
  <sheetViews>
    <sheetView view="pageLayout" topLeftCell="C1" zoomScaleNormal="100" zoomScaleSheetLayoutView="100" workbookViewId="0">
      <selection activeCell="L1" sqref="L1:L32"/>
    </sheetView>
  </sheetViews>
  <sheetFormatPr defaultColWidth="9.33203125" defaultRowHeight="12.75" x14ac:dyDescent="0.2"/>
  <cols>
    <col min="1" max="1" width="6.83203125" style="51" customWidth="1"/>
    <col min="2" max="2" width="50.83203125" style="196" customWidth="1"/>
    <col min="3" max="6" width="13.33203125" style="659" customWidth="1"/>
    <col min="7" max="7" width="50.83203125" style="51" customWidth="1"/>
    <col min="8" max="11" width="13.33203125" style="659" customWidth="1"/>
    <col min="12" max="12" width="15.6640625" style="51" customWidth="1"/>
    <col min="13" max="16384" width="9.33203125" style="51"/>
  </cols>
  <sheetData>
    <row r="1" spans="1:12" ht="39.75" customHeight="1" x14ac:dyDescent="0.2">
      <c r="B1" s="338" t="s">
        <v>109</v>
      </c>
      <c r="C1" s="653"/>
      <c r="D1" s="653"/>
      <c r="E1" s="653"/>
      <c r="F1" s="653"/>
      <c r="G1" s="339"/>
      <c r="H1" s="653"/>
      <c r="I1" s="653"/>
      <c r="J1" s="653"/>
      <c r="K1" s="653"/>
      <c r="L1" s="1281" t="s">
        <v>1494</v>
      </c>
    </row>
    <row r="2" spans="1:12" ht="14.25" thickBot="1" x14ac:dyDescent="0.25">
      <c r="H2" s="654"/>
      <c r="I2" s="654"/>
      <c r="J2" s="654"/>
      <c r="K2" s="654"/>
      <c r="L2" s="1281"/>
    </row>
    <row r="3" spans="1:12" ht="18" customHeight="1" thickBot="1" x14ac:dyDescent="0.25">
      <c r="A3" s="1279" t="s">
        <v>17</v>
      </c>
      <c r="B3" s="340" t="s">
        <v>926</v>
      </c>
      <c r="C3" s="660"/>
      <c r="D3" s="1014"/>
      <c r="E3" s="1014"/>
      <c r="F3" s="1014"/>
      <c r="G3" s="1282" t="s">
        <v>1</v>
      </c>
      <c r="H3" s="1283"/>
      <c r="I3" s="1283"/>
      <c r="J3" s="1283"/>
      <c r="K3" s="1284"/>
      <c r="L3" s="1281"/>
    </row>
    <row r="4" spans="1:12" s="341" customFormat="1" ht="39" thickBot="1" x14ac:dyDescent="0.25">
      <c r="A4" s="1280"/>
      <c r="B4" s="197" t="s">
        <v>12</v>
      </c>
      <c r="C4" s="655" t="s">
        <v>1164</v>
      </c>
      <c r="D4" s="655" t="s">
        <v>1165</v>
      </c>
      <c r="E4" s="1154" t="s">
        <v>1208</v>
      </c>
      <c r="F4" s="1073" t="s">
        <v>1209</v>
      </c>
      <c r="G4" s="197" t="s">
        <v>12</v>
      </c>
      <c r="H4" s="655" t="s">
        <v>1164</v>
      </c>
      <c r="I4" s="655" t="s">
        <v>1165</v>
      </c>
      <c r="J4" s="1154" t="s">
        <v>1208</v>
      </c>
      <c r="K4" s="1073" t="s">
        <v>1209</v>
      </c>
      <c r="L4" s="1281"/>
    </row>
    <row r="5" spans="1:12" s="344" customFormat="1" ht="12" customHeight="1" thickBot="1" x14ac:dyDescent="0.25">
      <c r="A5" s="342">
        <v>1</v>
      </c>
      <c r="B5" s="343">
        <v>2</v>
      </c>
      <c r="C5" s="655" t="s">
        <v>887</v>
      </c>
      <c r="D5" s="655" t="s">
        <v>888</v>
      </c>
      <c r="E5" s="655" t="s">
        <v>889</v>
      </c>
      <c r="F5" s="821" t="s">
        <v>890</v>
      </c>
      <c r="G5" s="343" t="s">
        <v>891</v>
      </c>
      <c r="H5" s="849" t="s">
        <v>892</v>
      </c>
      <c r="I5" s="849" t="s">
        <v>893</v>
      </c>
      <c r="J5" s="849" t="s">
        <v>894</v>
      </c>
      <c r="K5" s="850" t="s">
        <v>895</v>
      </c>
      <c r="L5" s="1281"/>
    </row>
    <row r="6" spans="1:12" ht="12.95" customHeight="1" x14ac:dyDescent="0.2">
      <c r="A6" s="345" t="s">
        <v>885</v>
      </c>
      <c r="B6" s="346" t="s">
        <v>142</v>
      </c>
      <c r="C6" s="661">
        <f>'1.1.sz.mell.'!C6</f>
        <v>98900</v>
      </c>
      <c r="D6" s="661">
        <f>'1.1.sz.mell.'!D6</f>
        <v>105329</v>
      </c>
      <c r="E6" s="661">
        <f>'1.1.sz.mell.'!E6</f>
        <v>105362</v>
      </c>
      <c r="F6" s="1210">
        <f>E6/D6</f>
        <v>1.0003133040283303</v>
      </c>
      <c r="G6" s="346" t="s">
        <v>13</v>
      </c>
      <c r="H6" s="661">
        <f>'1.1.sz.mell.'!C74</f>
        <v>136029</v>
      </c>
      <c r="I6" s="711">
        <f>'1.1.sz.mell.'!D74</f>
        <v>146281</v>
      </c>
      <c r="J6" s="711">
        <f>'1.1.sz.mell.'!E74</f>
        <v>140015</v>
      </c>
      <c r="K6" s="1215">
        <f>J6/I6</f>
        <v>0.95716463518843864</v>
      </c>
      <c r="L6" s="1281"/>
    </row>
    <row r="7" spans="1:12" ht="12.95" customHeight="1" x14ac:dyDescent="0.2">
      <c r="A7" s="347" t="s">
        <v>886</v>
      </c>
      <c r="B7" s="348" t="s">
        <v>927</v>
      </c>
      <c r="C7" s="662">
        <f>'1.1.sz.mell.'!C11</f>
        <v>19617</v>
      </c>
      <c r="D7" s="662">
        <f>'1.1.sz.mell.'!D11</f>
        <v>29065</v>
      </c>
      <c r="E7" s="662">
        <f>'1.1.sz.mell.'!E11</f>
        <v>29614</v>
      </c>
      <c r="F7" s="1211">
        <f>E7/D7</f>
        <v>1.0188886977464304</v>
      </c>
      <c r="G7" s="348" t="s">
        <v>164</v>
      </c>
      <c r="H7" s="662">
        <f>'1.1.sz.mell.'!C75</f>
        <v>32103</v>
      </c>
      <c r="I7" s="662">
        <f>'1.1.sz.mell.'!D75</f>
        <v>34805</v>
      </c>
      <c r="J7" s="662">
        <f>'1.1.sz.mell.'!E75</f>
        <v>30853</v>
      </c>
      <c r="K7" s="1211">
        <f>J7/I7</f>
        <v>0.88645309581956611</v>
      </c>
      <c r="L7" s="1281"/>
    </row>
    <row r="8" spans="1:12" ht="12.95" customHeight="1" x14ac:dyDescent="0.2">
      <c r="A8" s="347" t="s">
        <v>887</v>
      </c>
      <c r="B8" s="348" t="s">
        <v>0</v>
      </c>
      <c r="C8" s="662">
        <f>'1.1.sz.mell.'!C20</f>
        <v>7800</v>
      </c>
      <c r="D8" s="662">
        <f>'1.1.sz.mell.'!D20</f>
        <v>7800</v>
      </c>
      <c r="E8" s="662">
        <f>'1.1.sz.mell.'!E20</f>
        <v>8024</v>
      </c>
      <c r="F8" s="1211">
        <f t="shared" ref="F8:F10" si="0">E8/D8</f>
        <v>1.0287179487179487</v>
      </c>
      <c r="G8" s="348" t="s">
        <v>327</v>
      </c>
      <c r="H8" s="662">
        <f>'1.1.sz.mell.'!C76</f>
        <v>96220</v>
      </c>
      <c r="I8" s="662">
        <f>'1.1.sz.mell.'!D76</f>
        <v>124838</v>
      </c>
      <c r="J8" s="662">
        <f>'1.1.sz.mell.'!E76</f>
        <v>120456</v>
      </c>
      <c r="K8" s="1211">
        <f t="shared" ref="K8:K11" si="1">J8/I8</f>
        <v>0.96489850846697323</v>
      </c>
      <c r="L8" s="1281"/>
    </row>
    <row r="9" spans="1:12" ht="12.95" customHeight="1" x14ac:dyDescent="0.2">
      <c r="A9" s="347" t="s">
        <v>888</v>
      </c>
      <c r="B9" s="422" t="s">
        <v>314</v>
      </c>
      <c r="C9" s="662">
        <f>'1.1.sz.mell.'!C21</f>
        <v>192240</v>
      </c>
      <c r="D9" s="662">
        <f>'1.1.sz.mell.'!D21</f>
        <v>229493</v>
      </c>
      <c r="E9" s="662">
        <f>'1.1.sz.mell.'!E21</f>
        <v>229492.155</v>
      </c>
      <c r="F9" s="1211">
        <f t="shared" si="0"/>
        <v>0.99999631797048272</v>
      </c>
      <c r="G9" s="348" t="s">
        <v>165</v>
      </c>
      <c r="H9" s="662">
        <f>'1.1.sz.mell.'!C77</f>
        <v>19559</v>
      </c>
      <c r="I9" s="662">
        <f>'1.1.sz.mell.'!D77</f>
        <v>19559</v>
      </c>
      <c r="J9" s="662">
        <f>'1.1.sz.mell.'!E77</f>
        <v>16062</v>
      </c>
      <c r="K9" s="1211">
        <f t="shared" si="1"/>
        <v>0.82120762820185078</v>
      </c>
      <c r="L9" s="1281"/>
    </row>
    <row r="10" spans="1:12" ht="12.95" customHeight="1" x14ac:dyDescent="0.2">
      <c r="A10" s="347" t="s">
        <v>889</v>
      </c>
      <c r="B10" s="348" t="s">
        <v>315</v>
      </c>
      <c r="C10" s="662">
        <f>'1.1.sz.mell.'!C31</f>
        <v>5196</v>
      </c>
      <c r="D10" s="662">
        <f>'1.1.sz.mell.'!D31</f>
        <v>13812</v>
      </c>
      <c r="E10" s="662">
        <f>'1.1.sz.mell.'!E31</f>
        <v>15666</v>
      </c>
      <c r="F10" s="1211">
        <f t="shared" si="0"/>
        <v>1.1342311033883579</v>
      </c>
      <c r="G10" s="348" t="s">
        <v>166</v>
      </c>
      <c r="H10" s="662">
        <f>'1.1.sz.mell.'!C78</f>
        <v>3120</v>
      </c>
      <c r="I10" s="662">
        <f>'1.1.sz.mell.'!D78</f>
        <v>33780</v>
      </c>
      <c r="J10" s="662">
        <f>'1.1.sz.mell.'!E78</f>
        <v>15070</v>
      </c>
      <c r="K10" s="1211">
        <f t="shared" si="1"/>
        <v>0.44612196566015394</v>
      </c>
      <c r="L10" s="1281"/>
    </row>
    <row r="11" spans="1:12" ht="12.95" customHeight="1" x14ac:dyDescent="0.2">
      <c r="A11" s="347" t="s">
        <v>890</v>
      </c>
      <c r="B11" s="348" t="s">
        <v>348</v>
      </c>
      <c r="C11" s="662"/>
      <c r="D11" s="662"/>
      <c r="E11" s="662"/>
      <c r="F11" s="657"/>
      <c r="G11" s="348" t="s">
        <v>917</v>
      </c>
      <c r="H11" s="662">
        <f>'1.1.sz.mell.'!C98</f>
        <v>17116</v>
      </c>
      <c r="I11" s="662">
        <f>'1.1.sz.mell.'!D98</f>
        <v>52087</v>
      </c>
      <c r="J11" s="662"/>
      <c r="K11" s="1211">
        <f t="shared" si="1"/>
        <v>0</v>
      </c>
      <c r="L11" s="1281"/>
    </row>
    <row r="12" spans="1:12" ht="12.95" customHeight="1" x14ac:dyDescent="0.2">
      <c r="A12" s="347" t="s">
        <v>891</v>
      </c>
      <c r="B12" s="348" t="s">
        <v>316</v>
      </c>
      <c r="C12" s="662">
        <f>'1.2.sz.mell. _köt'!C44</f>
        <v>0</v>
      </c>
      <c r="D12" s="662"/>
      <c r="E12" s="662"/>
      <c r="F12" s="657"/>
      <c r="G12" s="348" t="s">
        <v>880</v>
      </c>
      <c r="H12" s="662"/>
      <c r="I12" s="662"/>
      <c r="J12" s="662"/>
      <c r="K12" s="657"/>
      <c r="L12" s="1281"/>
    </row>
    <row r="13" spans="1:12" ht="12.95" customHeight="1" x14ac:dyDescent="0.2">
      <c r="A13" s="347" t="s">
        <v>892</v>
      </c>
      <c r="B13" s="348" t="s">
        <v>317</v>
      </c>
      <c r="C13" s="662"/>
      <c r="D13" s="662"/>
      <c r="E13" s="662"/>
      <c r="F13" s="657"/>
      <c r="G13" s="49"/>
      <c r="H13" s="662"/>
      <c r="I13" s="662"/>
      <c r="J13" s="662"/>
      <c r="K13" s="657"/>
      <c r="L13" s="1281"/>
    </row>
    <row r="14" spans="1:12" ht="12.95" customHeight="1" x14ac:dyDescent="0.2">
      <c r="A14" s="347" t="s">
        <v>893</v>
      </c>
      <c r="B14" s="352" t="s">
        <v>318</v>
      </c>
      <c r="C14" s="662"/>
      <c r="D14" s="662"/>
      <c r="E14" s="662"/>
      <c r="F14" s="657"/>
      <c r="G14" s="49"/>
      <c r="H14" s="662"/>
      <c r="I14" s="662"/>
      <c r="J14" s="662"/>
      <c r="K14" s="657"/>
      <c r="L14" s="1281"/>
    </row>
    <row r="15" spans="1:12" ht="12.95" customHeight="1" x14ac:dyDescent="0.2">
      <c r="A15" s="347" t="s">
        <v>894</v>
      </c>
      <c r="B15" s="490" t="s">
        <v>572</v>
      </c>
      <c r="C15" s="662"/>
      <c r="D15" s="662"/>
      <c r="E15" s="662"/>
      <c r="F15" s="657"/>
      <c r="G15" s="49"/>
      <c r="H15" s="662"/>
      <c r="I15" s="662"/>
      <c r="J15" s="662"/>
      <c r="K15" s="657"/>
      <c r="L15" s="1281"/>
    </row>
    <row r="16" spans="1:12" ht="12.95" customHeight="1" x14ac:dyDescent="0.2">
      <c r="A16" s="347" t="s">
        <v>895</v>
      </c>
      <c r="B16" s="49"/>
      <c r="C16" s="662"/>
      <c r="D16" s="662"/>
      <c r="E16" s="662"/>
      <c r="F16" s="657"/>
      <c r="G16" s="49"/>
      <c r="H16" s="662"/>
      <c r="I16" s="662"/>
      <c r="J16" s="662"/>
      <c r="K16" s="657"/>
      <c r="L16" s="1281"/>
    </row>
    <row r="17" spans="1:12" ht="12.95" customHeight="1" thickBot="1" x14ac:dyDescent="0.25">
      <c r="A17" s="347" t="s">
        <v>896</v>
      </c>
      <c r="B17" s="52"/>
      <c r="C17" s="663"/>
      <c r="D17" s="663"/>
      <c r="E17" s="663"/>
      <c r="F17" s="827"/>
      <c r="G17" s="49"/>
      <c r="H17" s="663"/>
      <c r="I17" s="663"/>
      <c r="J17" s="663"/>
      <c r="K17" s="827"/>
      <c r="L17" s="1281"/>
    </row>
    <row r="18" spans="1:12" ht="15.95" customHeight="1" thickBot="1" x14ac:dyDescent="0.25">
      <c r="A18" s="349" t="s">
        <v>897</v>
      </c>
      <c r="B18" s="128" t="s">
        <v>341</v>
      </c>
      <c r="C18" s="547">
        <f>+C6+C7+C8+C9+C10+C12+C13+C14+C15+C16+C17</f>
        <v>323753</v>
      </c>
      <c r="D18" s="547">
        <f>+D6+D7+D8+D9+D10+D12+D13+D14+D15+D16+D17</f>
        <v>385499</v>
      </c>
      <c r="E18" s="547">
        <f>+E6+E7+E8+E9+E10+E12+E13+E14+E15+E16+E17</f>
        <v>388158.15500000003</v>
      </c>
      <c r="F18" s="1212">
        <f>E18/D18</f>
        <v>1.0068979556367204</v>
      </c>
      <c r="G18" s="128" t="s">
        <v>340</v>
      </c>
      <c r="H18" s="547">
        <f>SUM(H6:H17)</f>
        <v>304147</v>
      </c>
      <c r="I18" s="547">
        <f>SUM(I6:I17)</f>
        <v>411350</v>
      </c>
      <c r="J18" s="547">
        <f>SUM(J6:J17)</f>
        <v>322456</v>
      </c>
      <c r="K18" s="1212">
        <f>J18/I18</f>
        <v>0.78389692475993678</v>
      </c>
      <c r="L18" s="1281"/>
    </row>
    <row r="19" spans="1:12" ht="12.95" customHeight="1" x14ac:dyDescent="0.2">
      <c r="A19" s="350" t="s">
        <v>898</v>
      </c>
      <c r="B19" s="351" t="s">
        <v>319</v>
      </c>
      <c r="C19" s="1162"/>
      <c r="D19" s="1162">
        <f>SUM(D20:D23)</f>
        <v>94083</v>
      </c>
      <c r="E19" s="1162">
        <f>SUM(E20:E23)</f>
        <v>94083</v>
      </c>
      <c r="F19" s="1213">
        <f>E19/D19</f>
        <v>1</v>
      </c>
      <c r="G19" s="352" t="s">
        <v>177</v>
      </c>
      <c r="H19" s="665"/>
      <c r="I19" s="665"/>
      <c r="J19" s="665"/>
      <c r="K19" s="658"/>
      <c r="L19" s="1281"/>
    </row>
    <row r="20" spans="1:12" ht="12.95" customHeight="1" x14ac:dyDescent="0.2">
      <c r="A20" s="353" t="s">
        <v>899</v>
      </c>
      <c r="B20" s="352" t="s">
        <v>254</v>
      </c>
      <c r="C20" s="662"/>
      <c r="D20" s="662">
        <v>75658</v>
      </c>
      <c r="E20" s="662">
        <v>75658</v>
      </c>
      <c r="F20" s="1211">
        <f>E20/D20</f>
        <v>1</v>
      </c>
      <c r="G20" s="352" t="s">
        <v>178</v>
      </c>
      <c r="H20" s="662"/>
      <c r="I20" s="662"/>
      <c r="J20" s="662"/>
      <c r="K20" s="657"/>
      <c r="L20" s="1281"/>
    </row>
    <row r="21" spans="1:12" ht="12.95" customHeight="1" x14ac:dyDescent="0.2">
      <c r="A21" s="353" t="s">
        <v>900</v>
      </c>
      <c r="B21" s="352" t="s">
        <v>255</v>
      </c>
      <c r="C21" s="662"/>
      <c r="D21" s="662"/>
      <c r="E21" s="662"/>
      <c r="F21" s="657"/>
      <c r="G21" s="352" t="s">
        <v>106</v>
      </c>
      <c r="H21" s="662"/>
      <c r="I21" s="662"/>
      <c r="J21" s="662"/>
      <c r="K21" s="657"/>
      <c r="L21" s="1281"/>
    </row>
    <row r="22" spans="1:12" ht="12.95" customHeight="1" x14ac:dyDescent="0.2">
      <c r="A22" s="353" t="s">
        <v>901</v>
      </c>
      <c r="B22" s="352" t="s">
        <v>320</v>
      </c>
      <c r="C22" s="662"/>
      <c r="D22" s="662"/>
      <c r="E22" s="662"/>
      <c r="F22" s="657"/>
      <c r="G22" s="352" t="s">
        <v>107</v>
      </c>
      <c r="H22" s="662"/>
      <c r="I22" s="662"/>
      <c r="J22" s="662"/>
      <c r="K22" s="657"/>
      <c r="L22" s="1281"/>
    </row>
    <row r="23" spans="1:12" ht="12.95" customHeight="1" x14ac:dyDescent="0.2">
      <c r="A23" s="353" t="s">
        <v>902</v>
      </c>
      <c r="B23" s="352" t="s">
        <v>321</v>
      </c>
      <c r="C23" s="665"/>
      <c r="D23" s="665">
        <f>'8. sz. mell'!E57</f>
        <v>18425</v>
      </c>
      <c r="E23" s="665">
        <v>18425</v>
      </c>
      <c r="F23" s="1214">
        <f>E23/D23</f>
        <v>1</v>
      </c>
      <c r="G23" s="351" t="s">
        <v>328</v>
      </c>
      <c r="H23" s="662"/>
      <c r="I23" s="662"/>
      <c r="J23" s="662"/>
      <c r="K23" s="657"/>
      <c r="L23" s="1281"/>
    </row>
    <row r="24" spans="1:12" ht="12.95" customHeight="1" x14ac:dyDescent="0.2">
      <c r="A24" s="353" t="s">
        <v>903</v>
      </c>
      <c r="B24" s="352" t="s">
        <v>322</v>
      </c>
      <c r="C24" s="664"/>
      <c r="D24" s="664"/>
      <c r="E24" s="664"/>
      <c r="F24" s="1163"/>
      <c r="G24" s="352" t="s">
        <v>179</v>
      </c>
      <c r="H24" s="662"/>
      <c r="I24" s="662"/>
      <c r="J24" s="662"/>
      <c r="K24" s="657"/>
      <c r="L24" s="1281"/>
    </row>
    <row r="25" spans="1:12" ht="12.95" customHeight="1" x14ac:dyDescent="0.2">
      <c r="A25" s="350" t="s">
        <v>904</v>
      </c>
      <c r="B25" s="351" t="s">
        <v>323</v>
      </c>
      <c r="C25" s="665"/>
      <c r="D25" s="665"/>
      <c r="E25" s="665"/>
      <c r="F25" s="658"/>
      <c r="G25" s="346" t="s">
        <v>1188</v>
      </c>
      <c r="H25" s="665"/>
      <c r="I25" s="665">
        <f>'1.1.sz.mell.'!D110</f>
        <v>17821</v>
      </c>
      <c r="J25" s="665">
        <f>'1.1.sz.mell.'!E102</f>
        <v>17822</v>
      </c>
      <c r="K25" s="1214">
        <v>1</v>
      </c>
      <c r="L25" s="1281"/>
    </row>
    <row r="26" spans="1:12" ht="12.95" customHeight="1" thickBot="1" x14ac:dyDescent="0.25">
      <c r="A26" s="353" t="s">
        <v>905</v>
      </c>
      <c r="B26" s="352" t="s">
        <v>264</v>
      </c>
      <c r="C26" s="662"/>
      <c r="D26" s="662"/>
      <c r="E26" s="662"/>
      <c r="F26" s="657"/>
      <c r="G26" s="49"/>
      <c r="H26" s="662"/>
      <c r="I26" s="662"/>
      <c r="J26" s="662"/>
      <c r="K26" s="1211"/>
      <c r="L26" s="1281"/>
    </row>
    <row r="27" spans="1:12" ht="21.75" thickBot="1" x14ac:dyDescent="0.25">
      <c r="A27" s="349" t="s">
        <v>906</v>
      </c>
      <c r="B27" s="128" t="s">
        <v>338</v>
      </c>
      <c r="C27" s="547"/>
      <c r="D27" s="547">
        <f>D19</f>
        <v>94083</v>
      </c>
      <c r="E27" s="547">
        <f>E19</f>
        <v>94083</v>
      </c>
      <c r="F27" s="1212">
        <f>E27/D27</f>
        <v>1</v>
      </c>
      <c r="G27" s="128" t="s">
        <v>339</v>
      </c>
      <c r="H27" s="547"/>
      <c r="I27" s="547">
        <f>SUM(I19:I25)</f>
        <v>17821</v>
      </c>
      <c r="J27" s="547">
        <f>SUM(J19:J25)</f>
        <v>17822</v>
      </c>
      <c r="K27" s="1212">
        <v>1</v>
      </c>
      <c r="L27" s="1281"/>
    </row>
    <row r="28" spans="1:12" ht="24.75" thickBot="1" x14ac:dyDescent="0.25">
      <c r="A28" s="349" t="s">
        <v>907</v>
      </c>
      <c r="B28" s="354" t="s">
        <v>326</v>
      </c>
      <c r="C28" s="547">
        <f>+C18+C27</f>
        <v>323753</v>
      </c>
      <c r="D28" s="547">
        <f>+D18+D27</f>
        <v>479582</v>
      </c>
      <c r="E28" s="547">
        <f>+E18+E27</f>
        <v>482241.15500000003</v>
      </c>
      <c r="F28" s="1212">
        <f t="shared" ref="F28:F30" si="2">E28/D28</f>
        <v>1.0055447347898796</v>
      </c>
      <c r="G28" s="354" t="s">
        <v>329</v>
      </c>
      <c r="H28" s="547">
        <f>+H18+H27</f>
        <v>304147</v>
      </c>
      <c r="I28" s="547">
        <f>+I18+I27</f>
        <v>429171</v>
      </c>
      <c r="J28" s="547">
        <f>+J18+J27</f>
        <v>340278</v>
      </c>
      <c r="K28" s="1212">
        <f>J28/I28</f>
        <v>0.79287277099338027</v>
      </c>
      <c r="L28" s="1281"/>
    </row>
    <row r="29" spans="1:12" ht="18" customHeight="1" thickBot="1" x14ac:dyDescent="0.25">
      <c r="A29" s="349" t="s">
        <v>908</v>
      </c>
      <c r="B29" s="128" t="s">
        <v>324</v>
      </c>
      <c r="C29" s="666"/>
      <c r="D29" s="666"/>
      <c r="E29" s="666"/>
      <c r="F29" s="1212"/>
      <c r="G29" s="128" t="s">
        <v>330</v>
      </c>
      <c r="H29" s="666"/>
      <c r="I29" s="666"/>
      <c r="J29" s="666"/>
      <c r="K29" s="1212"/>
      <c r="L29" s="1281"/>
    </row>
    <row r="30" spans="1:12" ht="13.5" thickBot="1" x14ac:dyDescent="0.25">
      <c r="A30" s="349" t="s">
        <v>909</v>
      </c>
      <c r="B30" s="355" t="s">
        <v>325</v>
      </c>
      <c r="C30" s="547">
        <f>+C28+C29</f>
        <v>323753</v>
      </c>
      <c r="D30" s="547">
        <f>+D28+D29</f>
        <v>479582</v>
      </c>
      <c r="E30" s="547">
        <f>+E28+E29</f>
        <v>482241.15500000003</v>
      </c>
      <c r="F30" s="1212">
        <f t="shared" si="2"/>
        <v>1.0055447347898796</v>
      </c>
      <c r="G30" s="355" t="s">
        <v>331</v>
      </c>
      <c r="H30" s="547">
        <f>+H28+H29</f>
        <v>304147</v>
      </c>
      <c r="I30" s="547">
        <f>+I28+I29</f>
        <v>429171</v>
      </c>
      <c r="J30" s="547">
        <f>+J28+J29</f>
        <v>340278</v>
      </c>
      <c r="K30" s="1212">
        <f t="shared" ref="K30" si="3">J30/I30</f>
        <v>0.79287277099338027</v>
      </c>
      <c r="L30" s="1281"/>
    </row>
    <row r="31" spans="1:12" ht="13.5" thickBot="1" x14ac:dyDescent="0.25">
      <c r="A31" s="349" t="s">
        <v>910</v>
      </c>
      <c r="B31" s="355" t="s">
        <v>122</v>
      </c>
      <c r="C31" s="547"/>
      <c r="D31" s="547"/>
      <c r="E31" s="547"/>
      <c r="F31" s="546"/>
      <c r="G31" s="355" t="s">
        <v>123</v>
      </c>
      <c r="H31" s="547">
        <f>IF(C18-H18&gt;0,C18-H18,"-")</f>
        <v>19606</v>
      </c>
      <c r="I31" s="547" t="str">
        <f t="shared" ref="I31:J31" si="4">IF(D18-I18&gt;0,D18-I18,"-")</f>
        <v>-</v>
      </c>
      <c r="J31" s="547">
        <f t="shared" si="4"/>
        <v>65702.155000000028</v>
      </c>
      <c r="K31" s="1212"/>
      <c r="L31" s="1281"/>
    </row>
    <row r="32" spans="1:12" ht="13.5" thickBot="1" x14ac:dyDescent="0.25">
      <c r="A32" s="349" t="s">
        <v>911</v>
      </c>
      <c r="B32" s="355" t="s">
        <v>332</v>
      </c>
      <c r="C32" s="547"/>
      <c r="D32" s="547"/>
      <c r="E32" s="547"/>
      <c r="F32" s="546"/>
      <c r="G32" s="355" t="s">
        <v>333</v>
      </c>
      <c r="H32" s="547">
        <f>IF(C18+C19-H28&gt;0,C18+C19-H28,"-")</f>
        <v>19606</v>
      </c>
      <c r="I32" s="547">
        <f>IF(D18+D19-I28&gt;0,D18+D19-I28,"-")</f>
        <v>50411</v>
      </c>
      <c r="J32" s="547">
        <f>IF(E18+E19-J28&gt;0,E18+E19-J28,"-")</f>
        <v>141963.15500000003</v>
      </c>
      <c r="K32" s="1212"/>
      <c r="L32" s="1281"/>
    </row>
  </sheetData>
  <mergeCells count="3">
    <mergeCell ref="A3:A4"/>
    <mergeCell ref="L1:L32"/>
    <mergeCell ref="G3:K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H6:H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39"/>
  <sheetViews>
    <sheetView view="pageLayout" topLeftCell="D1" zoomScaleNormal="100" zoomScaleSheetLayoutView="115" workbookViewId="0">
      <selection activeCell="L1" sqref="L1:L36"/>
    </sheetView>
  </sheetViews>
  <sheetFormatPr defaultColWidth="9.33203125" defaultRowHeight="12.75" x14ac:dyDescent="0.2"/>
  <cols>
    <col min="1" max="1" width="6.83203125" style="51" customWidth="1"/>
    <col min="2" max="2" width="50.83203125" style="196" customWidth="1"/>
    <col min="3" max="6" width="13.33203125" style="659" customWidth="1"/>
    <col min="7" max="7" width="57.1640625" style="51" customWidth="1"/>
    <col min="8" max="11" width="13.33203125" style="659" customWidth="1"/>
    <col min="12" max="12" width="15.83203125" style="51" customWidth="1"/>
    <col min="13" max="16384" width="9.33203125" style="51"/>
  </cols>
  <sheetData>
    <row r="1" spans="1:12" ht="31.5" customHeight="1" x14ac:dyDescent="0.2">
      <c r="B1" s="1287" t="s">
        <v>110</v>
      </c>
      <c r="C1" s="1287"/>
      <c r="D1" s="1287"/>
      <c r="E1" s="1287"/>
      <c r="F1" s="1287"/>
      <c r="G1" s="1287"/>
      <c r="H1" s="1287"/>
      <c r="I1" s="1287"/>
      <c r="J1" s="1287"/>
      <c r="K1" s="1287"/>
      <c r="L1" s="1281" t="s">
        <v>1495</v>
      </c>
    </row>
    <row r="2" spans="1:12" ht="14.25" thickBot="1" x14ac:dyDescent="0.25">
      <c r="H2" s="654"/>
      <c r="I2" s="654"/>
      <c r="J2" s="654"/>
      <c r="K2" s="654"/>
      <c r="L2" s="1281"/>
    </row>
    <row r="3" spans="1:12" ht="13.5" thickBot="1" x14ac:dyDescent="0.25">
      <c r="A3" s="1285" t="s">
        <v>17</v>
      </c>
      <c r="B3" s="340" t="s">
        <v>926</v>
      </c>
      <c r="C3" s="660"/>
      <c r="D3" s="660"/>
      <c r="E3" s="1014"/>
      <c r="F3" s="1014"/>
      <c r="G3" s="1282" t="s">
        <v>1</v>
      </c>
      <c r="H3" s="1283"/>
      <c r="I3" s="1283"/>
      <c r="J3" s="1283"/>
      <c r="K3" s="1284"/>
      <c r="L3" s="1281"/>
    </row>
    <row r="4" spans="1:12" s="341" customFormat="1" ht="39" thickBot="1" x14ac:dyDescent="0.25">
      <c r="A4" s="1286"/>
      <c r="B4" s="197" t="s">
        <v>12</v>
      </c>
      <c r="C4" s="655" t="s">
        <v>1164</v>
      </c>
      <c r="D4" s="655" t="s">
        <v>1165</v>
      </c>
      <c r="E4" s="1154" t="s">
        <v>1208</v>
      </c>
      <c r="F4" s="1073" t="s">
        <v>1209</v>
      </c>
      <c r="G4" s="197" t="s">
        <v>12</v>
      </c>
      <c r="H4" s="655" t="s">
        <v>1164</v>
      </c>
      <c r="I4" s="655" t="s">
        <v>1165</v>
      </c>
      <c r="J4" s="1154" t="s">
        <v>1208</v>
      </c>
      <c r="K4" s="1073" t="s">
        <v>1209</v>
      </c>
      <c r="L4" s="1281"/>
    </row>
    <row r="5" spans="1:12" s="341" customFormat="1" ht="13.5" thickBot="1" x14ac:dyDescent="0.25">
      <c r="A5" s="342">
        <v>1</v>
      </c>
      <c r="B5" s="343">
        <v>2</v>
      </c>
      <c r="C5" s="849" t="s">
        <v>887</v>
      </c>
      <c r="D5" s="849" t="s">
        <v>888</v>
      </c>
      <c r="E5" s="849" t="s">
        <v>889</v>
      </c>
      <c r="F5" s="850" t="s">
        <v>890</v>
      </c>
      <c r="G5" s="343" t="s">
        <v>891</v>
      </c>
      <c r="H5" s="849" t="s">
        <v>892</v>
      </c>
      <c r="I5" s="849" t="s">
        <v>893</v>
      </c>
      <c r="J5" s="849" t="s">
        <v>894</v>
      </c>
      <c r="K5" s="850" t="s">
        <v>895</v>
      </c>
      <c r="L5" s="1281"/>
    </row>
    <row r="6" spans="1:12" x14ac:dyDescent="0.2">
      <c r="A6" s="345" t="s">
        <v>885</v>
      </c>
      <c r="B6" s="346" t="s">
        <v>368</v>
      </c>
      <c r="C6" s="711"/>
      <c r="D6" s="711"/>
      <c r="E6" s="661"/>
      <c r="F6" s="656"/>
      <c r="G6" s="346" t="s">
        <v>279</v>
      </c>
      <c r="H6" s="711">
        <f>'1.1.sz.mell.'!C87</f>
        <v>32500</v>
      </c>
      <c r="I6" s="711">
        <f>'1.1.sz.mell.'!D87</f>
        <v>84816</v>
      </c>
      <c r="J6" s="711">
        <f>'1.1.sz.mell.'!E87</f>
        <v>25142</v>
      </c>
      <c r="K6" s="1215">
        <f>J6/I6</f>
        <v>0.29642991888322956</v>
      </c>
      <c r="L6" s="1281"/>
    </row>
    <row r="7" spans="1:12" ht="22.5" x14ac:dyDescent="0.2">
      <c r="A7" s="347" t="s">
        <v>886</v>
      </c>
      <c r="B7" s="348" t="s">
        <v>342</v>
      </c>
      <c r="C7" s="662">
        <f>'1.1.sz.mell.'!C48</f>
        <v>414</v>
      </c>
      <c r="D7" s="662">
        <f>'1.1.sz.mell.'!D48</f>
        <v>564</v>
      </c>
      <c r="E7" s="662">
        <f>'1.1.sz.mell.'!E48</f>
        <v>563</v>
      </c>
      <c r="F7" s="1211">
        <f>E7/D7</f>
        <v>0.99822695035460995</v>
      </c>
      <c r="G7" s="348" t="s">
        <v>168</v>
      </c>
      <c r="H7" s="662">
        <f>'1.1.sz.mell.'!C88</f>
        <v>2050</v>
      </c>
      <c r="I7" s="662">
        <f>'1.1.sz.mell.'!D88</f>
        <v>13490</v>
      </c>
      <c r="J7" s="662">
        <f>'1.1.sz.mell.'!E88</f>
        <v>13816</v>
      </c>
      <c r="K7" s="1211">
        <f>J7/I7</f>
        <v>1.0241660489251296</v>
      </c>
      <c r="L7" s="1281"/>
    </row>
    <row r="8" spans="1:12" x14ac:dyDescent="0.2">
      <c r="A8" s="347" t="s">
        <v>887</v>
      </c>
      <c r="B8" s="348" t="s">
        <v>104</v>
      </c>
      <c r="C8" s="662"/>
      <c r="D8" s="662"/>
      <c r="E8" s="662"/>
      <c r="F8" s="1211"/>
      <c r="G8" s="348" t="s">
        <v>310</v>
      </c>
      <c r="H8" s="662"/>
      <c r="I8" s="662"/>
      <c r="J8" s="662"/>
      <c r="K8" s="1211"/>
      <c r="L8" s="1281"/>
    </row>
    <row r="9" spans="1:12" ht="22.5" customHeight="1" x14ac:dyDescent="0.2">
      <c r="A9" s="347" t="s">
        <v>888</v>
      </c>
      <c r="B9" s="348" t="s">
        <v>151</v>
      </c>
      <c r="C9" s="662"/>
      <c r="D9" s="662"/>
      <c r="E9" s="662"/>
      <c r="F9" s="1211"/>
      <c r="G9" s="348" t="s">
        <v>349</v>
      </c>
      <c r="H9" s="662"/>
      <c r="I9" s="662"/>
      <c r="J9" s="662"/>
      <c r="K9" s="1211"/>
      <c r="L9" s="1281"/>
    </row>
    <row r="10" spans="1:12" ht="22.5" customHeight="1" x14ac:dyDescent="0.2">
      <c r="A10" s="347" t="s">
        <v>889</v>
      </c>
      <c r="B10" s="348" t="s">
        <v>241</v>
      </c>
      <c r="C10" s="662"/>
      <c r="D10" s="662"/>
      <c r="E10" s="662"/>
      <c r="F10" s="1211"/>
      <c r="G10" s="348" t="s">
        <v>350</v>
      </c>
      <c r="H10" s="662"/>
      <c r="I10" s="662"/>
      <c r="J10" s="662"/>
      <c r="K10" s="1211"/>
      <c r="L10" s="1281"/>
    </row>
    <row r="11" spans="1:12" x14ac:dyDescent="0.2">
      <c r="A11" s="347" t="s">
        <v>890</v>
      </c>
      <c r="B11" s="348" t="s">
        <v>343</v>
      </c>
      <c r="C11" s="662"/>
      <c r="D11" s="662"/>
      <c r="E11" s="662"/>
      <c r="F11" s="1211"/>
      <c r="G11" s="358" t="s">
        <v>351</v>
      </c>
      <c r="H11" s="662"/>
      <c r="I11" s="662"/>
      <c r="J11" s="662"/>
      <c r="K11" s="1211"/>
      <c r="L11" s="1281"/>
    </row>
    <row r="12" spans="1:12" x14ac:dyDescent="0.2">
      <c r="A12" s="347" t="s">
        <v>891</v>
      </c>
      <c r="B12" s="348" t="s">
        <v>344</v>
      </c>
      <c r="C12" s="662"/>
      <c r="D12" s="662"/>
      <c r="E12" s="662"/>
      <c r="F12" s="1211"/>
      <c r="G12" s="358" t="s">
        <v>283</v>
      </c>
      <c r="H12" s="662"/>
      <c r="I12" s="662"/>
      <c r="J12" s="662"/>
      <c r="K12" s="1211"/>
      <c r="L12" s="1281"/>
    </row>
    <row r="13" spans="1:12" x14ac:dyDescent="0.2">
      <c r="A13" s="347" t="s">
        <v>892</v>
      </c>
      <c r="B13" s="348" t="s">
        <v>347</v>
      </c>
      <c r="C13" s="662">
        <f>'1.1.sz.mell.'!C37</f>
        <v>14704</v>
      </c>
      <c r="D13" s="662">
        <f>'1.1.sz.mell.'!D37</f>
        <v>14704</v>
      </c>
      <c r="E13" s="662"/>
      <c r="F13" s="1211">
        <f>E13/D13</f>
        <v>0</v>
      </c>
      <c r="G13" s="359" t="s">
        <v>284</v>
      </c>
      <c r="H13" s="662"/>
      <c r="I13" s="662"/>
      <c r="J13" s="662"/>
      <c r="K13" s="1211"/>
      <c r="L13" s="1281"/>
    </row>
    <row r="14" spans="1:12" ht="15" customHeight="1" x14ac:dyDescent="0.2">
      <c r="A14" s="347" t="s">
        <v>893</v>
      </c>
      <c r="B14" s="360" t="s">
        <v>366</v>
      </c>
      <c r="C14" s="662"/>
      <c r="D14" s="662"/>
      <c r="E14" s="662"/>
      <c r="F14" s="1211"/>
      <c r="G14" s="358" t="s">
        <v>352</v>
      </c>
      <c r="H14" s="662"/>
      <c r="I14" s="662"/>
      <c r="J14" s="662"/>
      <c r="K14" s="1211"/>
      <c r="L14" s="1281"/>
    </row>
    <row r="15" spans="1:12" ht="33.75" customHeight="1" x14ac:dyDescent="0.2">
      <c r="A15" s="347" t="s">
        <v>894</v>
      </c>
      <c r="B15" s="348" t="s">
        <v>345</v>
      </c>
      <c r="C15" s="662">
        <f>'1.1.sz.mell.'!C45</f>
        <v>7000</v>
      </c>
      <c r="D15" s="662">
        <f>'1.1.sz.mell.'!D45</f>
        <v>7000</v>
      </c>
      <c r="E15" s="662">
        <f>'1.1.sz.mell.'!E45</f>
        <v>7865</v>
      </c>
      <c r="F15" s="1211">
        <f>E15/D15</f>
        <v>1.1235714285714287</v>
      </c>
      <c r="G15" s="358" t="s">
        <v>353</v>
      </c>
      <c r="H15" s="662"/>
      <c r="I15" s="662"/>
      <c r="J15" s="662"/>
      <c r="K15" s="1211"/>
      <c r="L15" s="1281"/>
    </row>
    <row r="16" spans="1:12" x14ac:dyDescent="0.2">
      <c r="A16" s="347" t="s">
        <v>895</v>
      </c>
      <c r="B16" s="348" t="s">
        <v>346</v>
      </c>
      <c r="C16" s="662"/>
      <c r="D16" s="662"/>
      <c r="E16" s="662"/>
      <c r="F16" s="657"/>
      <c r="G16" s="348" t="s">
        <v>917</v>
      </c>
      <c r="H16" s="662">
        <f>'1.1.sz.mell.'!C99</f>
        <v>8500</v>
      </c>
      <c r="I16" s="662">
        <f>'1.1.sz.mell.'!D99</f>
        <v>69080</v>
      </c>
      <c r="J16" s="662"/>
      <c r="K16" s="1211">
        <f>J16/I16</f>
        <v>0</v>
      </c>
      <c r="L16" s="1281"/>
    </row>
    <row r="17" spans="1:12" ht="13.5" thickBot="1" x14ac:dyDescent="0.25">
      <c r="A17" s="421" t="s">
        <v>896</v>
      </c>
      <c r="B17" s="422" t="s">
        <v>815</v>
      </c>
      <c r="C17" s="665"/>
      <c r="D17" s="665"/>
      <c r="E17" s="665"/>
      <c r="F17" s="658"/>
      <c r="G17" s="422" t="s">
        <v>880</v>
      </c>
      <c r="H17" s="665"/>
      <c r="I17" s="665"/>
      <c r="J17" s="665"/>
      <c r="K17" s="1214"/>
      <c r="L17" s="1281"/>
    </row>
    <row r="18" spans="1:12" ht="13.5" thickBot="1" x14ac:dyDescent="0.25">
      <c r="A18" s="349" t="s">
        <v>897</v>
      </c>
      <c r="B18" s="128" t="s">
        <v>94</v>
      </c>
      <c r="C18" s="547">
        <f>+C6+C7+C8+C9+C10+C11+C12+C13+C15+C16+C17</f>
        <v>22118</v>
      </c>
      <c r="D18" s="547">
        <f>+D6+D7+D8+D9+D10+D11+D12+D13+D15+D16+D17</f>
        <v>22268</v>
      </c>
      <c r="E18" s="547">
        <f>+E6+E7+E8+E9+E10+E11+E12+E13+E15+E16+E17</f>
        <v>8428</v>
      </c>
      <c r="F18" s="1212">
        <f>E18/D18</f>
        <v>0.3784803305191306</v>
      </c>
      <c r="G18" s="128" t="s">
        <v>95</v>
      </c>
      <c r="H18" s="547">
        <f>+H6+H7+H8+H16+H17</f>
        <v>43050</v>
      </c>
      <c r="I18" s="547">
        <f>+I6+I7+I8+I16+I17</f>
        <v>167386</v>
      </c>
      <c r="J18" s="547">
        <f>+J6+J7+J8+J16+J17</f>
        <v>38958</v>
      </c>
      <c r="K18" s="1212">
        <f>J18/I18</f>
        <v>0.23274347914401444</v>
      </c>
      <c r="L18" s="1281"/>
    </row>
    <row r="19" spans="1:12" x14ac:dyDescent="0.2">
      <c r="A19" s="361" t="s">
        <v>898</v>
      </c>
      <c r="B19" s="362" t="s">
        <v>365</v>
      </c>
      <c r="C19" s="1161"/>
      <c r="D19" s="1161">
        <f>D20</f>
        <v>94707</v>
      </c>
      <c r="E19" s="1161">
        <f>E20</f>
        <v>94707</v>
      </c>
      <c r="F19" s="1216">
        <f>E19/D19</f>
        <v>1</v>
      </c>
      <c r="G19" s="352" t="s">
        <v>177</v>
      </c>
      <c r="H19" s="661"/>
      <c r="I19" s="661"/>
      <c r="J19" s="661"/>
      <c r="K19" s="656"/>
      <c r="L19" s="1281"/>
    </row>
    <row r="20" spans="1:12" x14ac:dyDescent="0.2">
      <c r="A20" s="347" t="s">
        <v>899</v>
      </c>
      <c r="B20" s="363" t="s">
        <v>354</v>
      </c>
      <c r="C20" s="662"/>
      <c r="D20" s="662">
        <v>94707</v>
      </c>
      <c r="E20" s="662">
        <v>94707</v>
      </c>
      <c r="F20" s="1211">
        <v>1</v>
      </c>
      <c r="G20" s="352" t="s">
        <v>181</v>
      </c>
      <c r="H20" s="662"/>
      <c r="I20" s="662"/>
      <c r="J20" s="662"/>
      <c r="K20" s="657"/>
      <c r="L20" s="1281"/>
    </row>
    <row r="21" spans="1:12" x14ac:dyDescent="0.2">
      <c r="A21" s="361" t="s">
        <v>900</v>
      </c>
      <c r="B21" s="363" t="s">
        <v>355</v>
      </c>
      <c r="C21" s="662"/>
      <c r="D21" s="662"/>
      <c r="E21" s="662"/>
      <c r="F21" s="657"/>
      <c r="G21" s="352" t="s">
        <v>106</v>
      </c>
      <c r="H21" s="662"/>
      <c r="I21" s="662"/>
      <c r="J21" s="662"/>
      <c r="K21" s="657"/>
      <c r="L21" s="1281"/>
    </row>
    <row r="22" spans="1:12" x14ac:dyDescent="0.2">
      <c r="A22" s="347" t="s">
        <v>901</v>
      </c>
      <c r="B22" s="363" t="s">
        <v>356</v>
      </c>
      <c r="C22" s="662"/>
      <c r="D22" s="662"/>
      <c r="E22" s="662"/>
      <c r="F22" s="657"/>
      <c r="G22" s="352" t="s">
        <v>107</v>
      </c>
      <c r="H22" s="662"/>
      <c r="I22" s="662"/>
      <c r="J22" s="662"/>
      <c r="K22" s="657"/>
      <c r="L22" s="1281"/>
    </row>
    <row r="23" spans="1:12" x14ac:dyDescent="0.2">
      <c r="A23" s="361" t="s">
        <v>902</v>
      </c>
      <c r="B23" s="363" t="s">
        <v>357</v>
      </c>
      <c r="C23" s="665"/>
      <c r="D23" s="665"/>
      <c r="E23" s="665"/>
      <c r="F23" s="658"/>
      <c r="G23" s="351" t="s">
        <v>328</v>
      </c>
      <c r="H23" s="662"/>
      <c r="I23" s="662"/>
      <c r="J23" s="662"/>
      <c r="K23" s="657"/>
      <c r="L23" s="1281"/>
    </row>
    <row r="24" spans="1:12" x14ac:dyDescent="0.2">
      <c r="A24" s="347" t="s">
        <v>903</v>
      </c>
      <c r="B24" s="364" t="s">
        <v>358</v>
      </c>
      <c r="C24" s="662"/>
      <c r="D24" s="662"/>
      <c r="E24" s="662"/>
      <c r="F24" s="657"/>
      <c r="G24" s="352" t="s">
        <v>182</v>
      </c>
      <c r="H24" s="662"/>
      <c r="I24" s="662"/>
      <c r="J24" s="662"/>
      <c r="K24" s="657"/>
      <c r="L24" s="1281"/>
    </row>
    <row r="25" spans="1:12" x14ac:dyDescent="0.2">
      <c r="A25" s="361" t="s">
        <v>904</v>
      </c>
      <c r="B25" s="365" t="s">
        <v>359</v>
      </c>
      <c r="C25" s="1161"/>
      <c r="D25" s="1161"/>
      <c r="E25" s="1161"/>
      <c r="F25" s="861"/>
      <c r="G25" s="366" t="s">
        <v>180</v>
      </c>
      <c r="H25" s="662"/>
      <c r="I25" s="662"/>
      <c r="J25" s="662"/>
      <c r="K25" s="657"/>
      <c r="L25" s="1281"/>
    </row>
    <row r="26" spans="1:12" x14ac:dyDescent="0.2">
      <c r="A26" s="347" t="s">
        <v>905</v>
      </c>
      <c r="B26" s="364" t="s">
        <v>360</v>
      </c>
      <c r="C26" s="661"/>
      <c r="D26" s="661"/>
      <c r="E26" s="661"/>
      <c r="F26" s="656"/>
      <c r="G26" s="366" t="s">
        <v>367</v>
      </c>
      <c r="H26" s="662"/>
      <c r="I26" s="662"/>
      <c r="J26" s="662"/>
      <c r="K26" s="657"/>
      <c r="L26" s="1281"/>
    </row>
    <row r="27" spans="1:12" x14ac:dyDescent="0.2">
      <c r="A27" s="361" t="s">
        <v>906</v>
      </c>
      <c r="B27" s="364" t="s">
        <v>361</v>
      </c>
      <c r="C27" s="661"/>
      <c r="D27" s="661"/>
      <c r="E27" s="661"/>
      <c r="F27" s="656"/>
      <c r="G27" s="357"/>
      <c r="H27" s="662"/>
      <c r="I27" s="662"/>
      <c r="J27" s="662"/>
      <c r="K27" s="657"/>
      <c r="L27" s="1281"/>
    </row>
    <row r="28" spans="1:12" x14ac:dyDescent="0.2">
      <c r="A28" s="347" t="s">
        <v>907</v>
      </c>
      <c r="B28" s="363" t="s">
        <v>362</v>
      </c>
      <c r="C28" s="661"/>
      <c r="D28" s="661"/>
      <c r="E28" s="661"/>
      <c r="F28" s="656"/>
      <c r="G28" s="125"/>
      <c r="H28" s="662"/>
      <c r="I28" s="662"/>
      <c r="J28" s="662"/>
      <c r="K28" s="657"/>
      <c r="L28" s="1281"/>
    </row>
    <row r="29" spans="1:12" x14ac:dyDescent="0.2">
      <c r="A29" s="361" t="s">
        <v>908</v>
      </c>
      <c r="B29" s="367" t="s">
        <v>363</v>
      </c>
      <c r="C29" s="662"/>
      <c r="D29" s="662"/>
      <c r="E29" s="662"/>
      <c r="F29" s="657"/>
      <c r="G29" s="49"/>
      <c r="H29" s="662"/>
      <c r="I29" s="662"/>
      <c r="J29" s="662"/>
      <c r="K29" s="657"/>
      <c r="L29" s="1281"/>
    </row>
    <row r="30" spans="1:12" ht="13.5" thickBot="1" x14ac:dyDescent="0.25">
      <c r="A30" s="347" t="s">
        <v>909</v>
      </c>
      <c r="B30" s="368" t="s">
        <v>364</v>
      </c>
      <c r="C30" s="661"/>
      <c r="D30" s="661"/>
      <c r="E30" s="661"/>
      <c r="F30" s="656"/>
      <c r="G30" s="125"/>
      <c r="H30" s="662"/>
      <c r="I30" s="662"/>
      <c r="J30" s="662"/>
      <c r="K30" s="657"/>
      <c r="L30" s="1281"/>
    </row>
    <row r="31" spans="1:12" ht="21.75" thickBot="1" x14ac:dyDescent="0.25">
      <c r="A31" s="349" t="s">
        <v>910</v>
      </c>
      <c r="B31" s="128" t="s">
        <v>410</v>
      </c>
      <c r="C31" s="547"/>
      <c r="D31" s="547">
        <f>D19</f>
        <v>94707</v>
      </c>
      <c r="E31" s="547">
        <f>E19</f>
        <v>94707</v>
      </c>
      <c r="F31" s="1212">
        <v>1</v>
      </c>
      <c r="G31" s="128" t="s">
        <v>411</v>
      </c>
      <c r="H31" s="547"/>
      <c r="I31" s="547"/>
      <c r="J31" s="547"/>
      <c r="K31" s="546"/>
      <c r="L31" s="1281"/>
    </row>
    <row r="32" spans="1:12" ht="24.75" thickBot="1" x14ac:dyDescent="0.25">
      <c r="A32" s="349" t="s">
        <v>911</v>
      </c>
      <c r="B32" s="354" t="s">
        <v>408</v>
      </c>
      <c r="C32" s="547">
        <f>+C18+C31</f>
        <v>22118</v>
      </c>
      <c r="D32" s="547">
        <f>+D18+D31</f>
        <v>116975</v>
      </c>
      <c r="E32" s="547">
        <f>+E18+E31</f>
        <v>103135</v>
      </c>
      <c r="F32" s="1212">
        <f>E32/D32</f>
        <v>0.88168412053857659</v>
      </c>
      <c r="G32" s="354" t="s">
        <v>412</v>
      </c>
      <c r="H32" s="547">
        <f>+H18+H31</f>
        <v>43050</v>
      </c>
      <c r="I32" s="547">
        <f>+I18+I31</f>
        <v>167386</v>
      </c>
      <c r="J32" s="547">
        <f>+J18+J31</f>
        <v>38958</v>
      </c>
      <c r="K32" s="1212">
        <f>J32/I32</f>
        <v>0.23274347914401444</v>
      </c>
      <c r="L32" s="1281"/>
    </row>
    <row r="33" spans="1:12" ht="13.5" thickBot="1" x14ac:dyDescent="0.25">
      <c r="A33" s="349" t="s">
        <v>912</v>
      </c>
      <c r="B33" s="128" t="s">
        <v>324</v>
      </c>
      <c r="C33" s="666"/>
      <c r="D33" s="666"/>
      <c r="E33" s="666"/>
      <c r="F33" s="1109"/>
      <c r="G33" s="128" t="s">
        <v>330</v>
      </c>
      <c r="H33" s="666"/>
      <c r="I33" s="666"/>
      <c r="J33" s="666"/>
      <c r="K33" s="1109"/>
      <c r="L33" s="1281"/>
    </row>
    <row r="34" spans="1:12" ht="13.5" thickBot="1" x14ac:dyDescent="0.25">
      <c r="A34" s="349" t="s">
        <v>913</v>
      </c>
      <c r="B34" s="355" t="s">
        <v>409</v>
      </c>
      <c r="C34" s="547">
        <f>+C32+C33</f>
        <v>22118</v>
      </c>
      <c r="D34" s="547">
        <f>+D32+D33</f>
        <v>116975</v>
      </c>
      <c r="E34" s="547">
        <f>+E32+E33</f>
        <v>103135</v>
      </c>
      <c r="F34" s="1212">
        <f>E34/D34</f>
        <v>0.88168412053857659</v>
      </c>
      <c r="G34" s="355" t="s">
        <v>413</v>
      </c>
      <c r="H34" s="547">
        <f>+H32+H33</f>
        <v>43050</v>
      </c>
      <c r="I34" s="547">
        <f>+I32+I33</f>
        <v>167386</v>
      </c>
      <c r="J34" s="547">
        <f>+J32+J33</f>
        <v>38958</v>
      </c>
      <c r="K34" s="1212">
        <f>J34/I34</f>
        <v>0.23274347914401444</v>
      </c>
      <c r="L34" s="1281"/>
    </row>
    <row r="35" spans="1:12" ht="13.5" thickBot="1" x14ac:dyDescent="0.25">
      <c r="A35" s="349" t="s">
        <v>86</v>
      </c>
      <c r="B35" s="355" t="s">
        <v>122</v>
      </c>
      <c r="C35" s="547"/>
      <c r="D35" s="547"/>
      <c r="E35" s="547"/>
      <c r="F35" s="1212"/>
      <c r="G35" s="355" t="s">
        <v>123</v>
      </c>
      <c r="H35" s="547" t="str">
        <f>IF(C18-H18&gt;0,C18-H18,"-")</f>
        <v>-</v>
      </c>
      <c r="I35" s="547"/>
      <c r="J35" s="547"/>
      <c r="K35" s="546"/>
      <c r="L35" s="1281"/>
    </row>
    <row r="36" spans="1:12" ht="13.5" thickBot="1" x14ac:dyDescent="0.25">
      <c r="A36" s="349" t="s">
        <v>87</v>
      </c>
      <c r="B36" s="355" t="s">
        <v>332</v>
      </c>
      <c r="C36" s="547">
        <f>H34-C34</f>
        <v>20932</v>
      </c>
      <c r="D36" s="547">
        <f>I34-D34</f>
        <v>50411</v>
      </c>
      <c r="E36" s="547">
        <f>J34-E34</f>
        <v>-64177</v>
      </c>
      <c r="F36" s="1212">
        <f>E36/D36</f>
        <v>-1.2730753208625101</v>
      </c>
      <c r="G36" s="355" t="s">
        <v>333</v>
      </c>
      <c r="H36" s="547" t="str">
        <f>IF(C18+C19-H32&gt;0,C18+C19-H32,"-")</f>
        <v>-</v>
      </c>
      <c r="I36" s="547"/>
      <c r="J36" s="547"/>
      <c r="K36" s="546"/>
      <c r="L36" s="1281"/>
    </row>
    <row r="39" spans="1:12" x14ac:dyDescent="0.2">
      <c r="G39" s="659"/>
      <c r="L39" s="659">
        <f>L34+'2.1.sz.mell  '!L30</f>
        <v>0</v>
      </c>
    </row>
  </sheetData>
  <mergeCells count="4">
    <mergeCell ref="A3:A4"/>
    <mergeCell ref="L1:L36"/>
    <mergeCell ref="G3:K3"/>
    <mergeCell ref="B1:K1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7:C16 H6:H10 H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33</vt:i4>
      </vt:variant>
    </vt:vector>
  </HeadingPairs>
  <TitlesOfParts>
    <vt:vector size="70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11. sz. mell.</vt:lpstr>
      <vt:lpstr>12. sz. mell</vt:lpstr>
      <vt:lpstr>13. sz. mell.</vt:lpstr>
      <vt:lpstr>14.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2.sz. tájékoztató tábla</vt:lpstr>
      <vt:lpstr>3. sz tájékoztató t.</vt:lpstr>
      <vt:lpstr>3.sz tájékoztató t.</vt:lpstr>
      <vt:lpstr>4.sz tájékoztató t.</vt:lpstr>
      <vt:lpstr>5.sz.tájékoztató tábla</vt:lpstr>
      <vt:lpstr>'12. sz. mell'!adat</vt:lpstr>
      <vt:lpstr>'13. sz. mell.'!adat</vt:lpstr>
      <vt:lpstr>'14. sz. mell.'!adat</vt:lpstr>
      <vt:lpstr>adat</vt:lpstr>
      <vt:lpstr>'10. sz. mell.'!Nyomtatási_cím</vt:lpstr>
      <vt:lpstr>'11. sz. mell.'!Nyomtatási_cím</vt:lpstr>
      <vt:lpstr>'12. sz. mell'!Nyomtatási_cím</vt:lpstr>
      <vt:lpstr>'13. sz. mell.'!Nyomtatási_cím</vt:lpstr>
      <vt:lpstr>'14.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'2.sz. tájékoztató tábla'!Nyomtatási_terület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2018-04-19T12:34:49Z</cp:lastPrinted>
  <dcterms:created xsi:type="dcterms:W3CDTF">1999-10-30T10:30:45Z</dcterms:created>
  <dcterms:modified xsi:type="dcterms:W3CDTF">2018-04-27T06:52:03Z</dcterms:modified>
</cp:coreProperties>
</file>